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Aides" sheetId="2" state="visible" r:id="rId2"/>
    <sheet xmlns:r="http://schemas.openxmlformats.org/officeDocument/2006/relationships" name="Dashboard" sheetId="3" state="visible" r:id="rId3"/>
    <sheet xmlns:r="http://schemas.openxmlformats.org/officeDocument/2006/relationships" name="Import to ExpiryEdge" sheetId="4" state="visible" r:id="rId4"/>
    <sheet xmlns:r="http://schemas.openxmlformats.org/officeDocument/2006/relationships" name="Lists" sheetId="5" state="visible" r:id="rId5"/>
    <sheet xmlns:r="http://schemas.openxmlformats.org/officeDocument/2006/relationships" name="_calc" sheetId="6" state="hidden" r:id="rId6"/>
    <sheet xmlns:r="http://schemas.openxmlformats.org/officeDocument/2006/relationships" name="_imp" sheetId="7" state="hidden" r:id="rId7"/>
  </sheets>
  <definedNames>
    <definedName name="_xlnm.Print_Area" localSheetId="0">'Start here'!$A$1:$C$65</definedName>
    <definedName name="_xlnm.Print_Area" localSheetId="1">OFFSET('Aides'!$A$1,0,0,MAX(4,COUNTA('Aides'!$A$1:$A$503)),24)</definedName>
    <definedName name="_xlnm.Print_Titles" localSheetId="1">'Aides'!$3:$3</definedName>
    <definedName name="_xlnm.Print_Area" localSheetId="2">'Dashboard'!$A$1:$H$41</definedName>
    <definedName name="_xlnm.Print_Area" localSheetId="3">OFFSET('Import to ExpiryEdge'!$A$1,0,0,MAX(2,COUNTIF('Import to ExpiryEdge'!$A$1:$A$1501,"?*")),11)</definedName>
    <definedName name="_xlnm.Print_Titles" localSheetId="3">'Import to ExpiryEdge'!$1:$1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m d, yyyy"/>
  </numFmts>
  <fonts count="19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1F2A24"/>
      <sz val="10"/>
    </font>
    <font>
      <name val="Arial"/>
      <b val="1"/>
      <color rgb="001F2A24"/>
      <sz val="10"/>
    </font>
    <font>
      <name val="Arial"/>
      <color rgb="005F675C"/>
      <sz val="9"/>
    </font>
    <font>
      <name val="Arial"/>
      <b val="1"/>
      <color rgb="001F2A24"/>
      <sz val="15"/>
    </font>
    <font>
      <name val="Arial"/>
      <b val="1"/>
      <color rgb="001F2A24"/>
      <sz val="16"/>
    </font>
    <font>
      <name val="Arial"/>
      <b val="1"/>
      <color rgb="001F2A24"/>
      <sz val="12"/>
    </font>
    <font>
      <name val="Arial"/>
      <b val="1"/>
      <color rgb="00B03A21"/>
      <sz val="10"/>
    </font>
    <font>
      <name val="Arial"/>
      <b val="1"/>
      <color rgb="001F2A24"/>
      <sz val="11"/>
    </font>
    <font>
      <name val="Arial"/>
      <b val="1"/>
      <color rgb="008A5A13"/>
      <sz val="10"/>
    </font>
    <font>
      <name val="Arial"/>
      <b val="1"/>
      <color rgb="0017693A"/>
      <sz val="10"/>
    </font>
    <font>
      <name val="Arial"/>
      <color rgb="005F675C"/>
      <sz val="10"/>
    </font>
    <font>
      <name val="Arial"/>
      <b val="1"/>
      <color rgb="001F2A24"/>
      <sz val="20"/>
    </font>
    <font>
      <name val="Arial"/>
      <color rgb="00434B45"/>
      <sz val="11"/>
    </font>
    <font>
      <name val="Arial"/>
      <b val="1"/>
      <color rgb="001F2A24"/>
      <sz val="13"/>
    </font>
    <font>
      <name val="Arial"/>
      <color rgb="00434B45"/>
      <sz val="10"/>
    </font>
    <font>
      <name val="Arial"/>
      <color rgb="000E6B4F"/>
      <sz val="9"/>
      <u val="single"/>
    </font>
    <font>
      <name val="Arial"/>
      <b val="1"/>
      <color rgb="000E6B4F"/>
      <sz val="10"/>
      <u val="single"/>
    </font>
  </fonts>
  <fills count="9">
    <fill>
      <patternFill/>
    </fill>
    <fill>
      <patternFill patternType="gray125"/>
    </fill>
    <fill>
      <patternFill patternType="solid">
        <fgColor rgb="000E6B4F"/>
        <bgColor rgb="000E6B4F"/>
      </patternFill>
    </fill>
    <fill>
      <patternFill patternType="solid">
        <fgColor rgb="0035584B"/>
        <bgColor rgb="0035584B"/>
      </patternFill>
    </fill>
    <fill>
      <patternFill patternType="solid">
        <fgColor rgb="00F1F4EF"/>
        <bgColor rgb="00F1F4EF"/>
      </patternFill>
    </fill>
    <fill>
      <patternFill patternType="solid">
        <fgColor rgb="00F8DFD8"/>
        <bgColor rgb="00F8DFD8"/>
      </patternFill>
    </fill>
    <fill>
      <patternFill patternType="solid">
        <fgColor rgb="00FCEFD4"/>
        <bgColor rgb="00FCEFD4"/>
      </patternFill>
    </fill>
    <fill>
      <patternFill patternType="solid">
        <fgColor rgb="00FEF7E7"/>
        <bgColor rgb="00FEF7E7"/>
      </patternFill>
    </fill>
    <fill>
      <patternFill patternType="solid">
        <fgColor rgb="00D8F0DC"/>
        <bgColor rgb="00D8F0DC"/>
      </patternFill>
    </fill>
  </fills>
  <borders count="4">
    <border>
      <left/>
      <right/>
      <top/>
      <bottom/>
      <diagonal/>
    </border>
    <border>
      <left style="thin">
        <color rgb="00E0E2DA"/>
      </left>
      <right style="thin">
        <color rgb="00E0E2DA"/>
      </right>
      <top style="thin">
        <color rgb="00E0E2DA"/>
      </top>
      <bottom style="thin">
        <color rgb="00E0E2DA"/>
      </bottom>
    </border>
    <border>
      <bottom style="hair">
        <color rgb="00E0E2DA"/>
      </bottom>
    </border>
    <border>
      <bottom style="thin">
        <color rgb="00E0E2DA"/>
      </bottom>
    </border>
  </borders>
  <cellStyleXfs count="1">
    <xf numFmtId="0" fontId="0" fillId="0" borderId="0"/>
  </cellStyleXfs>
  <cellXfs count="50">
    <xf numFmtId="0" fontId="0" fillId="0" borderId="0" pivotButton="0" quotePrefix="0" xfId="0"/>
    <xf numFmtId="0" fontId="13" fillId="0" borderId="0" pivotButton="0" quotePrefix="0" xfId="0"/>
    <xf numFmtId="0" fontId="14" fillId="0" borderId="0" pivotButton="0" quotePrefix="0" xfId="0"/>
    <xf numFmtId="0" fontId="4" fillId="0" borderId="0" pivotButton="0" quotePrefix="0" xfId="0"/>
    <xf numFmtId="0" fontId="15" fillId="0" borderId="0" pivotButton="0" quotePrefix="0" xfId="0"/>
    <xf numFmtId="0" fontId="3" fillId="0" borderId="0" applyAlignment="1" pivotButton="0" quotePrefix="0" xfId="0">
      <alignment vertical="top" wrapText="1"/>
    </xf>
    <xf numFmtId="0" fontId="16" fillId="0" borderId="0" applyAlignment="1" pivotButton="0" quotePrefix="0" xfId="0">
      <alignment vertical="top" wrapText="1"/>
    </xf>
    <xf numFmtId="0" fontId="8" fillId="5" borderId="0" pivotButton="0" quotePrefix="0" xfId="0"/>
    <xf numFmtId="0" fontId="16" fillId="0" borderId="0" pivotButton="0" quotePrefix="0" xfId="0"/>
    <xf numFmtId="0" fontId="10" fillId="6" borderId="0" pivotButton="0" quotePrefix="0" xfId="0"/>
    <xf numFmtId="0" fontId="10" fillId="7" borderId="0" pivotButton="0" quotePrefix="0" xfId="0"/>
    <xf numFmtId="0" fontId="11" fillId="8" borderId="0" pivotButton="0" quotePrefix="0" xfId="0"/>
    <xf numFmtId="0" fontId="1" fillId="3" borderId="0" pivotButton="0" quotePrefix="0" xfId="0"/>
    <xf numFmtId="0" fontId="1" fillId="2" borderId="0" pivotButton="0" quotePrefix="0" xfId="0"/>
    <xf numFmtId="0" fontId="3" fillId="0" borderId="3" applyAlignment="1" pivotButton="0" quotePrefix="0" xfId="0">
      <alignment vertical="top" wrapText="1"/>
    </xf>
    <xf numFmtId="0" fontId="16" fillId="0" borderId="3" applyAlignment="1" pivotButton="0" quotePrefix="0" xfId="0">
      <alignment vertical="top" wrapText="1"/>
    </xf>
    <xf numFmtId="0" fontId="3" fillId="4" borderId="3" applyAlignment="1" pivotButton="0" quotePrefix="0" xfId="0">
      <alignment vertical="top" wrapText="1"/>
    </xf>
    <xf numFmtId="0" fontId="18" fillId="0" borderId="0" applyAlignment="1" pivotButton="0" quotePrefix="0" xfId="0">
      <alignment vertical="top" wrapText="1"/>
    </xf>
    <xf numFmtId="0" fontId="17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1" fillId="3" borderId="1" applyAlignment="1" pivotButton="0" quotePrefix="0" xfId="0">
      <alignment vertical="center" wrapText="1"/>
    </xf>
    <xf numFmtId="0" fontId="2" fillId="0" borderId="2" pivotButton="0" quotePrefix="0" xfId="0"/>
    <xf numFmtId="165" fontId="2" fillId="0" borderId="2" applyAlignment="1" pivotButton="0" quotePrefix="0" xfId="0">
      <alignment horizontal="left"/>
    </xf>
    <xf numFmtId="165" fontId="2" fillId="4" borderId="2" applyAlignment="1" pivotButton="0" quotePrefix="0" xfId="0">
      <alignment horizontal="left"/>
    </xf>
    <xf numFmtId="0" fontId="2" fillId="4" borderId="2" pivotButton="0" quotePrefix="0" xfId="0"/>
    <xf numFmtId="1" fontId="2" fillId="0" borderId="2" applyAlignment="1" pivotButton="0" quotePrefix="0" xfId="0">
      <alignment horizontal="right"/>
    </xf>
    <xf numFmtId="1" fontId="2" fillId="4" borderId="2" applyAlignment="1" pivotButton="0" quotePrefix="0" xfId="0">
      <alignment horizontal="right"/>
    </xf>
    <xf numFmtId="0" fontId="3" fillId="4" borderId="2" pivotButton="0" quotePrefix="0" xfId="0"/>
    <xf numFmtId="0" fontId="6" fillId="0" borderId="0" pivotButton="0" quotePrefix="0" xfId="0"/>
    <xf numFmtId="165" fontId="4" fillId="0" borderId="0" applyAlignment="1" pivotButton="0" quotePrefix="0" xfId="0">
      <alignment horizontal="left"/>
    </xf>
    <xf numFmtId="0" fontId="7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right"/>
    </xf>
    <xf numFmtId="0" fontId="8" fillId="5" borderId="3" pivotButton="0" quotePrefix="0" xfId="0"/>
    <xf numFmtId="1" fontId="9" fillId="0" borderId="3" pivotButton="0" quotePrefix="0" xfId="0"/>
    <xf numFmtId="0" fontId="10" fillId="6" borderId="3" pivotButton="0" quotePrefix="0" xfId="0"/>
    <xf numFmtId="0" fontId="10" fillId="7" borderId="3" pivotButton="0" quotePrefix="0" xfId="0"/>
    <xf numFmtId="0" fontId="11" fillId="8" borderId="3" pivotButton="0" quotePrefix="0" xfId="0"/>
    <xf numFmtId="0" fontId="3" fillId="0" borderId="3" pivotButton="0" quotePrefix="0" xfId="0"/>
    <xf numFmtId="0" fontId="12" fillId="0" borderId="3" applyAlignment="1" pivotButton="0" quotePrefix="0" xfId="0">
      <alignment horizontal="center"/>
    </xf>
    <xf numFmtId="0" fontId="2" fillId="0" borderId="3" pivotButton="0" quotePrefix="0" xfId="0"/>
    <xf numFmtId="165" fontId="2" fillId="0" borderId="3" applyAlignment="1" pivotButton="0" quotePrefix="0" xfId="0">
      <alignment horizontal="left"/>
    </xf>
    <xf numFmtId="1" fontId="2" fillId="0" borderId="3" pivotButton="0" quotePrefix="0" xfId="0"/>
    <xf numFmtId="0" fontId="1" fillId="2" borderId="0" applyAlignment="1" pivotButton="0" quotePrefix="0" xfId="0">
      <alignment horizontal="left" wrapText="1"/>
    </xf>
    <xf numFmtId="0" fontId="1" fillId="2" borderId="0" applyAlignment="1" pivotButton="0" quotePrefix="0" xfId="0">
      <alignment horizontal="right" wrapText="1"/>
    </xf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dxfs count="6">
    <dxf>
      <font>
        <b val="1"/>
        <color rgb="00B03A21"/>
      </font>
      <fill>
        <patternFill patternType="solid">
          <fgColor rgb="00F8DFD8"/>
          <bgColor rgb="00F8DFD8"/>
        </patternFill>
      </fill>
    </dxf>
    <dxf>
      <font>
        <b val="1"/>
        <color rgb="008A5A13"/>
      </font>
      <fill>
        <patternFill patternType="solid">
          <fgColor rgb="00FCEFD4"/>
          <bgColor rgb="00FCEFD4"/>
        </patternFill>
      </fill>
    </dxf>
    <dxf>
      <font>
        <color rgb="008A5A13"/>
      </font>
      <fill>
        <patternFill patternType="solid">
          <fgColor rgb="00FEF7E7"/>
          <bgColor rgb="00FEF7E7"/>
        </patternFill>
      </fill>
    </dxf>
    <dxf>
      <font>
        <color rgb="0017693A"/>
      </font>
      <fill>
        <patternFill patternType="solid">
          <fgColor rgb="00D8F0DC"/>
          <bgColor rgb="00D8F0DC"/>
        </patternFill>
      </fill>
    </dxf>
    <dxf>
      <font>
        <i val="1"/>
        <color rgb="007A8178"/>
      </font>
    </dxf>
    <dxf>
      <fill>
        <patternFill patternType="solid">
          <fgColor rgb="00F7F8F4"/>
          <bgColor rgb="00F7F8F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omments/comment1.xml><?xml version="1.0" encoding="utf-8"?>
<comments xmlns="http://schemas.openxmlformats.org/spreadsheetml/2006/main">
  <authors>
    <author>ExpiryEdge</author>
  </authors>
  <commentList>
    <comment ref="A3" authorId="0" shapeId="0">
      <text>
        <t>Full name as it appears on the state registry. One row per aide per state registry. (Required for import.)</t>
      </text>
    </comment>
    <comment ref="B3" authorId="0" shapeId="0">
      <text>
        <t>CNA, medication aide or other. Edit the list on the Lists sheet.</t>
      </text>
    </comment>
    <comment ref="C3" authorId="0" shapeId="0">
      <text>
        <t>Two-letter state code. If the aide is listed in more than one state, add a row for each.</t>
      </text>
    </comment>
    <comment ref="D3" authorId="0" shapeId="0">
      <text>
        <t>Number shown on the registry lookup.</t>
      </text>
    </comment>
    <comment ref="E3" authorId="0" shapeId="0">
      <text>
        <t>Start date with you. The in-service year is counted from this date, not the calendar year.</t>
      </text>
    </comment>
    <comment ref="F3" authorId="0" shapeId="0">
      <text>
        <t>Expiry or renewal date shown on the state registry. Leave blank if your state does not set one (Illinois, for example): the 24-month cut-off is used instead.</t>
      </text>
    </comment>
    <comment ref="G3" authorId="0" shapeId="0">
      <text>
        <t>Last documented day of paid nursing or nursing-related work, here or elsewhere. Update it for PRN and on-leave aides. (Required for import.)</t>
      </text>
    </comment>
    <comment ref="H3" authorId="0" shapeId="0">
      <text>
        <t>Calculated. Last paid nursing work + 24 months (EDATE). After 24 consecutive months with no paid nursing work, federal rules require new training or a new competency evaluation.</t>
      </text>
    </comment>
    <comment ref="I3" authorId="0" shapeId="0">
      <text>
        <t>Calculated. The earlier of registry expiry and the 24-month cut-off. Blank-safe: uses whichever date exists. Shows "Check date" if either date was typed as text.</t>
      </text>
    </comment>
    <comment ref="J3" authorId="0" shapeId="0">
      <text>
        <t>Calculated. Which date sets the next deadline.</t>
      </text>
    </comment>
    <comment ref="K3" authorId="0" shapeId="0">
      <text>
        <t>How many days before the date you want to start acting. Leave blank for 30.</t>
      </text>
    </comment>
    <comment ref="L3" authorId="0" shapeId="0">
      <text>
        <t>Calculated. Next deadline minus the lead time: start the renewal, or schedule a paid shift, before this.</t>
      </text>
    </comment>
    <comment ref="M3" authorId="0" shapeId="0">
      <text>
        <t>Calculated. Days until the next deadline; negative once it has passed.</t>
      </text>
    </comment>
    <comment ref="N3" authorId="0" shapeId="0">
      <text>
        <t>Calculated. Expired, Due ≤30 days, Due ≤90 days or OK, from the next deadline.</t>
      </text>
    </comment>
    <comment ref="O3" authorId="0" shapeId="0">
      <text>
        <t>Calculated. Next anniversary of the hire date: the end of the current in-service year.</t>
      </text>
    </comment>
    <comment ref="P3" authorId="0" shapeId="0">
      <text>
        <t>Hours of in-service training completed since the start of the current in-service year.</t>
      </text>
    </comment>
    <comment ref="Q3" authorId="0" shapeId="0">
      <text>
        <t>Hours required per year. Blank = 12, the federal minimum for nurse aides in certified nursing facilities (42 CFR 483.95(g)). Your state or setting may require more or count differently.</t>
      </text>
    </comment>
    <comment ref="R3" authorId="0" shapeId="0">
      <text>
        <t>Calculated. Target minus hours done. Red when hours are short and the in-service year ends within 30 days; amber within 90.</t>
      </text>
    </comment>
    <comment ref="S3" authorId="0" shapeId="0">
      <text>
        <t>Expiry date on the card, if your facility requires one. Colored by its own date.</t>
      </text>
    </comment>
    <comment ref="T3" authorId="0" shapeId="0">
      <text>
        <t>Calculated. Days until the CPR / First Aid card expires.</t>
      </text>
    </comment>
    <comment ref="U3" authorId="0" shapeId="0">
      <text>
        <t>Who chases this aide's renewal (HR, staff development, DON).</t>
      </text>
    </comment>
    <comment ref="V3" authorId="0" shapeId="0">
      <text>
        <t>Who should be reminded. Becomes notification_email on import.</t>
      </text>
    </comment>
    <comment ref="W3" authorId="0" shapeId="0">
      <text>
        <t>Link to the state registry verification page, or to the saved printout of the lookup.</t>
      </text>
    </comment>
    <comment ref="X3" authorId="0" shapeId="0">
      <text>
        <t>Anything the next person needs to know.</t>
      </text>
    </comment>
  </commentList>
</comments>
</file>

<file path=xl/comments/comment2.xml><?xml version="1.0" encoding="utf-8"?>
<comments xmlns="http://schemas.openxmlformats.org/spreadsheetml/2006/main">
  <authors>
    <author>ExpiryEdge</author>
  </authors>
  <commentList>
    <comment ref="A1" authorId="0" shapeId="0">
      <text>
        <t>This sheet fills itself from the tracker, one row per dated item (so one person can appear several times). Only items with a name and a date appear. In ExpiryEdge, go to Bulk Import and upload this .xlsx (choose this sheet), or save this sheet as CSV first. Required columns: name, expiry_date, type.</t>
      </text>
    </comment>
  </commentList>
</comments>
</file>

<file path=xl/tables/table1.xml><?xml version="1.0" encoding="utf-8"?>
<table xmlns="http://schemas.openxmlformats.org/spreadsheetml/2006/main" id="1" name="tblAides" displayName="tblAides" ref="A3:X503" headerRowCount="1">
  <autoFilter ref="A3:X503"/>
  <tableColumns count="24">
    <tableColumn id="1" name="Aide"/>
    <tableColumn id="2" name="Role"/>
    <tableColumn id="3" name="Registry state"/>
    <tableColumn id="4" name="Registry / cert no."/>
    <tableColumn id="5" name="Hire date"/>
    <tableColumn id="6" name="Registry expiry"/>
    <tableColumn id="7" name="Last paid nursing work"/>
    <tableColumn id="8" name="24-month cut-off"/>
    <tableColumn id="9" name="Next deadline"/>
    <tableColumn id="10" name="Driven by"/>
    <tableColumn id="11" name="Lead time (days)"/>
    <tableColumn id="12" name="Act-by date"/>
    <tableColumn id="13" name="Days left"/>
    <tableColumn id="14" name="Status"/>
    <tableColumn id="15" name="In-service year ends"/>
    <tableColumn id="16" name="In-service hrs this year"/>
    <tableColumn id="17" name="In-service target (hrs)"/>
    <tableColumn id="18" name="Hours still needed"/>
    <tableColumn id="19" name="CPR / First Aid expiry"/>
    <tableColumn id="20" name="CPR days left"/>
    <tableColumn id="21" name="Owner"/>
    <tableColumn id="22" name="Owner email"/>
    <tableColumn id="23" name="Registry lookup link"/>
    <tableColumn id="24" name="Notes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ecfr.gov/current/title-42/chapter-IV/subchapter-G/part-483/subpart-B/section-483.35" TargetMode="External" Id="rId1"/><Relationship Type="http://schemas.openxmlformats.org/officeDocument/2006/relationships/hyperlink" Target="https://www.ecfr.gov/current/title-42/chapter-IV/subchapter-G/part-483/subpart-B/section-483.95" TargetMode="External" Id="rId2"/><Relationship Type="http://schemas.openxmlformats.org/officeDocument/2006/relationships/hyperlink" Target="https://www.cms.gov/medicare/provider-enrollment-and-certification/guidanceforlawsandregulations/downloads/appendix-pp-state-operations-manual.pdf" TargetMode="External" Id="rId3"/><Relationship Type="http://schemas.openxmlformats.org/officeDocument/2006/relationships/hyperlink" Target="https://expiryedge.com/blogs/cna-license-renewal-requirements-tracking/" TargetMode="External" Id="rId4"/><Relationship Type="http://schemas.openxmlformats.org/officeDocument/2006/relationships/hyperlink" Target="https://expiryedge.com/templates/cna-certification-tracker/" TargetMode="External" Id="rId5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tabColor rgb="000E6B4F"/>
    <outlinePr summaryBelow="1" summaryRight="1"/>
    <pageSetUpPr fitToPage="1"/>
  </sheetPr>
  <dimension ref="B2:C65"/>
  <sheetViews>
    <sheetView showGridLines="0" tabSelected="1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96" customWidth="1" min="3" max="3"/>
  </cols>
  <sheetData>
    <row r="2">
      <c r="B2" s="1" t="inlineStr">
        <is>
          <t>CNA certification tracker</t>
        </is>
      </c>
    </row>
    <row r="3">
      <c r="B3" s="2" t="inlineStr">
        <is>
          <t>Every nurse aide’s registry expiry, 24-month work cut-off, in-service hours and CPR card on one row, with the next deadline worked out for you.</t>
        </is>
      </c>
    </row>
    <row r="4">
      <c r="B4" s="3" t="inlineStr">
        <is>
          <t>Free template · October 2026 edition · works in Excel, Google Sheets and LibreOffice</t>
        </is>
      </c>
    </row>
    <row r="6">
      <c r="B6" s="4" t="inlineStr">
        <is>
          <t>How to use it</t>
        </is>
      </c>
    </row>
    <row r="7" ht="18" customHeight="1">
      <c r="B7" s="5" t="inlineStr">
        <is>
          <t>1. Clear the examples</t>
        </is>
      </c>
      <c r="C7" s="6" t="inlineStr">
        <is>
          <t>Rows on the "Aides" sheet that start with "Example –" are samples. Delete them, or type over them.</t>
        </is>
      </c>
    </row>
    <row r="8" ht="33" customHeight="1">
      <c r="B8" s="5" t="inlineStr">
        <is>
          <t>2. Add your own rows</t>
        </is>
      </c>
      <c r="C8" s="6" t="inlineStr">
        <is>
          <t>Type in the white columns. The date is the one that matters: copy it from the document itself. Shaded columns calculate the days left, the status and the date to act by.</t>
        </is>
      </c>
    </row>
    <row r="9" ht="33" customHeight="1">
      <c r="B9" s="5" t="inlineStr">
        <is>
          <t>3. Check it weekly</t>
        </is>
      </c>
      <c r="C9" s="6" t="inlineStr">
        <is>
          <t>Open the Dashboard sheet: it counts what has expired or is due soon and lists the next 10 dates. Filter the status column to see only what needs action.</t>
        </is>
      </c>
    </row>
    <row r="11">
      <c r="B11" s="4" t="inlineStr">
        <is>
          <t>Colour key</t>
        </is>
      </c>
    </row>
    <row r="12">
      <c r="B12" s="7" t="inlineStr">
        <is>
          <t>Expired</t>
        </is>
      </c>
      <c r="C12" s="8" t="inlineStr">
        <is>
          <t>The date has passed.</t>
        </is>
      </c>
    </row>
    <row r="13">
      <c r="B13" s="9" t="inlineStr">
        <is>
          <t>Due ≤30 days</t>
        </is>
      </c>
      <c r="C13" s="8" t="inlineStr">
        <is>
          <t>Due within 30 days. Act now.</t>
        </is>
      </c>
    </row>
    <row r="14">
      <c r="B14" s="10" t="inlineStr">
        <is>
          <t>Due ≤90 days</t>
        </is>
      </c>
      <c r="C14" s="8" t="inlineStr">
        <is>
          <t>Due within 90 days. Plan it.</t>
        </is>
      </c>
    </row>
    <row r="15">
      <c r="B15" s="11" t="inlineStr">
        <is>
          <t>OK</t>
        </is>
      </c>
      <c r="C15" s="8" t="inlineStr">
        <is>
          <t>More than 90 days away.</t>
        </is>
      </c>
    </row>
    <row r="16">
      <c r="B16" s="12" t="inlineStr">
        <is>
          <t>Calculated column</t>
        </is>
      </c>
      <c r="C16" s="8" t="inlineStr">
        <is>
          <t>Dark header and shaded cells: filled in by formula, no need to type.</t>
        </is>
      </c>
    </row>
    <row r="17">
      <c r="B17" s="13" t="inlineStr">
        <is>
          <t>Your input</t>
        </is>
      </c>
      <c r="C17" s="8" t="inlineStr">
        <is>
          <t>Green header: type here. Hover a header to see what it expects.</t>
        </is>
      </c>
    </row>
    <row r="19">
      <c r="B19" s="4" t="inlineStr">
        <is>
          <t>Columns on "Aides"</t>
        </is>
      </c>
    </row>
    <row r="20">
      <c r="B20" s="13" t="inlineStr">
        <is>
          <t>Column</t>
        </is>
      </c>
      <c r="C20" s="13" t="inlineStr">
        <is>
          <t>What to enter</t>
        </is>
      </c>
    </row>
    <row r="21" ht="18" customHeight="1">
      <c r="B21" s="14" t="inlineStr">
        <is>
          <t>Aide *</t>
        </is>
      </c>
      <c r="C21" s="15" t="inlineStr">
        <is>
          <t>Full name as it appears on the state registry. One row per aide per state registry.</t>
        </is>
      </c>
    </row>
    <row r="22" ht="18" customHeight="1">
      <c r="B22" s="14" t="inlineStr">
        <is>
          <t>Role</t>
        </is>
      </c>
      <c r="C22" s="15" t="inlineStr">
        <is>
          <t>CNA, medication aide or other. Edit the list on the Lists sheet.</t>
        </is>
      </c>
    </row>
    <row r="23" ht="18" customHeight="1">
      <c r="B23" s="14" t="inlineStr">
        <is>
          <t>Registry state</t>
        </is>
      </c>
      <c r="C23" s="15" t="inlineStr">
        <is>
          <t>Two-letter state code. If the aide is listed in more than one state, add a row for each.</t>
        </is>
      </c>
    </row>
    <row r="24" ht="18" customHeight="1">
      <c r="B24" s="14" t="inlineStr">
        <is>
          <t>Registry / cert no.</t>
        </is>
      </c>
      <c r="C24" s="15" t="inlineStr">
        <is>
          <t>Number shown on the registry lookup.</t>
        </is>
      </c>
    </row>
    <row r="25" ht="18" customHeight="1">
      <c r="B25" s="14" t="inlineStr">
        <is>
          <t>Hire date</t>
        </is>
      </c>
      <c r="C25" s="15" t="inlineStr">
        <is>
          <t>Start date with you. The in-service year is counted from this date, not the calendar year.</t>
        </is>
      </c>
    </row>
    <row r="26" ht="33" customHeight="1">
      <c r="B26" s="14" t="inlineStr">
        <is>
          <t>Registry expiry</t>
        </is>
      </c>
      <c r="C26" s="15" t="inlineStr">
        <is>
          <t>Expiry or renewal date shown on the state registry. Leave blank if your state does not set one (Illinois, for example): the 24-month cut-off is used instead.</t>
        </is>
      </c>
    </row>
    <row r="27" ht="33" customHeight="1">
      <c r="B27" s="14" t="inlineStr">
        <is>
          <t>Last paid nursing work *</t>
        </is>
      </c>
      <c r="C27" s="15" t="inlineStr">
        <is>
          <t>Last documented day of paid nursing or nursing-related work, here or elsewhere. Update it for PRN and on-leave aides.</t>
        </is>
      </c>
    </row>
    <row r="28" ht="33" customHeight="1">
      <c r="B28" s="16" t="inlineStr">
        <is>
          <t>24-month cut-off</t>
        </is>
      </c>
      <c r="C28" s="15" t="inlineStr">
        <is>
          <t>Calculated. Last paid nursing work + 24 months (EDATE). After 24 consecutive months with no paid nursing work, federal rules require new training or a new competency evaluation.</t>
        </is>
      </c>
    </row>
    <row r="29" ht="33" customHeight="1">
      <c r="B29" s="16" t="inlineStr">
        <is>
          <t>Next deadline</t>
        </is>
      </c>
      <c r="C29" s="15" t="inlineStr">
        <is>
          <t>Calculated. The earlier of registry expiry and the 24-month cut-off. Blank-safe: uses whichever date exists. Shows "Check date" if either date was typed as text.</t>
        </is>
      </c>
    </row>
    <row r="30" ht="18" customHeight="1">
      <c r="B30" s="16" t="inlineStr">
        <is>
          <t>Driven by</t>
        </is>
      </c>
      <c r="C30" s="15" t="inlineStr">
        <is>
          <t>Calculated. Which date sets the next deadline.</t>
        </is>
      </c>
    </row>
    <row r="31" ht="18" customHeight="1">
      <c r="B31" s="14" t="inlineStr">
        <is>
          <t>Lead time (days)</t>
        </is>
      </c>
      <c r="C31" s="15" t="inlineStr">
        <is>
          <t>How many days before the date you want to start acting. Leave blank for 30.</t>
        </is>
      </c>
    </row>
    <row r="32" ht="33" customHeight="1">
      <c r="B32" s="16" t="inlineStr">
        <is>
          <t>Act-by date</t>
        </is>
      </c>
      <c r="C32" s="15" t="inlineStr">
        <is>
          <t>Calculated. Next deadline minus the lead time: start the renewal, or schedule a paid shift, before this.</t>
        </is>
      </c>
    </row>
    <row r="33" ht="18" customHeight="1">
      <c r="B33" s="16" t="inlineStr">
        <is>
          <t>Days left</t>
        </is>
      </c>
      <c r="C33" s="15" t="inlineStr">
        <is>
          <t>Calculated. Days until the next deadline; negative once it has passed.</t>
        </is>
      </c>
    </row>
    <row r="34" ht="18" customHeight="1">
      <c r="B34" s="16" t="inlineStr">
        <is>
          <t>Status</t>
        </is>
      </c>
      <c r="C34" s="15" t="inlineStr">
        <is>
          <t>Calculated. Expired, Due ≤30 days, Due ≤90 days or OK, from the next deadline.</t>
        </is>
      </c>
    </row>
    <row r="35" ht="18" customHeight="1">
      <c r="B35" s="16" t="inlineStr">
        <is>
          <t>In-service year ends</t>
        </is>
      </c>
      <c r="C35" s="15" t="inlineStr">
        <is>
          <t>Calculated. Next anniversary of the hire date: the end of the current in-service year.</t>
        </is>
      </c>
    </row>
    <row r="36" ht="18" customHeight="1">
      <c r="B36" s="14" t="inlineStr">
        <is>
          <t>In-service hrs this year</t>
        </is>
      </c>
      <c r="C36" s="15" t="inlineStr">
        <is>
          <t>Hours of in-service training completed since the start of the current in-service year.</t>
        </is>
      </c>
    </row>
    <row r="37" ht="33" customHeight="1">
      <c r="B37" s="14" t="inlineStr">
        <is>
          <t>In-service target (hrs)</t>
        </is>
      </c>
      <c r="C37" s="15" t="inlineStr">
        <is>
          <t>Hours required per year. Blank = 12, the federal minimum for nurse aides in certified nursing facilities (42 CFR 483.95(g)). Your state or setting may require more or count differently.</t>
        </is>
      </c>
    </row>
    <row r="38" ht="33" customHeight="1">
      <c r="B38" s="16" t="inlineStr">
        <is>
          <t>Hours still needed</t>
        </is>
      </c>
      <c r="C38" s="15" t="inlineStr">
        <is>
          <t>Calculated. Target minus hours done. Red when hours are short and the in-service year ends within 30 days; amber within 90.</t>
        </is>
      </c>
    </row>
    <row r="39" ht="18" customHeight="1">
      <c r="B39" s="14" t="inlineStr">
        <is>
          <t>CPR / First Aid expiry</t>
        </is>
      </c>
      <c r="C39" s="15" t="inlineStr">
        <is>
          <t>Expiry date on the card, if your facility requires one. Colored by its own date.</t>
        </is>
      </c>
    </row>
    <row r="40" ht="18" customHeight="1">
      <c r="B40" s="16" t="inlineStr">
        <is>
          <t>CPR days left</t>
        </is>
      </c>
      <c r="C40" s="15" t="inlineStr">
        <is>
          <t>Calculated. Days until the CPR / First Aid card expires.</t>
        </is>
      </c>
    </row>
    <row r="41" ht="18" customHeight="1">
      <c r="B41" s="14" t="inlineStr">
        <is>
          <t>Owner</t>
        </is>
      </c>
      <c r="C41" s="15" t="inlineStr">
        <is>
          <t>Who chases this aide's renewal (HR, staff development, DON).</t>
        </is>
      </c>
    </row>
    <row r="42" ht="18" customHeight="1">
      <c r="B42" s="14" t="inlineStr">
        <is>
          <t>Owner email</t>
        </is>
      </c>
      <c r="C42" s="15" t="inlineStr">
        <is>
          <t>Who should be reminded. Becomes notification_email on import.</t>
        </is>
      </c>
    </row>
    <row r="43" ht="18" customHeight="1">
      <c r="B43" s="14" t="inlineStr">
        <is>
          <t>Registry lookup link</t>
        </is>
      </c>
      <c r="C43" s="15" t="inlineStr">
        <is>
          <t>Link to the state registry verification page, or to the saved printout of the lookup.</t>
        </is>
      </c>
    </row>
    <row r="44" ht="18" customHeight="1">
      <c r="B44" s="14" t="inlineStr">
        <is>
          <t>Notes</t>
        </is>
      </c>
      <c r="C44" s="15" t="inlineStr">
        <is>
          <t>Anything the next person needs to know.</t>
        </is>
      </c>
    </row>
    <row r="45">
      <c r="B45" s="3" t="inlineStr">
        <is>
          <t>* needed for the import sheet.</t>
        </is>
      </c>
    </row>
    <row r="47">
      <c r="B47" s="4" t="inlineStr">
        <is>
          <t>Other sheets</t>
        </is>
      </c>
    </row>
    <row r="48" ht="18" customHeight="1">
      <c r="B48" s="5" t="inlineStr">
        <is>
          <t>Dashboard</t>
        </is>
      </c>
      <c r="C48" s="6" t="inlineStr">
        <is>
          <t>Counts by status and the next 10 dates, always as of today.</t>
        </is>
      </c>
    </row>
    <row r="49" ht="48" customHeight="1">
      <c r="B49" s="5" t="inlineStr">
        <is>
          <t>Import to ExpiryEdge</t>
        </is>
      </c>
      <c r="C49" s="6" t="inlineStr">
        <is>
          <t>The same rows laid out in the ExpiryEdge bulk-import columns (name, expiry_date, type, ...). If you ever move this list into ExpiryEdge, upload this file in Bulk Import and pick this sheet, or save the sheet as CSV. It fills itself; you never need to edit it.</t>
        </is>
      </c>
    </row>
    <row r="50" ht="18" customHeight="1">
      <c r="B50" s="5" t="inlineStr">
        <is>
          <t>Lists</t>
        </is>
      </c>
      <c r="C50" s="6" t="inlineStr">
        <is>
          <t>The options behind the dropdowns. Add your own there.</t>
        </is>
      </c>
    </row>
    <row r="52">
      <c r="B52" s="4" t="inlineStr">
        <is>
          <t>Good to know</t>
        </is>
      </c>
    </row>
    <row r="53">
      <c r="B53" s="8" t="inlineStr">
        <is>
          <t>·  Formulas are filled down for 500 rows. Need more? Copy the last row down.</t>
        </is>
      </c>
    </row>
    <row r="54">
      <c r="B54" s="8" t="inlineStr">
        <is>
          <t>·  Dates must be real dates, not text. If a status says "Check date", retype that date.</t>
        </is>
      </c>
    </row>
    <row r="55">
      <c r="B55" s="8" t="inlineStr">
        <is>
          <t>·  The file only changes when someone opens it. It cannot send reminders on its own.</t>
        </is>
      </c>
    </row>
    <row r="56">
      <c r="B56" s="8" t="inlineStr">
        <is>
          <t>·  This is a free template, not legal advice. Check dates and requirements against the official source for your situation.</t>
        </is>
      </c>
    </row>
    <row r="58">
      <c r="B58" s="4" t="inlineStr">
        <is>
          <t>Official sources</t>
        </is>
      </c>
    </row>
    <row r="59">
      <c r="B59" s="3" t="inlineStr">
        <is>
          <t>Rules differ by state and by setting. Check the official page before relying on a date.</t>
        </is>
      </c>
    </row>
    <row r="60" ht="33" customHeight="1">
      <c r="B60" s="17" t="inlineStr">
        <is>
          <t>42 CFR 483.35(d): registry checks, 24-month retraining rule</t>
        </is>
      </c>
      <c r="C60" s="6" t="inlineStr">
        <is>
          <t>Federal rule for certified nursing facilities. (d)(6): after 24 consecutive months with no paid nursing work, a new training and competency evaluation program or a new competency evaluation program.</t>
        </is>
      </c>
    </row>
    <row r="61" ht="18" customHeight="1">
      <c r="B61" s="17" t="inlineStr">
        <is>
          <t>42 CFR 483.95(g): in-service training</t>
        </is>
      </c>
      <c r="C61" s="6" t="inlineStr">
        <is>
          <t>No less than 12 hours per year, including dementia management and resident abuse prevention.</t>
        </is>
      </c>
    </row>
    <row r="62" ht="18" customHeight="1">
      <c r="B62" s="17" t="inlineStr">
        <is>
          <t>CMS State Operations Manual, Appendix PP</t>
        </is>
      </c>
      <c r="C62" s="6" t="inlineStr">
        <is>
          <t>Surveyor guidance (F728, F730), including counting the in-service year from the employment date.</t>
        </is>
      </c>
    </row>
    <row r="63" ht="33" customHeight="1">
      <c r="B63" s="17" t="inlineStr">
        <is>
          <t>State-by-state renewal rules (ExpiryEdge guide)</t>
        </is>
      </c>
      <c r="C63" s="6" t="inlineStr">
        <is>
          <t>Renewal rules, fees and lookups are set by each state. The guide links to the official registry page for each state it covers.</t>
        </is>
      </c>
    </row>
    <row r="65">
      <c r="B65" s="18" t="inlineStr">
        <is>
          <t>Made by ExpiryEdge · expiryedge.com</t>
        </is>
      </c>
    </row>
  </sheetData>
  <hyperlinks>
    <hyperlink xmlns:r="http://schemas.openxmlformats.org/officeDocument/2006/relationships" ref="B60" r:id="rId1"/>
    <hyperlink xmlns:r="http://schemas.openxmlformats.org/officeDocument/2006/relationships" ref="B61" r:id="rId2"/>
    <hyperlink xmlns:r="http://schemas.openxmlformats.org/officeDocument/2006/relationships" ref="B62" r:id="rId3"/>
    <hyperlink xmlns:r="http://schemas.openxmlformats.org/officeDocument/2006/relationships" ref="B63" r:id="rId4"/>
    <hyperlink xmlns:r="http://schemas.openxmlformats.org/officeDocument/2006/relationships" ref="B65" r:id="rId5"/>
  </hyperlinks>
  <printOptions horizontalCentered="0"/>
  <pageMargins left="0.4" right="0.4" top="0.5" bottom="0.6" header="0.5" footer="0.5"/>
  <pageSetup orientation="portrait" paperSize="1" fitToHeight="0" fitToWidth="1"/>
  <headerFooter>
    <oddHeader/>
    <oddFooter>&amp;C&amp;"Arial"&amp;8 expiryedge.com ·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7CD9AE"/>
    <outlinePr summaryBelow="1" summaryRight="1"/>
    <pageSetUpPr fitToPage="1"/>
  </sheetPr>
  <dimension ref="A1:X503"/>
  <sheetViews>
    <sheetView showGridLines="0" tabSelected="0" zoomScale="10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4" customWidth="1" min="2" max="2"/>
    <col width="9" customWidth="1" min="3" max="3"/>
    <col width="15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6" customWidth="1" min="10" max="10"/>
    <col width="11" customWidth="1" min="11" max="11"/>
    <col width="13" customWidth="1" min="12" max="12"/>
    <col width="9" customWidth="1" min="13" max="13"/>
    <col width="14" customWidth="1" min="14" max="14"/>
    <col width="13" customWidth="1" min="15" max="15"/>
    <col width="10" customWidth="1" min="16" max="16"/>
    <col width="10" customWidth="1" min="17" max="17"/>
    <col width="10" customWidth="1" min="18" max="18"/>
    <col width="13" customWidth="1" min="19" max="19"/>
    <col width="9" customWidth="1" min="20" max="20"/>
    <col width="16" customWidth="1" min="21" max="21"/>
    <col width="26" customWidth="1" min="22" max="22"/>
    <col width="26" customWidth="1" min="23" max="23"/>
    <col width="36" customWidth="1" min="24" max="24"/>
  </cols>
  <sheetData>
    <row r="1" ht="24" customHeight="1">
      <c r="A1" s="19" t="inlineStr">
        <is>
          <t>CNA certification tracker (one row per aide per state registry)</t>
        </is>
      </c>
    </row>
    <row r="2" ht="16" customHeight="1">
      <c r="A2" s="3" t="inlineStr">
        <is>
          <t>Type in the white columns. Shaded columns are calculated, so leave them alone. Rows starting "Example –" are samples: delete them (or type over them) when you add your own.</t>
        </is>
      </c>
    </row>
    <row r="3" ht="32" customHeight="1">
      <c r="A3" s="20" t="inlineStr">
        <is>
          <t>Aide</t>
        </is>
      </c>
      <c r="B3" s="20" t="inlineStr">
        <is>
          <t>Role</t>
        </is>
      </c>
      <c r="C3" s="20" t="inlineStr">
        <is>
          <t>Registry state</t>
        </is>
      </c>
      <c r="D3" s="20" t="inlineStr">
        <is>
          <t>Registry / cert no.</t>
        </is>
      </c>
      <c r="E3" s="20" t="inlineStr">
        <is>
          <t>Hire date</t>
        </is>
      </c>
      <c r="F3" s="20" t="inlineStr">
        <is>
          <t>Registry expiry</t>
        </is>
      </c>
      <c r="G3" s="20" t="inlineStr">
        <is>
          <t>Last paid nursing work</t>
        </is>
      </c>
      <c r="H3" s="21" t="inlineStr">
        <is>
          <t>24-month cut-off</t>
        </is>
      </c>
      <c r="I3" s="21" t="inlineStr">
        <is>
          <t>Next deadline</t>
        </is>
      </c>
      <c r="J3" s="21" t="inlineStr">
        <is>
          <t>Driven by</t>
        </is>
      </c>
      <c r="K3" s="20" t="inlineStr">
        <is>
          <t>Lead time (days)</t>
        </is>
      </c>
      <c r="L3" s="21" t="inlineStr">
        <is>
          <t>Act-by date</t>
        </is>
      </c>
      <c r="M3" s="21" t="inlineStr">
        <is>
          <t>Days left</t>
        </is>
      </c>
      <c r="N3" s="21" t="inlineStr">
        <is>
          <t>Status</t>
        </is>
      </c>
      <c r="O3" s="21" t="inlineStr">
        <is>
          <t>In-service year ends</t>
        </is>
      </c>
      <c r="P3" s="20" t="inlineStr">
        <is>
          <t>In-service hrs this year</t>
        </is>
      </c>
      <c r="Q3" s="20" t="inlineStr">
        <is>
          <t>In-service target (hrs)</t>
        </is>
      </c>
      <c r="R3" s="21" t="inlineStr">
        <is>
          <t>Hours still needed</t>
        </is>
      </c>
      <c r="S3" s="20" t="inlineStr">
        <is>
          <t>CPR / First Aid expiry</t>
        </is>
      </c>
      <c r="T3" s="21" t="inlineStr">
        <is>
          <t>CPR days left</t>
        </is>
      </c>
      <c r="U3" s="20" t="inlineStr">
        <is>
          <t>Owner</t>
        </is>
      </c>
      <c r="V3" s="20" t="inlineStr">
        <is>
          <t>Owner email</t>
        </is>
      </c>
      <c r="W3" s="20" t="inlineStr">
        <is>
          <t>Registry lookup link</t>
        </is>
      </c>
      <c r="X3" s="20" t="inlineStr">
        <is>
          <t>Notes</t>
        </is>
      </c>
    </row>
    <row r="4">
      <c r="A4" s="22" t="inlineStr">
        <is>
          <t>Example – Alex Sample</t>
        </is>
      </c>
      <c r="B4" s="22" t="inlineStr">
        <is>
          <t>CNA</t>
        </is>
      </c>
      <c r="C4" s="22" t="inlineStr">
        <is>
          <t>CA</t>
        </is>
      </c>
      <c r="D4" s="22" t="inlineStr">
        <is>
          <t>EX-000101</t>
        </is>
      </c>
      <c r="E4" s="23" t="n">
        <v>45355</v>
      </c>
      <c r="F4" s="23" t="n">
        <v>46356</v>
      </c>
      <c r="G4" s="23" t="n">
        <v>46304</v>
      </c>
      <c r="H4" s="24">
        <f>IF(ISNUMBER(G4),EDATE(G4,24),"")</f>
        <v/>
      </c>
      <c r="I4" s="24">
        <f>IF(OR(AND(LEN(F4)&gt;0,ISNUMBER(F4)=FALSE),AND(LEN(G4)&gt;0,ISNUMBER(G4)=FALSE)),"Check date",IF(COUNT(F4,H4)=0,"",MIN(F4,H4)))</f>
        <v/>
      </c>
      <c r="J4" s="25">
        <f>IF(ISNUMBER(I4)=FALSE,"",IF(AND(ISNUMBER(H4),I4=H4),"24-month work rule","Registry expiry"))</f>
        <v/>
      </c>
      <c r="K4" s="26" t="n">
        <v>60</v>
      </c>
      <c r="L4" s="24">
        <f>IF(ISNUMBER(I4),I4-IF(ISNUMBER(K4),K4,30),"")</f>
        <v/>
      </c>
      <c r="M4" s="27">
        <f>IF(I4="","",IF(ISNUMBER(I4),I4-TODAY(),"Check date"))</f>
        <v/>
      </c>
      <c r="N4" s="28">
        <f>IF(M4="","",IF(ISNUMBER(M4),IF(M4&lt;0,"Expired",IF(M4&lt;=30,"Due ≤30 days",IF(M4&lt;=90,"Due ≤90 days","OK"))),"Check date"))</f>
        <v/>
      </c>
      <c r="O4" s="24">
        <f>IF(ISNUMBER(E4),EDATE(E4,12*(IFERROR(DATEDIF(E4,TODAY(),"y"),0)+1)),"")</f>
        <v/>
      </c>
      <c r="P4" s="26" t="n">
        <v>9</v>
      </c>
      <c r="Q4" s="26" t="n"/>
      <c r="R4" s="27">
        <f>IF(LEN(A4)=0,"",MAX(0,IF(ISNUMBER(Q4),Q4,12)-N(P4)))</f>
        <v/>
      </c>
      <c r="S4" s="23" t="n">
        <v>46508</v>
      </c>
      <c r="T4" s="27">
        <f>IF(S4="","",IF(ISNUMBER(S4),S4-TODAY(),"Check date"))</f>
        <v/>
      </c>
      <c r="U4" s="22" t="inlineStr">
        <is>
          <t>Staff development</t>
        </is>
      </c>
      <c r="V4" s="22" t="inlineStr">
        <is>
          <t>hr@example.com</t>
        </is>
      </c>
      <c r="W4" s="22" t="n"/>
      <c r="X4" s="22" t="n"/>
    </row>
    <row r="5">
      <c r="A5" s="22" t="inlineStr">
        <is>
          <t>Example – Jo Placeholder</t>
        </is>
      </c>
      <c r="B5" s="22" t="inlineStr">
        <is>
          <t>CNA</t>
        </is>
      </c>
      <c r="C5" s="22" t="inlineStr">
        <is>
          <t>IL</t>
        </is>
      </c>
      <c r="D5" s="22" t="inlineStr">
        <is>
          <t>EX-000102</t>
        </is>
      </c>
      <c r="E5" s="23" t="n">
        <v>44942</v>
      </c>
      <c r="F5" s="23" t="n"/>
      <c r="G5" s="23" t="n">
        <v>45641</v>
      </c>
      <c r="H5" s="24">
        <f>IF(ISNUMBER(G5),EDATE(G5,24),"")</f>
        <v/>
      </c>
      <c r="I5" s="24">
        <f>IF(OR(AND(LEN(F5)&gt;0,ISNUMBER(F5)=FALSE),AND(LEN(G5)&gt;0,ISNUMBER(G5)=FALSE)),"Check date",IF(COUNT(F5,H5)=0,"",MIN(F5,H5)))</f>
        <v/>
      </c>
      <c r="J5" s="25">
        <f>IF(ISNUMBER(I5)=FALSE,"",IF(AND(ISNUMBER(H5),I5=H5),"24-month work rule","Registry expiry"))</f>
        <v/>
      </c>
      <c r="K5" s="26" t="n">
        <v>30</v>
      </c>
      <c r="L5" s="24">
        <f>IF(ISNUMBER(I5),I5-IF(ISNUMBER(K5),K5,30),"")</f>
        <v/>
      </c>
      <c r="M5" s="27">
        <f>IF(I5="","",IF(ISNUMBER(I5),I5-TODAY(),"Check date"))</f>
        <v/>
      </c>
      <c r="N5" s="28">
        <f>IF(M5="","",IF(ISNUMBER(M5),IF(M5&lt;0,"Expired",IF(M5&lt;=30,"Due ≤30 days",IF(M5&lt;=90,"Due ≤90 days","OK"))),"Check date"))</f>
        <v/>
      </c>
      <c r="O5" s="24">
        <f>IF(ISNUMBER(E5),EDATE(E5,12*(IFERROR(DATEDIF(E5,TODAY(),"y"),0)+1)),"")</f>
        <v/>
      </c>
      <c r="P5" s="26" t="n">
        <v>4</v>
      </c>
      <c r="Q5" s="26" t="n"/>
      <c r="R5" s="27">
        <f>IF(LEN(A5)=0,"",MAX(0,IF(ISNUMBER(Q5),Q5,12)-N(P5)))</f>
        <v/>
      </c>
      <c r="S5" s="23" t="n">
        <v>46376</v>
      </c>
      <c r="T5" s="27">
        <f>IF(S5="","",IF(ISNUMBER(S5),S5-TODAY(),"Check date"))</f>
        <v/>
      </c>
      <c r="U5" s="22" t="inlineStr">
        <is>
          <t>Staff development</t>
        </is>
      </c>
      <c r="V5" s="22" t="inlineStr">
        <is>
          <t>hr@example.com</t>
        </is>
      </c>
      <c r="W5" s="22" t="n"/>
      <c r="X5" s="22" t="n"/>
    </row>
    <row r="6">
      <c r="A6" s="22" t="inlineStr">
        <is>
          <t>Example – Chris Demo</t>
        </is>
      </c>
      <c r="B6" s="22" t="inlineStr">
        <is>
          <t>CNA</t>
        </is>
      </c>
      <c r="C6" s="22" t="inlineStr">
        <is>
          <t>FL</t>
        </is>
      </c>
      <c r="D6" s="22" t="inlineStr">
        <is>
          <t>EX-000103</t>
        </is>
      </c>
      <c r="E6" s="23" t="n">
        <v>44872</v>
      </c>
      <c r="F6" s="23" t="n">
        <v>46538</v>
      </c>
      <c r="G6" s="23" t="n">
        <v>46305</v>
      </c>
      <c r="H6" s="24">
        <f>IF(ISNUMBER(G6),EDATE(G6,24),"")</f>
        <v/>
      </c>
      <c r="I6" s="24">
        <f>IF(OR(AND(LEN(F6)&gt;0,ISNUMBER(F6)=FALSE),AND(LEN(G6)&gt;0,ISNUMBER(G6)=FALSE)),"Check date",IF(COUNT(F6,H6)=0,"",MIN(F6,H6)))</f>
        <v/>
      </c>
      <c r="J6" s="25">
        <f>IF(ISNUMBER(I6)=FALSE,"",IF(AND(ISNUMBER(H6),I6=H6),"24-month work rule","Registry expiry"))</f>
        <v/>
      </c>
      <c r="K6" s="26" t="n">
        <v>90</v>
      </c>
      <c r="L6" s="24">
        <f>IF(ISNUMBER(I6),I6-IF(ISNUMBER(K6),K6,30),"")</f>
        <v/>
      </c>
      <c r="M6" s="27">
        <f>IF(I6="","",IF(ISNUMBER(I6),I6-TODAY(),"Check date"))</f>
        <v/>
      </c>
      <c r="N6" s="28">
        <f>IF(M6="","",IF(ISNUMBER(M6),IF(M6&lt;0,"Expired",IF(M6&lt;=30,"Due ≤30 days",IF(M6&lt;=90,"Due ≤90 days","OK"))),"Check date"))</f>
        <v/>
      </c>
      <c r="O6" s="24">
        <f>IF(ISNUMBER(E6),EDATE(E6,12*(IFERROR(DATEDIF(E6,TODAY(),"y"),0)+1)),"")</f>
        <v/>
      </c>
      <c r="P6" s="26" t="n">
        <v>7</v>
      </c>
      <c r="Q6" s="26" t="n">
        <v>12</v>
      </c>
      <c r="R6" s="27">
        <f>IF(LEN(A6)=0,"",MAX(0,IF(ISNUMBER(Q6),Q6,12)-N(P6)))</f>
        <v/>
      </c>
      <c r="S6" s="23" t="n">
        <v>46325</v>
      </c>
      <c r="T6" s="27">
        <f>IF(S6="","",IF(ISNUMBER(S6),S6-TODAY(),"Check date"))</f>
        <v/>
      </c>
      <c r="U6" s="22" t="inlineStr">
        <is>
          <t>Staff development</t>
        </is>
      </c>
      <c r="V6" s="22" t="inlineStr">
        <is>
          <t>hr@example.com</t>
        </is>
      </c>
      <c r="W6" s="22" t="n"/>
      <c r="X6" s="22" t="n"/>
    </row>
    <row r="7">
      <c r="A7" s="22" t="inlineStr">
        <is>
          <t>Example – Sam Example</t>
        </is>
      </c>
      <c r="B7" s="22" t="inlineStr">
        <is>
          <t>CMA / med aide</t>
        </is>
      </c>
      <c r="C7" s="22" t="inlineStr">
        <is>
          <t>NY</t>
        </is>
      </c>
      <c r="D7" s="22" t="inlineStr">
        <is>
          <t>EX-000104</t>
        </is>
      </c>
      <c r="E7" s="23" t="n">
        <v>45831</v>
      </c>
      <c r="F7" s="23" t="n">
        <v>46326</v>
      </c>
      <c r="G7" s="23" t="n">
        <v>46306</v>
      </c>
      <c r="H7" s="24">
        <f>IF(ISNUMBER(G7),EDATE(G7,24),"")</f>
        <v/>
      </c>
      <c r="I7" s="24">
        <f>IF(OR(AND(LEN(F7)&gt;0,ISNUMBER(F7)=FALSE),AND(LEN(G7)&gt;0,ISNUMBER(G7)=FALSE)),"Check date",IF(COUNT(F7,H7)=0,"",MIN(F7,H7)))</f>
        <v/>
      </c>
      <c r="J7" s="25">
        <f>IF(ISNUMBER(I7)=FALSE,"",IF(AND(ISNUMBER(H7),I7=H7),"24-month work rule","Registry expiry"))</f>
        <v/>
      </c>
      <c r="K7" s="26" t="n">
        <v>30</v>
      </c>
      <c r="L7" s="24">
        <f>IF(ISNUMBER(I7),I7-IF(ISNUMBER(K7),K7,30),"")</f>
        <v/>
      </c>
      <c r="M7" s="27">
        <f>IF(I7="","",IF(ISNUMBER(I7),I7-TODAY(),"Check date"))</f>
        <v/>
      </c>
      <c r="N7" s="28">
        <f>IF(M7="","",IF(ISNUMBER(M7),IF(M7&lt;0,"Expired",IF(M7&lt;=30,"Due ≤30 days",IF(M7&lt;=90,"Due ≤90 days","OK"))),"Check date"))</f>
        <v/>
      </c>
      <c r="O7" s="24">
        <f>IF(ISNUMBER(E7),EDATE(E7,12*(IFERROR(DATEDIF(E7,TODAY(),"y"),0)+1)),"")</f>
        <v/>
      </c>
      <c r="P7" s="26" t="n">
        <v>3</v>
      </c>
      <c r="Q7" s="26" t="n"/>
      <c r="R7" s="27">
        <f>IF(LEN(A7)=0,"",MAX(0,IF(ISNUMBER(Q7),Q7,12)-N(P7)))</f>
        <v/>
      </c>
      <c r="S7" s="23" t="n">
        <v>46461</v>
      </c>
      <c r="T7" s="27">
        <f>IF(S7="","",IF(ISNUMBER(S7),S7-TODAY(),"Check date"))</f>
        <v/>
      </c>
      <c r="U7" s="22" t="inlineStr">
        <is>
          <t>DON</t>
        </is>
      </c>
      <c r="V7" s="22" t="inlineStr">
        <is>
          <t>don@example.com</t>
        </is>
      </c>
      <c r="W7" s="22" t="n"/>
      <c r="X7" s="22" t="n"/>
    </row>
    <row r="8">
      <c r="A8" s="22" t="inlineStr">
        <is>
          <t>Example – Pat Placeholder</t>
        </is>
      </c>
      <c r="B8" s="22" t="inlineStr">
        <is>
          <t>CNA</t>
        </is>
      </c>
      <c r="C8" s="22" t="inlineStr">
        <is>
          <t>PA</t>
        </is>
      </c>
      <c r="D8" s="22" t="inlineStr">
        <is>
          <t>EX-000105</t>
        </is>
      </c>
      <c r="E8" s="23" t="n">
        <v>44438</v>
      </c>
      <c r="F8" s="23" t="n">
        <v>46295</v>
      </c>
      <c r="G8" s="23" t="n">
        <v>46174</v>
      </c>
      <c r="H8" s="24">
        <f>IF(ISNUMBER(G8),EDATE(G8,24),"")</f>
        <v/>
      </c>
      <c r="I8" s="24">
        <f>IF(OR(AND(LEN(F8)&gt;0,ISNUMBER(F8)=FALSE),AND(LEN(G8)&gt;0,ISNUMBER(G8)=FALSE)),"Check date",IF(COUNT(F8,H8)=0,"",MIN(F8,H8)))</f>
        <v/>
      </c>
      <c r="J8" s="25">
        <f>IF(ISNUMBER(I8)=FALSE,"",IF(AND(ISNUMBER(H8),I8=H8),"24-month work rule","Registry expiry"))</f>
        <v/>
      </c>
      <c r="K8" s="26" t="n">
        <v>60</v>
      </c>
      <c r="L8" s="24">
        <f>IF(ISNUMBER(I8),I8-IF(ISNUMBER(K8),K8,30),"")</f>
        <v/>
      </c>
      <c r="M8" s="27">
        <f>IF(I8="","",IF(ISNUMBER(I8),I8-TODAY(),"Check date"))</f>
        <v/>
      </c>
      <c r="N8" s="28">
        <f>IF(M8="","",IF(ISNUMBER(M8),IF(M8&lt;0,"Expired",IF(M8&lt;=30,"Due ≤30 days",IF(M8&lt;=90,"Due ≤90 days","OK"))),"Check date"))</f>
        <v/>
      </c>
      <c r="O8" s="24">
        <f>IF(ISNUMBER(E8),EDATE(E8,12*(IFERROR(DATEDIF(E8,TODAY(),"y"),0)+1)),"")</f>
        <v/>
      </c>
      <c r="P8" s="26" t="n">
        <v>12</v>
      </c>
      <c r="Q8" s="26" t="n"/>
      <c r="R8" s="27">
        <f>IF(LEN(A8)=0,"",MAX(0,IF(ISNUMBER(Q8),Q8,12)-N(P8)))</f>
        <v/>
      </c>
      <c r="S8" s="23" t="n">
        <v>46397</v>
      </c>
      <c r="T8" s="27">
        <f>IF(S8="","",IF(ISNUMBER(S8),S8-TODAY(),"Check date"))</f>
        <v/>
      </c>
      <c r="U8" s="22" t="inlineStr">
        <is>
          <t>DON</t>
        </is>
      </c>
      <c r="V8" s="22" t="inlineStr">
        <is>
          <t>don@example.com</t>
        </is>
      </c>
      <c r="W8" s="22" t="n"/>
      <c r="X8" s="22" t="n"/>
    </row>
    <row r="9">
      <c r="A9" s="22" t="inlineStr">
        <is>
          <t>Example – Robin Sample</t>
        </is>
      </c>
      <c r="B9" s="22" t="inlineStr">
        <is>
          <t>CNA</t>
        </is>
      </c>
      <c r="C9" s="22" t="inlineStr">
        <is>
          <t>WI</t>
        </is>
      </c>
      <c r="D9" s="22" t="inlineStr">
        <is>
          <t>EX-000106</t>
        </is>
      </c>
      <c r="E9" s="23" t="n">
        <v>43871</v>
      </c>
      <c r="F9" s="23" t="n">
        <v>46843</v>
      </c>
      <c r="G9" s="23" t="n">
        <v>46303</v>
      </c>
      <c r="H9" s="24">
        <f>IF(ISNUMBER(G9),EDATE(G9,24),"")</f>
        <v/>
      </c>
      <c r="I9" s="24">
        <f>IF(OR(AND(LEN(F9)&gt;0,ISNUMBER(F9)=FALSE),AND(LEN(G9)&gt;0,ISNUMBER(G9)=FALSE)),"Check date",IF(COUNT(F9,H9)=0,"",MIN(F9,H9)))</f>
        <v/>
      </c>
      <c r="J9" s="25">
        <f>IF(ISNUMBER(I9)=FALSE,"",IF(AND(ISNUMBER(H9),I9=H9),"24-month work rule","Registry expiry"))</f>
        <v/>
      </c>
      <c r="K9" s="26" t="n">
        <v>60</v>
      </c>
      <c r="L9" s="24">
        <f>IF(ISNUMBER(I9),I9-IF(ISNUMBER(K9),K9,30),"")</f>
        <v/>
      </c>
      <c r="M9" s="27">
        <f>IF(I9="","",IF(ISNUMBER(I9),I9-TODAY(),"Check date"))</f>
        <v/>
      </c>
      <c r="N9" s="28">
        <f>IF(M9="","",IF(ISNUMBER(M9),IF(M9&lt;0,"Expired",IF(M9&lt;=30,"Due ≤30 days",IF(M9&lt;=90,"Due ≤90 days","OK"))),"Check date"))</f>
        <v/>
      </c>
      <c r="O9" s="24">
        <f>IF(ISNUMBER(E9),EDATE(E9,12*(IFERROR(DATEDIF(E9,TODAY(),"y"),0)+1)),"")</f>
        <v/>
      </c>
      <c r="P9" s="26" t="n">
        <v>14</v>
      </c>
      <c r="Q9" s="26" t="n"/>
      <c r="R9" s="27">
        <f>IF(LEN(A9)=0,"",MAX(0,IF(ISNUMBER(Q9),Q9,12)-N(P9)))</f>
        <v/>
      </c>
      <c r="S9" s="23" t="n">
        <v>46600</v>
      </c>
      <c r="T9" s="27">
        <f>IF(S9="","",IF(ISNUMBER(S9),S9-TODAY(),"Check date"))</f>
        <v/>
      </c>
      <c r="U9" s="22" t="inlineStr">
        <is>
          <t>Staff development</t>
        </is>
      </c>
      <c r="V9" s="22" t="inlineStr">
        <is>
          <t>hr@example.com</t>
        </is>
      </c>
      <c r="W9" s="22" t="n"/>
      <c r="X9" s="22" t="n"/>
    </row>
    <row r="10">
      <c r="A10" s="22" t="n"/>
      <c r="B10" s="22" t="n"/>
      <c r="C10" s="22" t="n"/>
      <c r="D10" s="22" t="n"/>
      <c r="E10" s="23" t="n"/>
      <c r="F10" s="23" t="n"/>
      <c r="G10" s="23" t="n"/>
      <c r="H10" s="24">
        <f>IF(ISNUMBER(G10),EDATE(G10,24),"")</f>
        <v/>
      </c>
      <c r="I10" s="24">
        <f>IF(OR(AND(LEN(F10)&gt;0,ISNUMBER(F10)=FALSE),AND(LEN(G10)&gt;0,ISNUMBER(G10)=FALSE)),"Check date",IF(COUNT(F10,H10)=0,"",MIN(F10,H10)))</f>
        <v/>
      </c>
      <c r="J10" s="25">
        <f>IF(ISNUMBER(I10)=FALSE,"",IF(AND(ISNUMBER(H10),I10=H10),"24-month work rule","Registry expiry"))</f>
        <v/>
      </c>
      <c r="K10" s="26" t="n"/>
      <c r="L10" s="24">
        <f>IF(ISNUMBER(I10),I10-IF(ISNUMBER(K10),K10,30),"")</f>
        <v/>
      </c>
      <c r="M10" s="27">
        <f>IF(I10="","",IF(ISNUMBER(I10),I10-TODAY(),"Check date"))</f>
        <v/>
      </c>
      <c r="N10" s="28">
        <f>IF(M10="","",IF(ISNUMBER(M10),IF(M10&lt;0,"Expired",IF(M10&lt;=30,"Due ≤30 days",IF(M10&lt;=90,"Due ≤90 days","OK"))),"Check date"))</f>
        <v/>
      </c>
      <c r="O10" s="24">
        <f>IF(ISNUMBER(E10),EDATE(E10,12*(IFERROR(DATEDIF(E10,TODAY(),"y"),0)+1)),"")</f>
        <v/>
      </c>
      <c r="P10" s="26" t="n"/>
      <c r="Q10" s="26" t="n"/>
      <c r="R10" s="27">
        <f>IF(LEN(A10)=0,"",MAX(0,IF(ISNUMBER(Q10),Q10,12)-N(P10)))</f>
        <v/>
      </c>
      <c r="S10" s="23" t="n"/>
      <c r="T10" s="27">
        <f>IF(S10="","",IF(ISNUMBER(S10),S10-TODAY(),"Check date"))</f>
        <v/>
      </c>
      <c r="U10" s="22" t="n"/>
      <c r="V10" s="22" t="n"/>
      <c r="W10" s="22" t="n"/>
      <c r="X10" s="22" t="n"/>
    </row>
    <row r="11">
      <c r="A11" s="22" t="n"/>
      <c r="B11" s="22" t="n"/>
      <c r="C11" s="22" t="n"/>
      <c r="D11" s="22" t="n"/>
      <c r="E11" s="23" t="n"/>
      <c r="F11" s="23" t="n"/>
      <c r="G11" s="23" t="n"/>
      <c r="H11" s="24">
        <f>IF(ISNUMBER(G11),EDATE(G11,24),"")</f>
        <v/>
      </c>
      <c r="I11" s="24">
        <f>IF(OR(AND(LEN(F11)&gt;0,ISNUMBER(F11)=FALSE),AND(LEN(G11)&gt;0,ISNUMBER(G11)=FALSE)),"Check date",IF(COUNT(F11,H11)=0,"",MIN(F11,H11)))</f>
        <v/>
      </c>
      <c r="J11" s="25">
        <f>IF(ISNUMBER(I11)=FALSE,"",IF(AND(ISNUMBER(H11),I11=H11),"24-month work rule","Registry expiry"))</f>
        <v/>
      </c>
      <c r="K11" s="26" t="n"/>
      <c r="L11" s="24">
        <f>IF(ISNUMBER(I11),I11-IF(ISNUMBER(K11),K11,30),"")</f>
        <v/>
      </c>
      <c r="M11" s="27">
        <f>IF(I11="","",IF(ISNUMBER(I11),I11-TODAY(),"Check date"))</f>
        <v/>
      </c>
      <c r="N11" s="28">
        <f>IF(M11="","",IF(ISNUMBER(M11),IF(M11&lt;0,"Expired",IF(M11&lt;=30,"Due ≤30 days",IF(M11&lt;=90,"Due ≤90 days","OK"))),"Check date"))</f>
        <v/>
      </c>
      <c r="O11" s="24">
        <f>IF(ISNUMBER(E11),EDATE(E11,12*(IFERROR(DATEDIF(E11,TODAY(),"y"),0)+1)),"")</f>
        <v/>
      </c>
      <c r="P11" s="26" t="n"/>
      <c r="Q11" s="26" t="n"/>
      <c r="R11" s="27">
        <f>IF(LEN(A11)=0,"",MAX(0,IF(ISNUMBER(Q11),Q11,12)-N(P11)))</f>
        <v/>
      </c>
      <c r="S11" s="23" t="n"/>
      <c r="T11" s="27">
        <f>IF(S11="","",IF(ISNUMBER(S11),S11-TODAY(),"Check date"))</f>
        <v/>
      </c>
      <c r="U11" s="22" t="n"/>
      <c r="V11" s="22" t="n"/>
      <c r="W11" s="22" t="n"/>
      <c r="X11" s="22" t="n"/>
    </row>
    <row r="12">
      <c r="A12" s="22" t="n"/>
      <c r="B12" s="22" t="n"/>
      <c r="C12" s="22" t="n"/>
      <c r="D12" s="22" t="n"/>
      <c r="E12" s="23" t="n"/>
      <c r="F12" s="23" t="n"/>
      <c r="G12" s="23" t="n"/>
      <c r="H12" s="24">
        <f>IF(ISNUMBER(G12),EDATE(G12,24),"")</f>
        <v/>
      </c>
      <c r="I12" s="24">
        <f>IF(OR(AND(LEN(F12)&gt;0,ISNUMBER(F12)=FALSE),AND(LEN(G12)&gt;0,ISNUMBER(G12)=FALSE)),"Check date",IF(COUNT(F12,H12)=0,"",MIN(F12,H12)))</f>
        <v/>
      </c>
      <c r="J12" s="25">
        <f>IF(ISNUMBER(I12)=FALSE,"",IF(AND(ISNUMBER(H12),I12=H12),"24-month work rule","Registry expiry"))</f>
        <v/>
      </c>
      <c r="K12" s="26" t="n"/>
      <c r="L12" s="24">
        <f>IF(ISNUMBER(I12),I12-IF(ISNUMBER(K12),K12,30),"")</f>
        <v/>
      </c>
      <c r="M12" s="27">
        <f>IF(I12="","",IF(ISNUMBER(I12),I12-TODAY(),"Check date"))</f>
        <v/>
      </c>
      <c r="N12" s="28">
        <f>IF(M12="","",IF(ISNUMBER(M12),IF(M12&lt;0,"Expired",IF(M12&lt;=30,"Due ≤30 days",IF(M12&lt;=90,"Due ≤90 days","OK"))),"Check date"))</f>
        <v/>
      </c>
      <c r="O12" s="24">
        <f>IF(ISNUMBER(E12),EDATE(E12,12*(IFERROR(DATEDIF(E12,TODAY(),"y"),0)+1)),"")</f>
        <v/>
      </c>
      <c r="P12" s="26" t="n"/>
      <c r="Q12" s="26" t="n"/>
      <c r="R12" s="27">
        <f>IF(LEN(A12)=0,"",MAX(0,IF(ISNUMBER(Q12),Q12,12)-N(P12)))</f>
        <v/>
      </c>
      <c r="S12" s="23" t="n"/>
      <c r="T12" s="27">
        <f>IF(S12="","",IF(ISNUMBER(S12),S12-TODAY(),"Check date"))</f>
        <v/>
      </c>
      <c r="U12" s="22" t="n"/>
      <c r="V12" s="22" t="n"/>
      <c r="W12" s="22" t="n"/>
      <c r="X12" s="22" t="n"/>
    </row>
    <row r="13">
      <c r="A13" s="22" t="n"/>
      <c r="B13" s="22" t="n"/>
      <c r="C13" s="22" t="n"/>
      <c r="D13" s="22" t="n"/>
      <c r="E13" s="23" t="n"/>
      <c r="F13" s="23" t="n"/>
      <c r="G13" s="23" t="n"/>
      <c r="H13" s="24">
        <f>IF(ISNUMBER(G13),EDATE(G13,24),"")</f>
        <v/>
      </c>
      <c r="I13" s="24">
        <f>IF(OR(AND(LEN(F13)&gt;0,ISNUMBER(F13)=FALSE),AND(LEN(G13)&gt;0,ISNUMBER(G13)=FALSE)),"Check date",IF(COUNT(F13,H13)=0,"",MIN(F13,H13)))</f>
        <v/>
      </c>
      <c r="J13" s="25">
        <f>IF(ISNUMBER(I13)=FALSE,"",IF(AND(ISNUMBER(H13),I13=H13),"24-month work rule","Registry expiry"))</f>
        <v/>
      </c>
      <c r="K13" s="26" t="n"/>
      <c r="L13" s="24">
        <f>IF(ISNUMBER(I13),I13-IF(ISNUMBER(K13),K13,30),"")</f>
        <v/>
      </c>
      <c r="M13" s="27">
        <f>IF(I13="","",IF(ISNUMBER(I13),I13-TODAY(),"Check date"))</f>
        <v/>
      </c>
      <c r="N13" s="28">
        <f>IF(M13="","",IF(ISNUMBER(M13),IF(M13&lt;0,"Expired",IF(M13&lt;=30,"Due ≤30 days",IF(M13&lt;=90,"Due ≤90 days","OK"))),"Check date"))</f>
        <v/>
      </c>
      <c r="O13" s="24">
        <f>IF(ISNUMBER(E13),EDATE(E13,12*(IFERROR(DATEDIF(E13,TODAY(),"y"),0)+1)),"")</f>
        <v/>
      </c>
      <c r="P13" s="26" t="n"/>
      <c r="Q13" s="26" t="n"/>
      <c r="R13" s="27">
        <f>IF(LEN(A13)=0,"",MAX(0,IF(ISNUMBER(Q13),Q13,12)-N(P13)))</f>
        <v/>
      </c>
      <c r="S13" s="23" t="n"/>
      <c r="T13" s="27">
        <f>IF(S13="","",IF(ISNUMBER(S13),S13-TODAY(),"Check date"))</f>
        <v/>
      </c>
      <c r="U13" s="22" t="n"/>
      <c r="V13" s="22" t="n"/>
      <c r="W13" s="22" t="n"/>
      <c r="X13" s="22" t="n"/>
    </row>
    <row r="14">
      <c r="A14" s="22" t="n"/>
      <c r="B14" s="22" t="n"/>
      <c r="C14" s="22" t="n"/>
      <c r="D14" s="22" t="n"/>
      <c r="E14" s="23" t="n"/>
      <c r="F14" s="23" t="n"/>
      <c r="G14" s="23" t="n"/>
      <c r="H14" s="24">
        <f>IF(ISNUMBER(G14),EDATE(G14,24),"")</f>
        <v/>
      </c>
      <c r="I14" s="24">
        <f>IF(OR(AND(LEN(F14)&gt;0,ISNUMBER(F14)=FALSE),AND(LEN(G14)&gt;0,ISNUMBER(G14)=FALSE)),"Check date",IF(COUNT(F14,H14)=0,"",MIN(F14,H14)))</f>
        <v/>
      </c>
      <c r="J14" s="25">
        <f>IF(ISNUMBER(I14)=FALSE,"",IF(AND(ISNUMBER(H14),I14=H14),"24-month work rule","Registry expiry"))</f>
        <v/>
      </c>
      <c r="K14" s="26" t="n"/>
      <c r="L14" s="24">
        <f>IF(ISNUMBER(I14),I14-IF(ISNUMBER(K14),K14,30),"")</f>
        <v/>
      </c>
      <c r="M14" s="27">
        <f>IF(I14="","",IF(ISNUMBER(I14),I14-TODAY(),"Check date"))</f>
        <v/>
      </c>
      <c r="N14" s="28">
        <f>IF(M14="","",IF(ISNUMBER(M14),IF(M14&lt;0,"Expired",IF(M14&lt;=30,"Due ≤30 days",IF(M14&lt;=90,"Due ≤90 days","OK"))),"Check date"))</f>
        <v/>
      </c>
      <c r="O14" s="24">
        <f>IF(ISNUMBER(E14),EDATE(E14,12*(IFERROR(DATEDIF(E14,TODAY(),"y"),0)+1)),"")</f>
        <v/>
      </c>
      <c r="P14" s="26" t="n"/>
      <c r="Q14" s="26" t="n"/>
      <c r="R14" s="27">
        <f>IF(LEN(A14)=0,"",MAX(0,IF(ISNUMBER(Q14),Q14,12)-N(P14)))</f>
        <v/>
      </c>
      <c r="S14" s="23" t="n"/>
      <c r="T14" s="27">
        <f>IF(S14="","",IF(ISNUMBER(S14),S14-TODAY(),"Check date"))</f>
        <v/>
      </c>
      <c r="U14" s="22" t="n"/>
      <c r="V14" s="22" t="n"/>
      <c r="W14" s="22" t="n"/>
      <c r="X14" s="22" t="n"/>
    </row>
    <row r="15">
      <c r="A15" s="22" t="n"/>
      <c r="B15" s="22" t="n"/>
      <c r="C15" s="22" t="n"/>
      <c r="D15" s="22" t="n"/>
      <c r="E15" s="23" t="n"/>
      <c r="F15" s="23" t="n"/>
      <c r="G15" s="23" t="n"/>
      <c r="H15" s="24">
        <f>IF(ISNUMBER(G15),EDATE(G15,24),"")</f>
        <v/>
      </c>
      <c r="I15" s="24">
        <f>IF(OR(AND(LEN(F15)&gt;0,ISNUMBER(F15)=FALSE),AND(LEN(G15)&gt;0,ISNUMBER(G15)=FALSE)),"Check date",IF(COUNT(F15,H15)=0,"",MIN(F15,H15)))</f>
        <v/>
      </c>
      <c r="J15" s="25">
        <f>IF(ISNUMBER(I15)=FALSE,"",IF(AND(ISNUMBER(H15),I15=H15),"24-month work rule","Registry expiry"))</f>
        <v/>
      </c>
      <c r="K15" s="26" t="n"/>
      <c r="L15" s="24">
        <f>IF(ISNUMBER(I15),I15-IF(ISNUMBER(K15),K15,30),"")</f>
        <v/>
      </c>
      <c r="M15" s="27">
        <f>IF(I15="","",IF(ISNUMBER(I15),I15-TODAY(),"Check date"))</f>
        <v/>
      </c>
      <c r="N15" s="28">
        <f>IF(M15="","",IF(ISNUMBER(M15),IF(M15&lt;0,"Expired",IF(M15&lt;=30,"Due ≤30 days",IF(M15&lt;=90,"Due ≤90 days","OK"))),"Check date"))</f>
        <v/>
      </c>
      <c r="O15" s="24">
        <f>IF(ISNUMBER(E15),EDATE(E15,12*(IFERROR(DATEDIF(E15,TODAY(),"y"),0)+1)),"")</f>
        <v/>
      </c>
      <c r="P15" s="26" t="n"/>
      <c r="Q15" s="26" t="n"/>
      <c r="R15" s="27">
        <f>IF(LEN(A15)=0,"",MAX(0,IF(ISNUMBER(Q15),Q15,12)-N(P15)))</f>
        <v/>
      </c>
      <c r="S15" s="23" t="n"/>
      <c r="T15" s="27">
        <f>IF(S15="","",IF(ISNUMBER(S15),S15-TODAY(),"Check date"))</f>
        <v/>
      </c>
      <c r="U15" s="22" t="n"/>
      <c r="V15" s="22" t="n"/>
      <c r="W15" s="22" t="n"/>
      <c r="X15" s="22" t="n"/>
    </row>
    <row r="16">
      <c r="A16" s="22" t="n"/>
      <c r="B16" s="22" t="n"/>
      <c r="C16" s="22" t="n"/>
      <c r="D16" s="22" t="n"/>
      <c r="E16" s="23" t="n"/>
      <c r="F16" s="23" t="n"/>
      <c r="G16" s="23" t="n"/>
      <c r="H16" s="24">
        <f>IF(ISNUMBER(G16),EDATE(G16,24),"")</f>
        <v/>
      </c>
      <c r="I16" s="24">
        <f>IF(OR(AND(LEN(F16)&gt;0,ISNUMBER(F16)=FALSE),AND(LEN(G16)&gt;0,ISNUMBER(G16)=FALSE)),"Check date",IF(COUNT(F16,H16)=0,"",MIN(F16,H16)))</f>
        <v/>
      </c>
      <c r="J16" s="25">
        <f>IF(ISNUMBER(I16)=FALSE,"",IF(AND(ISNUMBER(H16),I16=H16),"24-month work rule","Registry expiry"))</f>
        <v/>
      </c>
      <c r="K16" s="26" t="n"/>
      <c r="L16" s="24">
        <f>IF(ISNUMBER(I16),I16-IF(ISNUMBER(K16),K16,30),"")</f>
        <v/>
      </c>
      <c r="M16" s="27">
        <f>IF(I16="","",IF(ISNUMBER(I16),I16-TODAY(),"Check date"))</f>
        <v/>
      </c>
      <c r="N16" s="28">
        <f>IF(M16="","",IF(ISNUMBER(M16),IF(M16&lt;0,"Expired",IF(M16&lt;=30,"Due ≤30 days",IF(M16&lt;=90,"Due ≤90 days","OK"))),"Check date"))</f>
        <v/>
      </c>
      <c r="O16" s="24">
        <f>IF(ISNUMBER(E16),EDATE(E16,12*(IFERROR(DATEDIF(E16,TODAY(),"y"),0)+1)),"")</f>
        <v/>
      </c>
      <c r="P16" s="26" t="n"/>
      <c r="Q16" s="26" t="n"/>
      <c r="R16" s="27">
        <f>IF(LEN(A16)=0,"",MAX(0,IF(ISNUMBER(Q16),Q16,12)-N(P16)))</f>
        <v/>
      </c>
      <c r="S16" s="23" t="n"/>
      <c r="T16" s="27">
        <f>IF(S16="","",IF(ISNUMBER(S16),S16-TODAY(),"Check date"))</f>
        <v/>
      </c>
      <c r="U16" s="22" t="n"/>
      <c r="V16" s="22" t="n"/>
      <c r="W16" s="22" t="n"/>
      <c r="X16" s="22" t="n"/>
    </row>
    <row r="17">
      <c r="A17" s="22" t="n"/>
      <c r="B17" s="22" t="n"/>
      <c r="C17" s="22" t="n"/>
      <c r="D17" s="22" t="n"/>
      <c r="E17" s="23" t="n"/>
      <c r="F17" s="23" t="n"/>
      <c r="G17" s="23" t="n"/>
      <c r="H17" s="24">
        <f>IF(ISNUMBER(G17),EDATE(G17,24),"")</f>
        <v/>
      </c>
      <c r="I17" s="24">
        <f>IF(OR(AND(LEN(F17)&gt;0,ISNUMBER(F17)=FALSE),AND(LEN(G17)&gt;0,ISNUMBER(G17)=FALSE)),"Check date",IF(COUNT(F17,H17)=0,"",MIN(F17,H17)))</f>
        <v/>
      </c>
      <c r="J17" s="25">
        <f>IF(ISNUMBER(I17)=FALSE,"",IF(AND(ISNUMBER(H17),I17=H17),"24-month work rule","Registry expiry"))</f>
        <v/>
      </c>
      <c r="K17" s="26" t="n"/>
      <c r="L17" s="24">
        <f>IF(ISNUMBER(I17),I17-IF(ISNUMBER(K17),K17,30),"")</f>
        <v/>
      </c>
      <c r="M17" s="27">
        <f>IF(I17="","",IF(ISNUMBER(I17),I17-TODAY(),"Check date"))</f>
        <v/>
      </c>
      <c r="N17" s="28">
        <f>IF(M17="","",IF(ISNUMBER(M17),IF(M17&lt;0,"Expired",IF(M17&lt;=30,"Due ≤30 days",IF(M17&lt;=90,"Due ≤90 days","OK"))),"Check date"))</f>
        <v/>
      </c>
      <c r="O17" s="24">
        <f>IF(ISNUMBER(E17),EDATE(E17,12*(IFERROR(DATEDIF(E17,TODAY(),"y"),0)+1)),"")</f>
        <v/>
      </c>
      <c r="P17" s="26" t="n"/>
      <c r="Q17" s="26" t="n"/>
      <c r="R17" s="27">
        <f>IF(LEN(A17)=0,"",MAX(0,IF(ISNUMBER(Q17),Q17,12)-N(P17)))</f>
        <v/>
      </c>
      <c r="S17" s="23" t="n"/>
      <c r="T17" s="27">
        <f>IF(S17="","",IF(ISNUMBER(S17),S17-TODAY(),"Check date"))</f>
        <v/>
      </c>
      <c r="U17" s="22" t="n"/>
      <c r="V17" s="22" t="n"/>
      <c r="W17" s="22" t="n"/>
      <c r="X17" s="22" t="n"/>
    </row>
    <row r="18">
      <c r="A18" s="22" t="n"/>
      <c r="B18" s="22" t="n"/>
      <c r="C18" s="22" t="n"/>
      <c r="D18" s="22" t="n"/>
      <c r="E18" s="23" t="n"/>
      <c r="F18" s="23" t="n"/>
      <c r="G18" s="23" t="n"/>
      <c r="H18" s="24">
        <f>IF(ISNUMBER(G18),EDATE(G18,24),"")</f>
        <v/>
      </c>
      <c r="I18" s="24">
        <f>IF(OR(AND(LEN(F18)&gt;0,ISNUMBER(F18)=FALSE),AND(LEN(G18)&gt;0,ISNUMBER(G18)=FALSE)),"Check date",IF(COUNT(F18,H18)=0,"",MIN(F18,H18)))</f>
        <v/>
      </c>
      <c r="J18" s="25">
        <f>IF(ISNUMBER(I18)=FALSE,"",IF(AND(ISNUMBER(H18),I18=H18),"24-month work rule","Registry expiry"))</f>
        <v/>
      </c>
      <c r="K18" s="26" t="n"/>
      <c r="L18" s="24">
        <f>IF(ISNUMBER(I18),I18-IF(ISNUMBER(K18),K18,30),"")</f>
        <v/>
      </c>
      <c r="M18" s="27">
        <f>IF(I18="","",IF(ISNUMBER(I18),I18-TODAY(),"Check date"))</f>
        <v/>
      </c>
      <c r="N18" s="28">
        <f>IF(M18="","",IF(ISNUMBER(M18),IF(M18&lt;0,"Expired",IF(M18&lt;=30,"Due ≤30 days",IF(M18&lt;=90,"Due ≤90 days","OK"))),"Check date"))</f>
        <v/>
      </c>
      <c r="O18" s="24">
        <f>IF(ISNUMBER(E18),EDATE(E18,12*(IFERROR(DATEDIF(E18,TODAY(),"y"),0)+1)),"")</f>
        <v/>
      </c>
      <c r="P18" s="26" t="n"/>
      <c r="Q18" s="26" t="n"/>
      <c r="R18" s="27">
        <f>IF(LEN(A18)=0,"",MAX(0,IF(ISNUMBER(Q18),Q18,12)-N(P18)))</f>
        <v/>
      </c>
      <c r="S18" s="23" t="n"/>
      <c r="T18" s="27">
        <f>IF(S18="","",IF(ISNUMBER(S18),S18-TODAY(),"Check date"))</f>
        <v/>
      </c>
      <c r="U18" s="22" t="n"/>
      <c r="V18" s="22" t="n"/>
      <c r="W18" s="22" t="n"/>
      <c r="X18" s="22" t="n"/>
    </row>
    <row r="19">
      <c r="A19" s="22" t="n"/>
      <c r="B19" s="22" t="n"/>
      <c r="C19" s="22" t="n"/>
      <c r="D19" s="22" t="n"/>
      <c r="E19" s="23" t="n"/>
      <c r="F19" s="23" t="n"/>
      <c r="G19" s="23" t="n"/>
      <c r="H19" s="24">
        <f>IF(ISNUMBER(G19),EDATE(G19,24),"")</f>
        <v/>
      </c>
      <c r="I19" s="24">
        <f>IF(OR(AND(LEN(F19)&gt;0,ISNUMBER(F19)=FALSE),AND(LEN(G19)&gt;0,ISNUMBER(G19)=FALSE)),"Check date",IF(COUNT(F19,H19)=0,"",MIN(F19,H19)))</f>
        <v/>
      </c>
      <c r="J19" s="25">
        <f>IF(ISNUMBER(I19)=FALSE,"",IF(AND(ISNUMBER(H19),I19=H19),"24-month work rule","Registry expiry"))</f>
        <v/>
      </c>
      <c r="K19" s="26" t="n"/>
      <c r="L19" s="24">
        <f>IF(ISNUMBER(I19),I19-IF(ISNUMBER(K19),K19,30),"")</f>
        <v/>
      </c>
      <c r="M19" s="27">
        <f>IF(I19="","",IF(ISNUMBER(I19),I19-TODAY(),"Check date"))</f>
        <v/>
      </c>
      <c r="N19" s="28">
        <f>IF(M19="","",IF(ISNUMBER(M19),IF(M19&lt;0,"Expired",IF(M19&lt;=30,"Due ≤30 days",IF(M19&lt;=90,"Due ≤90 days","OK"))),"Check date"))</f>
        <v/>
      </c>
      <c r="O19" s="24">
        <f>IF(ISNUMBER(E19),EDATE(E19,12*(IFERROR(DATEDIF(E19,TODAY(),"y"),0)+1)),"")</f>
        <v/>
      </c>
      <c r="P19" s="26" t="n"/>
      <c r="Q19" s="26" t="n"/>
      <c r="R19" s="27">
        <f>IF(LEN(A19)=0,"",MAX(0,IF(ISNUMBER(Q19),Q19,12)-N(P19)))</f>
        <v/>
      </c>
      <c r="S19" s="23" t="n"/>
      <c r="T19" s="27">
        <f>IF(S19="","",IF(ISNUMBER(S19),S19-TODAY(),"Check date"))</f>
        <v/>
      </c>
      <c r="U19" s="22" t="n"/>
      <c r="V19" s="22" t="n"/>
      <c r="W19" s="22" t="n"/>
      <c r="X19" s="22" t="n"/>
    </row>
    <row r="20">
      <c r="A20" s="22" t="n"/>
      <c r="B20" s="22" t="n"/>
      <c r="C20" s="22" t="n"/>
      <c r="D20" s="22" t="n"/>
      <c r="E20" s="23" t="n"/>
      <c r="F20" s="23" t="n"/>
      <c r="G20" s="23" t="n"/>
      <c r="H20" s="24">
        <f>IF(ISNUMBER(G20),EDATE(G20,24),"")</f>
        <v/>
      </c>
      <c r="I20" s="24">
        <f>IF(OR(AND(LEN(F20)&gt;0,ISNUMBER(F20)=FALSE),AND(LEN(G20)&gt;0,ISNUMBER(G20)=FALSE)),"Check date",IF(COUNT(F20,H20)=0,"",MIN(F20,H20)))</f>
        <v/>
      </c>
      <c r="J20" s="25">
        <f>IF(ISNUMBER(I20)=FALSE,"",IF(AND(ISNUMBER(H20),I20=H20),"24-month work rule","Registry expiry"))</f>
        <v/>
      </c>
      <c r="K20" s="26" t="n"/>
      <c r="L20" s="24">
        <f>IF(ISNUMBER(I20),I20-IF(ISNUMBER(K20),K20,30),"")</f>
        <v/>
      </c>
      <c r="M20" s="27">
        <f>IF(I20="","",IF(ISNUMBER(I20),I20-TODAY(),"Check date"))</f>
        <v/>
      </c>
      <c r="N20" s="28">
        <f>IF(M20="","",IF(ISNUMBER(M20),IF(M20&lt;0,"Expired",IF(M20&lt;=30,"Due ≤30 days",IF(M20&lt;=90,"Due ≤90 days","OK"))),"Check date"))</f>
        <v/>
      </c>
      <c r="O20" s="24">
        <f>IF(ISNUMBER(E20),EDATE(E20,12*(IFERROR(DATEDIF(E20,TODAY(),"y"),0)+1)),"")</f>
        <v/>
      </c>
      <c r="P20" s="26" t="n"/>
      <c r="Q20" s="26" t="n"/>
      <c r="R20" s="27">
        <f>IF(LEN(A20)=0,"",MAX(0,IF(ISNUMBER(Q20),Q20,12)-N(P20)))</f>
        <v/>
      </c>
      <c r="S20" s="23" t="n"/>
      <c r="T20" s="27">
        <f>IF(S20="","",IF(ISNUMBER(S20),S20-TODAY(),"Check date"))</f>
        <v/>
      </c>
      <c r="U20" s="22" t="n"/>
      <c r="V20" s="22" t="n"/>
      <c r="W20" s="22" t="n"/>
      <c r="X20" s="22" t="n"/>
    </row>
    <row r="21">
      <c r="A21" s="22" t="n"/>
      <c r="B21" s="22" t="n"/>
      <c r="C21" s="22" t="n"/>
      <c r="D21" s="22" t="n"/>
      <c r="E21" s="23" t="n"/>
      <c r="F21" s="23" t="n"/>
      <c r="G21" s="23" t="n"/>
      <c r="H21" s="24">
        <f>IF(ISNUMBER(G21),EDATE(G21,24),"")</f>
        <v/>
      </c>
      <c r="I21" s="24">
        <f>IF(OR(AND(LEN(F21)&gt;0,ISNUMBER(F21)=FALSE),AND(LEN(G21)&gt;0,ISNUMBER(G21)=FALSE)),"Check date",IF(COUNT(F21,H21)=0,"",MIN(F21,H21)))</f>
        <v/>
      </c>
      <c r="J21" s="25">
        <f>IF(ISNUMBER(I21)=FALSE,"",IF(AND(ISNUMBER(H21),I21=H21),"24-month work rule","Registry expiry"))</f>
        <v/>
      </c>
      <c r="K21" s="26" t="n"/>
      <c r="L21" s="24">
        <f>IF(ISNUMBER(I21),I21-IF(ISNUMBER(K21),K21,30),"")</f>
        <v/>
      </c>
      <c r="M21" s="27">
        <f>IF(I21="","",IF(ISNUMBER(I21),I21-TODAY(),"Check date"))</f>
        <v/>
      </c>
      <c r="N21" s="28">
        <f>IF(M21="","",IF(ISNUMBER(M21),IF(M21&lt;0,"Expired",IF(M21&lt;=30,"Due ≤30 days",IF(M21&lt;=90,"Due ≤90 days","OK"))),"Check date"))</f>
        <v/>
      </c>
      <c r="O21" s="24">
        <f>IF(ISNUMBER(E21),EDATE(E21,12*(IFERROR(DATEDIF(E21,TODAY(),"y"),0)+1)),"")</f>
        <v/>
      </c>
      <c r="P21" s="26" t="n"/>
      <c r="Q21" s="26" t="n"/>
      <c r="R21" s="27">
        <f>IF(LEN(A21)=0,"",MAX(0,IF(ISNUMBER(Q21),Q21,12)-N(P21)))</f>
        <v/>
      </c>
      <c r="S21" s="23" t="n"/>
      <c r="T21" s="27">
        <f>IF(S21="","",IF(ISNUMBER(S21),S21-TODAY(),"Check date"))</f>
        <v/>
      </c>
      <c r="U21" s="22" t="n"/>
      <c r="V21" s="22" t="n"/>
      <c r="W21" s="22" t="n"/>
      <c r="X21" s="22" t="n"/>
    </row>
    <row r="22">
      <c r="A22" s="22" t="n"/>
      <c r="B22" s="22" t="n"/>
      <c r="C22" s="22" t="n"/>
      <c r="D22" s="22" t="n"/>
      <c r="E22" s="23" t="n"/>
      <c r="F22" s="23" t="n"/>
      <c r="G22" s="23" t="n"/>
      <c r="H22" s="24">
        <f>IF(ISNUMBER(G22),EDATE(G22,24),"")</f>
        <v/>
      </c>
      <c r="I22" s="24">
        <f>IF(OR(AND(LEN(F22)&gt;0,ISNUMBER(F22)=FALSE),AND(LEN(G22)&gt;0,ISNUMBER(G22)=FALSE)),"Check date",IF(COUNT(F22,H22)=0,"",MIN(F22,H22)))</f>
        <v/>
      </c>
      <c r="J22" s="25">
        <f>IF(ISNUMBER(I22)=FALSE,"",IF(AND(ISNUMBER(H22),I22=H22),"24-month work rule","Registry expiry"))</f>
        <v/>
      </c>
      <c r="K22" s="26" t="n"/>
      <c r="L22" s="24">
        <f>IF(ISNUMBER(I22),I22-IF(ISNUMBER(K22),K22,30),"")</f>
        <v/>
      </c>
      <c r="M22" s="27">
        <f>IF(I22="","",IF(ISNUMBER(I22),I22-TODAY(),"Check date"))</f>
        <v/>
      </c>
      <c r="N22" s="28">
        <f>IF(M22="","",IF(ISNUMBER(M22),IF(M22&lt;0,"Expired",IF(M22&lt;=30,"Due ≤30 days",IF(M22&lt;=90,"Due ≤90 days","OK"))),"Check date"))</f>
        <v/>
      </c>
      <c r="O22" s="24">
        <f>IF(ISNUMBER(E22),EDATE(E22,12*(IFERROR(DATEDIF(E22,TODAY(),"y"),0)+1)),"")</f>
        <v/>
      </c>
      <c r="P22" s="26" t="n"/>
      <c r="Q22" s="26" t="n"/>
      <c r="R22" s="27">
        <f>IF(LEN(A22)=0,"",MAX(0,IF(ISNUMBER(Q22),Q22,12)-N(P22)))</f>
        <v/>
      </c>
      <c r="S22" s="23" t="n"/>
      <c r="T22" s="27">
        <f>IF(S22="","",IF(ISNUMBER(S22),S22-TODAY(),"Check date"))</f>
        <v/>
      </c>
      <c r="U22" s="22" t="n"/>
      <c r="V22" s="22" t="n"/>
      <c r="W22" s="22" t="n"/>
      <c r="X22" s="22" t="n"/>
    </row>
    <row r="23">
      <c r="A23" s="22" t="n"/>
      <c r="B23" s="22" t="n"/>
      <c r="C23" s="22" t="n"/>
      <c r="D23" s="22" t="n"/>
      <c r="E23" s="23" t="n"/>
      <c r="F23" s="23" t="n"/>
      <c r="G23" s="23" t="n"/>
      <c r="H23" s="24">
        <f>IF(ISNUMBER(G23),EDATE(G23,24),"")</f>
        <v/>
      </c>
      <c r="I23" s="24">
        <f>IF(OR(AND(LEN(F23)&gt;0,ISNUMBER(F23)=FALSE),AND(LEN(G23)&gt;0,ISNUMBER(G23)=FALSE)),"Check date",IF(COUNT(F23,H23)=0,"",MIN(F23,H23)))</f>
        <v/>
      </c>
      <c r="J23" s="25">
        <f>IF(ISNUMBER(I23)=FALSE,"",IF(AND(ISNUMBER(H23),I23=H23),"24-month work rule","Registry expiry"))</f>
        <v/>
      </c>
      <c r="K23" s="26" t="n"/>
      <c r="L23" s="24">
        <f>IF(ISNUMBER(I23),I23-IF(ISNUMBER(K23),K23,30),"")</f>
        <v/>
      </c>
      <c r="M23" s="27">
        <f>IF(I23="","",IF(ISNUMBER(I23),I23-TODAY(),"Check date"))</f>
        <v/>
      </c>
      <c r="N23" s="28">
        <f>IF(M23="","",IF(ISNUMBER(M23),IF(M23&lt;0,"Expired",IF(M23&lt;=30,"Due ≤30 days",IF(M23&lt;=90,"Due ≤90 days","OK"))),"Check date"))</f>
        <v/>
      </c>
      <c r="O23" s="24">
        <f>IF(ISNUMBER(E23),EDATE(E23,12*(IFERROR(DATEDIF(E23,TODAY(),"y"),0)+1)),"")</f>
        <v/>
      </c>
      <c r="P23" s="26" t="n"/>
      <c r="Q23" s="26" t="n"/>
      <c r="R23" s="27">
        <f>IF(LEN(A23)=0,"",MAX(0,IF(ISNUMBER(Q23),Q23,12)-N(P23)))</f>
        <v/>
      </c>
      <c r="S23" s="23" t="n"/>
      <c r="T23" s="27">
        <f>IF(S23="","",IF(ISNUMBER(S23),S23-TODAY(),"Check date"))</f>
        <v/>
      </c>
      <c r="U23" s="22" t="n"/>
      <c r="V23" s="22" t="n"/>
      <c r="W23" s="22" t="n"/>
      <c r="X23" s="22" t="n"/>
    </row>
    <row r="24">
      <c r="A24" s="22" t="n"/>
      <c r="B24" s="22" t="n"/>
      <c r="C24" s="22" t="n"/>
      <c r="D24" s="22" t="n"/>
      <c r="E24" s="23" t="n"/>
      <c r="F24" s="23" t="n"/>
      <c r="G24" s="23" t="n"/>
      <c r="H24" s="24">
        <f>IF(ISNUMBER(G24),EDATE(G24,24),"")</f>
        <v/>
      </c>
      <c r="I24" s="24">
        <f>IF(OR(AND(LEN(F24)&gt;0,ISNUMBER(F24)=FALSE),AND(LEN(G24)&gt;0,ISNUMBER(G24)=FALSE)),"Check date",IF(COUNT(F24,H24)=0,"",MIN(F24,H24)))</f>
        <v/>
      </c>
      <c r="J24" s="25">
        <f>IF(ISNUMBER(I24)=FALSE,"",IF(AND(ISNUMBER(H24),I24=H24),"24-month work rule","Registry expiry"))</f>
        <v/>
      </c>
      <c r="K24" s="26" t="n"/>
      <c r="L24" s="24">
        <f>IF(ISNUMBER(I24),I24-IF(ISNUMBER(K24),K24,30),"")</f>
        <v/>
      </c>
      <c r="M24" s="27">
        <f>IF(I24="","",IF(ISNUMBER(I24),I24-TODAY(),"Check date"))</f>
        <v/>
      </c>
      <c r="N24" s="28">
        <f>IF(M24="","",IF(ISNUMBER(M24),IF(M24&lt;0,"Expired",IF(M24&lt;=30,"Due ≤30 days",IF(M24&lt;=90,"Due ≤90 days","OK"))),"Check date"))</f>
        <v/>
      </c>
      <c r="O24" s="24">
        <f>IF(ISNUMBER(E24),EDATE(E24,12*(IFERROR(DATEDIF(E24,TODAY(),"y"),0)+1)),"")</f>
        <v/>
      </c>
      <c r="P24" s="26" t="n"/>
      <c r="Q24" s="26" t="n"/>
      <c r="R24" s="27">
        <f>IF(LEN(A24)=0,"",MAX(0,IF(ISNUMBER(Q24),Q24,12)-N(P24)))</f>
        <v/>
      </c>
      <c r="S24" s="23" t="n"/>
      <c r="T24" s="27">
        <f>IF(S24="","",IF(ISNUMBER(S24),S24-TODAY(),"Check date"))</f>
        <v/>
      </c>
      <c r="U24" s="22" t="n"/>
      <c r="V24" s="22" t="n"/>
      <c r="W24" s="22" t="n"/>
      <c r="X24" s="22" t="n"/>
    </row>
    <row r="25">
      <c r="A25" s="22" t="n"/>
      <c r="B25" s="22" t="n"/>
      <c r="C25" s="22" t="n"/>
      <c r="D25" s="22" t="n"/>
      <c r="E25" s="23" t="n"/>
      <c r="F25" s="23" t="n"/>
      <c r="G25" s="23" t="n"/>
      <c r="H25" s="24">
        <f>IF(ISNUMBER(G25),EDATE(G25,24),"")</f>
        <v/>
      </c>
      <c r="I25" s="24">
        <f>IF(OR(AND(LEN(F25)&gt;0,ISNUMBER(F25)=FALSE),AND(LEN(G25)&gt;0,ISNUMBER(G25)=FALSE)),"Check date",IF(COUNT(F25,H25)=0,"",MIN(F25,H25)))</f>
        <v/>
      </c>
      <c r="J25" s="25">
        <f>IF(ISNUMBER(I25)=FALSE,"",IF(AND(ISNUMBER(H25),I25=H25),"24-month work rule","Registry expiry"))</f>
        <v/>
      </c>
      <c r="K25" s="26" t="n"/>
      <c r="L25" s="24">
        <f>IF(ISNUMBER(I25),I25-IF(ISNUMBER(K25),K25,30),"")</f>
        <v/>
      </c>
      <c r="M25" s="27">
        <f>IF(I25="","",IF(ISNUMBER(I25),I25-TODAY(),"Check date"))</f>
        <v/>
      </c>
      <c r="N25" s="28">
        <f>IF(M25="","",IF(ISNUMBER(M25),IF(M25&lt;0,"Expired",IF(M25&lt;=30,"Due ≤30 days",IF(M25&lt;=90,"Due ≤90 days","OK"))),"Check date"))</f>
        <v/>
      </c>
      <c r="O25" s="24">
        <f>IF(ISNUMBER(E25),EDATE(E25,12*(IFERROR(DATEDIF(E25,TODAY(),"y"),0)+1)),"")</f>
        <v/>
      </c>
      <c r="P25" s="26" t="n"/>
      <c r="Q25" s="26" t="n"/>
      <c r="R25" s="27">
        <f>IF(LEN(A25)=0,"",MAX(0,IF(ISNUMBER(Q25),Q25,12)-N(P25)))</f>
        <v/>
      </c>
      <c r="S25" s="23" t="n"/>
      <c r="T25" s="27">
        <f>IF(S25="","",IF(ISNUMBER(S25),S25-TODAY(),"Check date"))</f>
        <v/>
      </c>
      <c r="U25" s="22" t="n"/>
      <c r="V25" s="22" t="n"/>
      <c r="W25" s="22" t="n"/>
      <c r="X25" s="22" t="n"/>
    </row>
    <row r="26">
      <c r="A26" s="22" t="n"/>
      <c r="B26" s="22" t="n"/>
      <c r="C26" s="22" t="n"/>
      <c r="D26" s="22" t="n"/>
      <c r="E26" s="23" t="n"/>
      <c r="F26" s="23" t="n"/>
      <c r="G26" s="23" t="n"/>
      <c r="H26" s="24">
        <f>IF(ISNUMBER(G26),EDATE(G26,24),"")</f>
        <v/>
      </c>
      <c r="I26" s="24">
        <f>IF(OR(AND(LEN(F26)&gt;0,ISNUMBER(F26)=FALSE),AND(LEN(G26)&gt;0,ISNUMBER(G26)=FALSE)),"Check date",IF(COUNT(F26,H26)=0,"",MIN(F26,H26)))</f>
        <v/>
      </c>
      <c r="J26" s="25">
        <f>IF(ISNUMBER(I26)=FALSE,"",IF(AND(ISNUMBER(H26),I26=H26),"24-month work rule","Registry expiry"))</f>
        <v/>
      </c>
      <c r="K26" s="26" t="n"/>
      <c r="L26" s="24">
        <f>IF(ISNUMBER(I26),I26-IF(ISNUMBER(K26),K26,30),"")</f>
        <v/>
      </c>
      <c r="M26" s="27">
        <f>IF(I26="","",IF(ISNUMBER(I26),I26-TODAY(),"Check date"))</f>
        <v/>
      </c>
      <c r="N26" s="28">
        <f>IF(M26="","",IF(ISNUMBER(M26),IF(M26&lt;0,"Expired",IF(M26&lt;=30,"Due ≤30 days",IF(M26&lt;=90,"Due ≤90 days","OK"))),"Check date"))</f>
        <v/>
      </c>
      <c r="O26" s="24">
        <f>IF(ISNUMBER(E26),EDATE(E26,12*(IFERROR(DATEDIF(E26,TODAY(),"y"),0)+1)),"")</f>
        <v/>
      </c>
      <c r="P26" s="26" t="n"/>
      <c r="Q26" s="26" t="n"/>
      <c r="R26" s="27">
        <f>IF(LEN(A26)=0,"",MAX(0,IF(ISNUMBER(Q26),Q26,12)-N(P26)))</f>
        <v/>
      </c>
      <c r="S26" s="23" t="n"/>
      <c r="T26" s="27">
        <f>IF(S26="","",IF(ISNUMBER(S26),S26-TODAY(),"Check date"))</f>
        <v/>
      </c>
      <c r="U26" s="22" t="n"/>
      <c r="V26" s="22" t="n"/>
      <c r="W26" s="22" t="n"/>
      <c r="X26" s="22" t="n"/>
    </row>
    <row r="27">
      <c r="A27" s="22" t="n"/>
      <c r="B27" s="22" t="n"/>
      <c r="C27" s="22" t="n"/>
      <c r="D27" s="22" t="n"/>
      <c r="E27" s="23" t="n"/>
      <c r="F27" s="23" t="n"/>
      <c r="G27" s="23" t="n"/>
      <c r="H27" s="24">
        <f>IF(ISNUMBER(G27),EDATE(G27,24),"")</f>
        <v/>
      </c>
      <c r="I27" s="24">
        <f>IF(OR(AND(LEN(F27)&gt;0,ISNUMBER(F27)=FALSE),AND(LEN(G27)&gt;0,ISNUMBER(G27)=FALSE)),"Check date",IF(COUNT(F27,H27)=0,"",MIN(F27,H27)))</f>
        <v/>
      </c>
      <c r="J27" s="25">
        <f>IF(ISNUMBER(I27)=FALSE,"",IF(AND(ISNUMBER(H27),I27=H27),"24-month work rule","Registry expiry"))</f>
        <v/>
      </c>
      <c r="K27" s="26" t="n"/>
      <c r="L27" s="24">
        <f>IF(ISNUMBER(I27),I27-IF(ISNUMBER(K27),K27,30),"")</f>
        <v/>
      </c>
      <c r="M27" s="27">
        <f>IF(I27="","",IF(ISNUMBER(I27),I27-TODAY(),"Check date"))</f>
        <v/>
      </c>
      <c r="N27" s="28">
        <f>IF(M27="","",IF(ISNUMBER(M27),IF(M27&lt;0,"Expired",IF(M27&lt;=30,"Due ≤30 days",IF(M27&lt;=90,"Due ≤90 days","OK"))),"Check date"))</f>
        <v/>
      </c>
      <c r="O27" s="24">
        <f>IF(ISNUMBER(E27),EDATE(E27,12*(IFERROR(DATEDIF(E27,TODAY(),"y"),0)+1)),"")</f>
        <v/>
      </c>
      <c r="P27" s="26" t="n"/>
      <c r="Q27" s="26" t="n"/>
      <c r="R27" s="27">
        <f>IF(LEN(A27)=0,"",MAX(0,IF(ISNUMBER(Q27),Q27,12)-N(P27)))</f>
        <v/>
      </c>
      <c r="S27" s="23" t="n"/>
      <c r="T27" s="27">
        <f>IF(S27="","",IF(ISNUMBER(S27),S27-TODAY(),"Check date"))</f>
        <v/>
      </c>
      <c r="U27" s="22" t="n"/>
      <c r="V27" s="22" t="n"/>
      <c r="W27" s="22" t="n"/>
      <c r="X27" s="22" t="n"/>
    </row>
    <row r="28">
      <c r="A28" s="22" t="n"/>
      <c r="B28" s="22" t="n"/>
      <c r="C28" s="22" t="n"/>
      <c r="D28" s="22" t="n"/>
      <c r="E28" s="23" t="n"/>
      <c r="F28" s="23" t="n"/>
      <c r="G28" s="23" t="n"/>
      <c r="H28" s="24">
        <f>IF(ISNUMBER(G28),EDATE(G28,24),"")</f>
        <v/>
      </c>
      <c r="I28" s="24">
        <f>IF(OR(AND(LEN(F28)&gt;0,ISNUMBER(F28)=FALSE),AND(LEN(G28)&gt;0,ISNUMBER(G28)=FALSE)),"Check date",IF(COUNT(F28,H28)=0,"",MIN(F28,H28)))</f>
        <v/>
      </c>
      <c r="J28" s="25">
        <f>IF(ISNUMBER(I28)=FALSE,"",IF(AND(ISNUMBER(H28),I28=H28),"24-month work rule","Registry expiry"))</f>
        <v/>
      </c>
      <c r="K28" s="26" t="n"/>
      <c r="L28" s="24">
        <f>IF(ISNUMBER(I28),I28-IF(ISNUMBER(K28),K28,30),"")</f>
        <v/>
      </c>
      <c r="M28" s="27">
        <f>IF(I28="","",IF(ISNUMBER(I28),I28-TODAY(),"Check date"))</f>
        <v/>
      </c>
      <c r="N28" s="28">
        <f>IF(M28="","",IF(ISNUMBER(M28),IF(M28&lt;0,"Expired",IF(M28&lt;=30,"Due ≤30 days",IF(M28&lt;=90,"Due ≤90 days","OK"))),"Check date"))</f>
        <v/>
      </c>
      <c r="O28" s="24">
        <f>IF(ISNUMBER(E28),EDATE(E28,12*(IFERROR(DATEDIF(E28,TODAY(),"y"),0)+1)),"")</f>
        <v/>
      </c>
      <c r="P28" s="26" t="n"/>
      <c r="Q28" s="26" t="n"/>
      <c r="R28" s="27">
        <f>IF(LEN(A28)=0,"",MAX(0,IF(ISNUMBER(Q28),Q28,12)-N(P28)))</f>
        <v/>
      </c>
      <c r="S28" s="23" t="n"/>
      <c r="T28" s="27">
        <f>IF(S28="","",IF(ISNUMBER(S28),S28-TODAY(),"Check date"))</f>
        <v/>
      </c>
      <c r="U28" s="22" t="n"/>
      <c r="V28" s="22" t="n"/>
      <c r="W28" s="22" t="n"/>
      <c r="X28" s="22" t="n"/>
    </row>
    <row r="29">
      <c r="A29" s="22" t="n"/>
      <c r="B29" s="22" t="n"/>
      <c r="C29" s="22" t="n"/>
      <c r="D29" s="22" t="n"/>
      <c r="E29" s="23" t="n"/>
      <c r="F29" s="23" t="n"/>
      <c r="G29" s="23" t="n"/>
      <c r="H29" s="24">
        <f>IF(ISNUMBER(G29),EDATE(G29,24),"")</f>
        <v/>
      </c>
      <c r="I29" s="24">
        <f>IF(OR(AND(LEN(F29)&gt;0,ISNUMBER(F29)=FALSE),AND(LEN(G29)&gt;0,ISNUMBER(G29)=FALSE)),"Check date",IF(COUNT(F29,H29)=0,"",MIN(F29,H29)))</f>
        <v/>
      </c>
      <c r="J29" s="25">
        <f>IF(ISNUMBER(I29)=FALSE,"",IF(AND(ISNUMBER(H29),I29=H29),"24-month work rule","Registry expiry"))</f>
        <v/>
      </c>
      <c r="K29" s="26" t="n"/>
      <c r="L29" s="24">
        <f>IF(ISNUMBER(I29),I29-IF(ISNUMBER(K29),K29,30),"")</f>
        <v/>
      </c>
      <c r="M29" s="27">
        <f>IF(I29="","",IF(ISNUMBER(I29),I29-TODAY(),"Check date"))</f>
        <v/>
      </c>
      <c r="N29" s="28">
        <f>IF(M29="","",IF(ISNUMBER(M29),IF(M29&lt;0,"Expired",IF(M29&lt;=30,"Due ≤30 days",IF(M29&lt;=90,"Due ≤90 days","OK"))),"Check date"))</f>
        <v/>
      </c>
      <c r="O29" s="24">
        <f>IF(ISNUMBER(E29),EDATE(E29,12*(IFERROR(DATEDIF(E29,TODAY(),"y"),0)+1)),"")</f>
        <v/>
      </c>
      <c r="P29" s="26" t="n"/>
      <c r="Q29" s="26" t="n"/>
      <c r="R29" s="27">
        <f>IF(LEN(A29)=0,"",MAX(0,IF(ISNUMBER(Q29),Q29,12)-N(P29)))</f>
        <v/>
      </c>
      <c r="S29" s="23" t="n"/>
      <c r="T29" s="27">
        <f>IF(S29="","",IF(ISNUMBER(S29),S29-TODAY(),"Check date"))</f>
        <v/>
      </c>
      <c r="U29" s="22" t="n"/>
      <c r="V29" s="22" t="n"/>
      <c r="W29" s="22" t="n"/>
      <c r="X29" s="22" t="n"/>
    </row>
    <row r="30">
      <c r="A30" s="22" t="n"/>
      <c r="B30" s="22" t="n"/>
      <c r="C30" s="22" t="n"/>
      <c r="D30" s="22" t="n"/>
      <c r="E30" s="23" t="n"/>
      <c r="F30" s="23" t="n"/>
      <c r="G30" s="23" t="n"/>
      <c r="H30" s="24">
        <f>IF(ISNUMBER(G30),EDATE(G30,24),"")</f>
        <v/>
      </c>
      <c r="I30" s="24">
        <f>IF(OR(AND(LEN(F30)&gt;0,ISNUMBER(F30)=FALSE),AND(LEN(G30)&gt;0,ISNUMBER(G30)=FALSE)),"Check date",IF(COUNT(F30,H30)=0,"",MIN(F30,H30)))</f>
        <v/>
      </c>
      <c r="J30" s="25">
        <f>IF(ISNUMBER(I30)=FALSE,"",IF(AND(ISNUMBER(H30),I30=H30),"24-month work rule","Registry expiry"))</f>
        <v/>
      </c>
      <c r="K30" s="26" t="n"/>
      <c r="L30" s="24">
        <f>IF(ISNUMBER(I30),I30-IF(ISNUMBER(K30),K30,30),"")</f>
        <v/>
      </c>
      <c r="M30" s="27">
        <f>IF(I30="","",IF(ISNUMBER(I30),I30-TODAY(),"Check date"))</f>
        <v/>
      </c>
      <c r="N30" s="28">
        <f>IF(M30="","",IF(ISNUMBER(M30),IF(M30&lt;0,"Expired",IF(M30&lt;=30,"Due ≤30 days",IF(M30&lt;=90,"Due ≤90 days","OK"))),"Check date"))</f>
        <v/>
      </c>
      <c r="O30" s="24">
        <f>IF(ISNUMBER(E30),EDATE(E30,12*(IFERROR(DATEDIF(E30,TODAY(),"y"),0)+1)),"")</f>
        <v/>
      </c>
      <c r="P30" s="26" t="n"/>
      <c r="Q30" s="26" t="n"/>
      <c r="R30" s="27">
        <f>IF(LEN(A30)=0,"",MAX(0,IF(ISNUMBER(Q30),Q30,12)-N(P30)))</f>
        <v/>
      </c>
      <c r="S30" s="23" t="n"/>
      <c r="T30" s="27">
        <f>IF(S30="","",IF(ISNUMBER(S30),S30-TODAY(),"Check date"))</f>
        <v/>
      </c>
      <c r="U30" s="22" t="n"/>
      <c r="V30" s="22" t="n"/>
      <c r="W30" s="22" t="n"/>
      <c r="X30" s="22" t="n"/>
    </row>
    <row r="31">
      <c r="A31" s="22" t="n"/>
      <c r="B31" s="22" t="n"/>
      <c r="C31" s="22" t="n"/>
      <c r="D31" s="22" t="n"/>
      <c r="E31" s="23" t="n"/>
      <c r="F31" s="23" t="n"/>
      <c r="G31" s="23" t="n"/>
      <c r="H31" s="24">
        <f>IF(ISNUMBER(G31),EDATE(G31,24),"")</f>
        <v/>
      </c>
      <c r="I31" s="24">
        <f>IF(OR(AND(LEN(F31)&gt;0,ISNUMBER(F31)=FALSE),AND(LEN(G31)&gt;0,ISNUMBER(G31)=FALSE)),"Check date",IF(COUNT(F31,H31)=0,"",MIN(F31,H31)))</f>
        <v/>
      </c>
      <c r="J31" s="25">
        <f>IF(ISNUMBER(I31)=FALSE,"",IF(AND(ISNUMBER(H31),I31=H31),"24-month work rule","Registry expiry"))</f>
        <v/>
      </c>
      <c r="K31" s="26" t="n"/>
      <c r="L31" s="24">
        <f>IF(ISNUMBER(I31),I31-IF(ISNUMBER(K31),K31,30),"")</f>
        <v/>
      </c>
      <c r="M31" s="27">
        <f>IF(I31="","",IF(ISNUMBER(I31),I31-TODAY(),"Check date"))</f>
        <v/>
      </c>
      <c r="N31" s="28">
        <f>IF(M31="","",IF(ISNUMBER(M31),IF(M31&lt;0,"Expired",IF(M31&lt;=30,"Due ≤30 days",IF(M31&lt;=90,"Due ≤90 days","OK"))),"Check date"))</f>
        <v/>
      </c>
      <c r="O31" s="24">
        <f>IF(ISNUMBER(E31),EDATE(E31,12*(IFERROR(DATEDIF(E31,TODAY(),"y"),0)+1)),"")</f>
        <v/>
      </c>
      <c r="P31" s="26" t="n"/>
      <c r="Q31" s="26" t="n"/>
      <c r="R31" s="27">
        <f>IF(LEN(A31)=0,"",MAX(0,IF(ISNUMBER(Q31),Q31,12)-N(P31)))</f>
        <v/>
      </c>
      <c r="S31" s="23" t="n"/>
      <c r="T31" s="27">
        <f>IF(S31="","",IF(ISNUMBER(S31),S31-TODAY(),"Check date"))</f>
        <v/>
      </c>
      <c r="U31" s="22" t="n"/>
      <c r="V31" s="22" t="n"/>
      <c r="W31" s="22" t="n"/>
      <c r="X31" s="22" t="n"/>
    </row>
    <row r="32">
      <c r="A32" s="22" t="n"/>
      <c r="B32" s="22" t="n"/>
      <c r="C32" s="22" t="n"/>
      <c r="D32" s="22" t="n"/>
      <c r="E32" s="23" t="n"/>
      <c r="F32" s="23" t="n"/>
      <c r="G32" s="23" t="n"/>
      <c r="H32" s="24">
        <f>IF(ISNUMBER(G32),EDATE(G32,24),"")</f>
        <v/>
      </c>
      <c r="I32" s="24">
        <f>IF(OR(AND(LEN(F32)&gt;0,ISNUMBER(F32)=FALSE),AND(LEN(G32)&gt;0,ISNUMBER(G32)=FALSE)),"Check date",IF(COUNT(F32,H32)=0,"",MIN(F32,H32)))</f>
        <v/>
      </c>
      <c r="J32" s="25">
        <f>IF(ISNUMBER(I32)=FALSE,"",IF(AND(ISNUMBER(H32),I32=H32),"24-month work rule","Registry expiry"))</f>
        <v/>
      </c>
      <c r="K32" s="26" t="n"/>
      <c r="L32" s="24">
        <f>IF(ISNUMBER(I32),I32-IF(ISNUMBER(K32),K32,30),"")</f>
        <v/>
      </c>
      <c r="M32" s="27">
        <f>IF(I32="","",IF(ISNUMBER(I32),I32-TODAY(),"Check date"))</f>
        <v/>
      </c>
      <c r="N32" s="28">
        <f>IF(M32="","",IF(ISNUMBER(M32),IF(M32&lt;0,"Expired",IF(M32&lt;=30,"Due ≤30 days",IF(M32&lt;=90,"Due ≤90 days","OK"))),"Check date"))</f>
        <v/>
      </c>
      <c r="O32" s="24">
        <f>IF(ISNUMBER(E32),EDATE(E32,12*(IFERROR(DATEDIF(E32,TODAY(),"y"),0)+1)),"")</f>
        <v/>
      </c>
      <c r="P32" s="26" t="n"/>
      <c r="Q32" s="26" t="n"/>
      <c r="R32" s="27">
        <f>IF(LEN(A32)=0,"",MAX(0,IF(ISNUMBER(Q32),Q32,12)-N(P32)))</f>
        <v/>
      </c>
      <c r="S32" s="23" t="n"/>
      <c r="T32" s="27">
        <f>IF(S32="","",IF(ISNUMBER(S32),S32-TODAY(),"Check date"))</f>
        <v/>
      </c>
      <c r="U32" s="22" t="n"/>
      <c r="V32" s="22" t="n"/>
      <c r="W32" s="22" t="n"/>
      <c r="X32" s="22" t="n"/>
    </row>
    <row r="33">
      <c r="A33" s="22" t="n"/>
      <c r="B33" s="22" t="n"/>
      <c r="C33" s="22" t="n"/>
      <c r="D33" s="22" t="n"/>
      <c r="E33" s="23" t="n"/>
      <c r="F33" s="23" t="n"/>
      <c r="G33" s="23" t="n"/>
      <c r="H33" s="24">
        <f>IF(ISNUMBER(G33),EDATE(G33,24),"")</f>
        <v/>
      </c>
      <c r="I33" s="24">
        <f>IF(OR(AND(LEN(F33)&gt;0,ISNUMBER(F33)=FALSE),AND(LEN(G33)&gt;0,ISNUMBER(G33)=FALSE)),"Check date",IF(COUNT(F33,H33)=0,"",MIN(F33,H33)))</f>
        <v/>
      </c>
      <c r="J33" s="25">
        <f>IF(ISNUMBER(I33)=FALSE,"",IF(AND(ISNUMBER(H33),I33=H33),"24-month work rule","Registry expiry"))</f>
        <v/>
      </c>
      <c r="K33" s="26" t="n"/>
      <c r="L33" s="24">
        <f>IF(ISNUMBER(I33),I33-IF(ISNUMBER(K33),K33,30),"")</f>
        <v/>
      </c>
      <c r="M33" s="27">
        <f>IF(I33="","",IF(ISNUMBER(I33),I33-TODAY(),"Check date"))</f>
        <v/>
      </c>
      <c r="N33" s="28">
        <f>IF(M33="","",IF(ISNUMBER(M33),IF(M33&lt;0,"Expired",IF(M33&lt;=30,"Due ≤30 days",IF(M33&lt;=90,"Due ≤90 days","OK"))),"Check date"))</f>
        <v/>
      </c>
      <c r="O33" s="24">
        <f>IF(ISNUMBER(E33),EDATE(E33,12*(IFERROR(DATEDIF(E33,TODAY(),"y"),0)+1)),"")</f>
        <v/>
      </c>
      <c r="P33" s="26" t="n"/>
      <c r="Q33" s="26" t="n"/>
      <c r="R33" s="27">
        <f>IF(LEN(A33)=0,"",MAX(0,IF(ISNUMBER(Q33),Q33,12)-N(P33)))</f>
        <v/>
      </c>
      <c r="S33" s="23" t="n"/>
      <c r="T33" s="27">
        <f>IF(S33="","",IF(ISNUMBER(S33),S33-TODAY(),"Check date"))</f>
        <v/>
      </c>
      <c r="U33" s="22" t="n"/>
      <c r="V33" s="22" t="n"/>
      <c r="W33" s="22" t="n"/>
      <c r="X33" s="22" t="n"/>
    </row>
    <row r="34">
      <c r="A34" s="22" t="n"/>
      <c r="B34" s="22" t="n"/>
      <c r="C34" s="22" t="n"/>
      <c r="D34" s="22" t="n"/>
      <c r="E34" s="23" t="n"/>
      <c r="F34" s="23" t="n"/>
      <c r="G34" s="23" t="n"/>
      <c r="H34" s="24">
        <f>IF(ISNUMBER(G34),EDATE(G34,24),"")</f>
        <v/>
      </c>
      <c r="I34" s="24">
        <f>IF(OR(AND(LEN(F34)&gt;0,ISNUMBER(F34)=FALSE),AND(LEN(G34)&gt;0,ISNUMBER(G34)=FALSE)),"Check date",IF(COUNT(F34,H34)=0,"",MIN(F34,H34)))</f>
        <v/>
      </c>
      <c r="J34" s="25">
        <f>IF(ISNUMBER(I34)=FALSE,"",IF(AND(ISNUMBER(H34),I34=H34),"24-month work rule","Registry expiry"))</f>
        <v/>
      </c>
      <c r="K34" s="26" t="n"/>
      <c r="L34" s="24">
        <f>IF(ISNUMBER(I34),I34-IF(ISNUMBER(K34),K34,30),"")</f>
        <v/>
      </c>
      <c r="M34" s="27">
        <f>IF(I34="","",IF(ISNUMBER(I34),I34-TODAY(),"Check date"))</f>
        <v/>
      </c>
      <c r="N34" s="28">
        <f>IF(M34="","",IF(ISNUMBER(M34),IF(M34&lt;0,"Expired",IF(M34&lt;=30,"Due ≤30 days",IF(M34&lt;=90,"Due ≤90 days","OK"))),"Check date"))</f>
        <v/>
      </c>
      <c r="O34" s="24">
        <f>IF(ISNUMBER(E34),EDATE(E34,12*(IFERROR(DATEDIF(E34,TODAY(),"y"),0)+1)),"")</f>
        <v/>
      </c>
      <c r="P34" s="26" t="n"/>
      <c r="Q34" s="26" t="n"/>
      <c r="R34" s="27">
        <f>IF(LEN(A34)=0,"",MAX(0,IF(ISNUMBER(Q34),Q34,12)-N(P34)))</f>
        <v/>
      </c>
      <c r="S34" s="23" t="n"/>
      <c r="T34" s="27">
        <f>IF(S34="","",IF(ISNUMBER(S34),S34-TODAY(),"Check date"))</f>
        <v/>
      </c>
      <c r="U34" s="22" t="n"/>
      <c r="V34" s="22" t="n"/>
      <c r="W34" s="22" t="n"/>
      <c r="X34" s="22" t="n"/>
    </row>
    <row r="35">
      <c r="A35" s="22" t="n"/>
      <c r="B35" s="22" t="n"/>
      <c r="C35" s="22" t="n"/>
      <c r="D35" s="22" t="n"/>
      <c r="E35" s="23" t="n"/>
      <c r="F35" s="23" t="n"/>
      <c r="G35" s="23" t="n"/>
      <c r="H35" s="24">
        <f>IF(ISNUMBER(G35),EDATE(G35,24),"")</f>
        <v/>
      </c>
      <c r="I35" s="24">
        <f>IF(OR(AND(LEN(F35)&gt;0,ISNUMBER(F35)=FALSE),AND(LEN(G35)&gt;0,ISNUMBER(G35)=FALSE)),"Check date",IF(COUNT(F35,H35)=0,"",MIN(F35,H35)))</f>
        <v/>
      </c>
      <c r="J35" s="25">
        <f>IF(ISNUMBER(I35)=FALSE,"",IF(AND(ISNUMBER(H35),I35=H35),"24-month work rule","Registry expiry"))</f>
        <v/>
      </c>
      <c r="K35" s="26" t="n"/>
      <c r="L35" s="24">
        <f>IF(ISNUMBER(I35),I35-IF(ISNUMBER(K35),K35,30),"")</f>
        <v/>
      </c>
      <c r="M35" s="27">
        <f>IF(I35="","",IF(ISNUMBER(I35),I35-TODAY(),"Check date"))</f>
        <v/>
      </c>
      <c r="N35" s="28">
        <f>IF(M35="","",IF(ISNUMBER(M35),IF(M35&lt;0,"Expired",IF(M35&lt;=30,"Due ≤30 days",IF(M35&lt;=90,"Due ≤90 days","OK"))),"Check date"))</f>
        <v/>
      </c>
      <c r="O35" s="24">
        <f>IF(ISNUMBER(E35),EDATE(E35,12*(IFERROR(DATEDIF(E35,TODAY(),"y"),0)+1)),"")</f>
        <v/>
      </c>
      <c r="P35" s="26" t="n"/>
      <c r="Q35" s="26" t="n"/>
      <c r="R35" s="27">
        <f>IF(LEN(A35)=0,"",MAX(0,IF(ISNUMBER(Q35),Q35,12)-N(P35)))</f>
        <v/>
      </c>
      <c r="S35" s="23" t="n"/>
      <c r="T35" s="27">
        <f>IF(S35="","",IF(ISNUMBER(S35),S35-TODAY(),"Check date"))</f>
        <v/>
      </c>
      <c r="U35" s="22" t="n"/>
      <c r="V35" s="22" t="n"/>
      <c r="W35" s="22" t="n"/>
      <c r="X35" s="22" t="n"/>
    </row>
    <row r="36">
      <c r="A36" s="22" t="n"/>
      <c r="B36" s="22" t="n"/>
      <c r="C36" s="22" t="n"/>
      <c r="D36" s="22" t="n"/>
      <c r="E36" s="23" t="n"/>
      <c r="F36" s="23" t="n"/>
      <c r="G36" s="23" t="n"/>
      <c r="H36" s="24">
        <f>IF(ISNUMBER(G36),EDATE(G36,24),"")</f>
        <v/>
      </c>
      <c r="I36" s="24">
        <f>IF(OR(AND(LEN(F36)&gt;0,ISNUMBER(F36)=FALSE),AND(LEN(G36)&gt;0,ISNUMBER(G36)=FALSE)),"Check date",IF(COUNT(F36,H36)=0,"",MIN(F36,H36)))</f>
        <v/>
      </c>
      <c r="J36" s="25">
        <f>IF(ISNUMBER(I36)=FALSE,"",IF(AND(ISNUMBER(H36),I36=H36),"24-month work rule","Registry expiry"))</f>
        <v/>
      </c>
      <c r="K36" s="26" t="n"/>
      <c r="L36" s="24">
        <f>IF(ISNUMBER(I36),I36-IF(ISNUMBER(K36),K36,30),"")</f>
        <v/>
      </c>
      <c r="M36" s="27">
        <f>IF(I36="","",IF(ISNUMBER(I36),I36-TODAY(),"Check date"))</f>
        <v/>
      </c>
      <c r="N36" s="28">
        <f>IF(M36="","",IF(ISNUMBER(M36),IF(M36&lt;0,"Expired",IF(M36&lt;=30,"Due ≤30 days",IF(M36&lt;=90,"Due ≤90 days","OK"))),"Check date"))</f>
        <v/>
      </c>
      <c r="O36" s="24">
        <f>IF(ISNUMBER(E36),EDATE(E36,12*(IFERROR(DATEDIF(E36,TODAY(),"y"),0)+1)),"")</f>
        <v/>
      </c>
      <c r="P36" s="26" t="n"/>
      <c r="Q36" s="26" t="n"/>
      <c r="R36" s="27">
        <f>IF(LEN(A36)=0,"",MAX(0,IF(ISNUMBER(Q36),Q36,12)-N(P36)))</f>
        <v/>
      </c>
      <c r="S36" s="23" t="n"/>
      <c r="T36" s="27">
        <f>IF(S36="","",IF(ISNUMBER(S36),S36-TODAY(),"Check date"))</f>
        <v/>
      </c>
      <c r="U36" s="22" t="n"/>
      <c r="V36" s="22" t="n"/>
      <c r="W36" s="22" t="n"/>
      <c r="X36" s="22" t="n"/>
    </row>
    <row r="37">
      <c r="A37" s="22" t="n"/>
      <c r="B37" s="22" t="n"/>
      <c r="C37" s="22" t="n"/>
      <c r="D37" s="22" t="n"/>
      <c r="E37" s="23" t="n"/>
      <c r="F37" s="23" t="n"/>
      <c r="G37" s="23" t="n"/>
      <c r="H37" s="24">
        <f>IF(ISNUMBER(G37),EDATE(G37,24),"")</f>
        <v/>
      </c>
      <c r="I37" s="24">
        <f>IF(OR(AND(LEN(F37)&gt;0,ISNUMBER(F37)=FALSE),AND(LEN(G37)&gt;0,ISNUMBER(G37)=FALSE)),"Check date",IF(COUNT(F37,H37)=0,"",MIN(F37,H37)))</f>
        <v/>
      </c>
      <c r="J37" s="25">
        <f>IF(ISNUMBER(I37)=FALSE,"",IF(AND(ISNUMBER(H37),I37=H37),"24-month work rule","Registry expiry"))</f>
        <v/>
      </c>
      <c r="K37" s="26" t="n"/>
      <c r="L37" s="24">
        <f>IF(ISNUMBER(I37),I37-IF(ISNUMBER(K37),K37,30),"")</f>
        <v/>
      </c>
      <c r="M37" s="27">
        <f>IF(I37="","",IF(ISNUMBER(I37),I37-TODAY(),"Check date"))</f>
        <v/>
      </c>
      <c r="N37" s="28">
        <f>IF(M37="","",IF(ISNUMBER(M37),IF(M37&lt;0,"Expired",IF(M37&lt;=30,"Due ≤30 days",IF(M37&lt;=90,"Due ≤90 days","OK"))),"Check date"))</f>
        <v/>
      </c>
      <c r="O37" s="24">
        <f>IF(ISNUMBER(E37),EDATE(E37,12*(IFERROR(DATEDIF(E37,TODAY(),"y"),0)+1)),"")</f>
        <v/>
      </c>
      <c r="P37" s="26" t="n"/>
      <c r="Q37" s="26" t="n"/>
      <c r="R37" s="27">
        <f>IF(LEN(A37)=0,"",MAX(0,IF(ISNUMBER(Q37),Q37,12)-N(P37)))</f>
        <v/>
      </c>
      <c r="S37" s="23" t="n"/>
      <c r="T37" s="27">
        <f>IF(S37="","",IF(ISNUMBER(S37),S37-TODAY(),"Check date"))</f>
        <v/>
      </c>
      <c r="U37" s="22" t="n"/>
      <c r="V37" s="22" t="n"/>
      <c r="W37" s="22" t="n"/>
      <c r="X37" s="22" t="n"/>
    </row>
    <row r="38">
      <c r="A38" s="22" t="n"/>
      <c r="B38" s="22" t="n"/>
      <c r="C38" s="22" t="n"/>
      <c r="D38" s="22" t="n"/>
      <c r="E38" s="23" t="n"/>
      <c r="F38" s="23" t="n"/>
      <c r="G38" s="23" t="n"/>
      <c r="H38" s="24">
        <f>IF(ISNUMBER(G38),EDATE(G38,24),"")</f>
        <v/>
      </c>
      <c r="I38" s="24">
        <f>IF(OR(AND(LEN(F38)&gt;0,ISNUMBER(F38)=FALSE),AND(LEN(G38)&gt;0,ISNUMBER(G38)=FALSE)),"Check date",IF(COUNT(F38,H38)=0,"",MIN(F38,H38)))</f>
        <v/>
      </c>
      <c r="J38" s="25">
        <f>IF(ISNUMBER(I38)=FALSE,"",IF(AND(ISNUMBER(H38),I38=H38),"24-month work rule","Registry expiry"))</f>
        <v/>
      </c>
      <c r="K38" s="26" t="n"/>
      <c r="L38" s="24">
        <f>IF(ISNUMBER(I38),I38-IF(ISNUMBER(K38),K38,30),"")</f>
        <v/>
      </c>
      <c r="M38" s="27">
        <f>IF(I38="","",IF(ISNUMBER(I38),I38-TODAY(),"Check date"))</f>
        <v/>
      </c>
      <c r="N38" s="28">
        <f>IF(M38="","",IF(ISNUMBER(M38),IF(M38&lt;0,"Expired",IF(M38&lt;=30,"Due ≤30 days",IF(M38&lt;=90,"Due ≤90 days","OK"))),"Check date"))</f>
        <v/>
      </c>
      <c r="O38" s="24">
        <f>IF(ISNUMBER(E38),EDATE(E38,12*(IFERROR(DATEDIF(E38,TODAY(),"y"),0)+1)),"")</f>
        <v/>
      </c>
      <c r="P38" s="26" t="n"/>
      <c r="Q38" s="26" t="n"/>
      <c r="R38" s="27">
        <f>IF(LEN(A38)=0,"",MAX(0,IF(ISNUMBER(Q38),Q38,12)-N(P38)))</f>
        <v/>
      </c>
      <c r="S38" s="23" t="n"/>
      <c r="T38" s="27">
        <f>IF(S38="","",IF(ISNUMBER(S38),S38-TODAY(),"Check date"))</f>
        <v/>
      </c>
      <c r="U38" s="22" t="n"/>
      <c r="V38" s="22" t="n"/>
      <c r="W38" s="22" t="n"/>
      <c r="X38" s="22" t="n"/>
    </row>
    <row r="39">
      <c r="A39" s="22" t="n"/>
      <c r="B39" s="22" t="n"/>
      <c r="C39" s="22" t="n"/>
      <c r="D39" s="22" t="n"/>
      <c r="E39" s="23" t="n"/>
      <c r="F39" s="23" t="n"/>
      <c r="G39" s="23" t="n"/>
      <c r="H39" s="24">
        <f>IF(ISNUMBER(G39),EDATE(G39,24),"")</f>
        <v/>
      </c>
      <c r="I39" s="24">
        <f>IF(OR(AND(LEN(F39)&gt;0,ISNUMBER(F39)=FALSE),AND(LEN(G39)&gt;0,ISNUMBER(G39)=FALSE)),"Check date",IF(COUNT(F39,H39)=0,"",MIN(F39,H39)))</f>
        <v/>
      </c>
      <c r="J39" s="25">
        <f>IF(ISNUMBER(I39)=FALSE,"",IF(AND(ISNUMBER(H39),I39=H39),"24-month work rule","Registry expiry"))</f>
        <v/>
      </c>
      <c r="K39" s="26" t="n"/>
      <c r="L39" s="24">
        <f>IF(ISNUMBER(I39),I39-IF(ISNUMBER(K39),K39,30),"")</f>
        <v/>
      </c>
      <c r="M39" s="27">
        <f>IF(I39="","",IF(ISNUMBER(I39),I39-TODAY(),"Check date"))</f>
        <v/>
      </c>
      <c r="N39" s="28">
        <f>IF(M39="","",IF(ISNUMBER(M39),IF(M39&lt;0,"Expired",IF(M39&lt;=30,"Due ≤30 days",IF(M39&lt;=90,"Due ≤90 days","OK"))),"Check date"))</f>
        <v/>
      </c>
      <c r="O39" s="24">
        <f>IF(ISNUMBER(E39),EDATE(E39,12*(IFERROR(DATEDIF(E39,TODAY(),"y"),0)+1)),"")</f>
        <v/>
      </c>
      <c r="P39" s="26" t="n"/>
      <c r="Q39" s="26" t="n"/>
      <c r="R39" s="27">
        <f>IF(LEN(A39)=0,"",MAX(0,IF(ISNUMBER(Q39),Q39,12)-N(P39)))</f>
        <v/>
      </c>
      <c r="S39" s="23" t="n"/>
      <c r="T39" s="27">
        <f>IF(S39="","",IF(ISNUMBER(S39),S39-TODAY(),"Check date"))</f>
        <v/>
      </c>
      <c r="U39" s="22" t="n"/>
      <c r="V39" s="22" t="n"/>
      <c r="W39" s="22" t="n"/>
      <c r="X39" s="22" t="n"/>
    </row>
    <row r="40">
      <c r="A40" s="22" t="n"/>
      <c r="B40" s="22" t="n"/>
      <c r="C40" s="22" t="n"/>
      <c r="D40" s="22" t="n"/>
      <c r="E40" s="23" t="n"/>
      <c r="F40" s="23" t="n"/>
      <c r="G40" s="23" t="n"/>
      <c r="H40" s="24">
        <f>IF(ISNUMBER(G40),EDATE(G40,24),"")</f>
        <v/>
      </c>
      <c r="I40" s="24">
        <f>IF(OR(AND(LEN(F40)&gt;0,ISNUMBER(F40)=FALSE),AND(LEN(G40)&gt;0,ISNUMBER(G40)=FALSE)),"Check date",IF(COUNT(F40,H40)=0,"",MIN(F40,H40)))</f>
        <v/>
      </c>
      <c r="J40" s="25">
        <f>IF(ISNUMBER(I40)=FALSE,"",IF(AND(ISNUMBER(H40),I40=H40),"24-month work rule","Registry expiry"))</f>
        <v/>
      </c>
      <c r="K40" s="26" t="n"/>
      <c r="L40" s="24">
        <f>IF(ISNUMBER(I40),I40-IF(ISNUMBER(K40),K40,30),"")</f>
        <v/>
      </c>
      <c r="M40" s="27">
        <f>IF(I40="","",IF(ISNUMBER(I40),I40-TODAY(),"Check date"))</f>
        <v/>
      </c>
      <c r="N40" s="28">
        <f>IF(M40="","",IF(ISNUMBER(M40),IF(M40&lt;0,"Expired",IF(M40&lt;=30,"Due ≤30 days",IF(M40&lt;=90,"Due ≤90 days","OK"))),"Check date"))</f>
        <v/>
      </c>
      <c r="O40" s="24">
        <f>IF(ISNUMBER(E40),EDATE(E40,12*(IFERROR(DATEDIF(E40,TODAY(),"y"),0)+1)),"")</f>
        <v/>
      </c>
      <c r="P40" s="26" t="n"/>
      <c r="Q40" s="26" t="n"/>
      <c r="R40" s="27">
        <f>IF(LEN(A40)=0,"",MAX(0,IF(ISNUMBER(Q40),Q40,12)-N(P40)))</f>
        <v/>
      </c>
      <c r="S40" s="23" t="n"/>
      <c r="T40" s="27">
        <f>IF(S40="","",IF(ISNUMBER(S40),S40-TODAY(),"Check date"))</f>
        <v/>
      </c>
      <c r="U40" s="22" t="n"/>
      <c r="V40" s="22" t="n"/>
      <c r="W40" s="22" t="n"/>
      <c r="X40" s="22" t="n"/>
    </row>
    <row r="41">
      <c r="A41" s="22" t="n"/>
      <c r="B41" s="22" t="n"/>
      <c r="C41" s="22" t="n"/>
      <c r="D41" s="22" t="n"/>
      <c r="E41" s="23" t="n"/>
      <c r="F41" s="23" t="n"/>
      <c r="G41" s="23" t="n"/>
      <c r="H41" s="24">
        <f>IF(ISNUMBER(G41),EDATE(G41,24),"")</f>
        <v/>
      </c>
      <c r="I41" s="24">
        <f>IF(OR(AND(LEN(F41)&gt;0,ISNUMBER(F41)=FALSE),AND(LEN(G41)&gt;0,ISNUMBER(G41)=FALSE)),"Check date",IF(COUNT(F41,H41)=0,"",MIN(F41,H41)))</f>
        <v/>
      </c>
      <c r="J41" s="25">
        <f>IF(ISNUMBER(I41)=FALSE,"",IF(AND(ISNUMBER(H41),I41=H41),"24-month work rule","Registry expiry"))</f>
        <v/>
      </c>
      <c r="K41" s="26" t="n"/>
      <c r="L41" s="24">
        <f>IF(ISNUMBER(I41),I41-IF(ISNUMBER(K41),K41,30),"")</f>
        <v/>
      </c>
      <c r="M41" s="27">
        <f>IF(I41="","",IF(ISNUMBER(I41),I41-TODAY(),"Check date"))</f>
        <v/>
      </c>
      <c r="N41" s="28">
        <f>IF(M41="","",IF(ISNUMBER(M41),IF(M41&lt;0,"Expired",IF(M41&lt;=30,"Due ≤30 days",IF(M41&lt;=90,"Due ≤90 days","OK"))),"Check date"))</f>
        <v/>
      </c>
      <c r="O41" s="24">
        <f>IF(ISNUMBER(E41),EDATE(E41,12*(IFERROR(DATEDIF(E41,TODAY(),"y"),0)+1)),"")</f>
        <v/>
      </c>
      <c r="P41" s="26" t="n"/>
      <c r="Q41" s="26" t="n"/>
      <c r="R41" s="27">
        <f>IF(LEN(A41)=0,"",MAX(0,IF(ISNUMBER(Q41),Q41,12)-N(P41)))</f>
        <v/>
      </c>
      <c r="S41" s="23" t="n"/>
      <c r="T41" s="27">
        <f>IF(S41="","",IF(ISNUMBER(S41),S41-TODAY(),"Check date"))</f>
        <v/>
      </c>
      <c r="U41" s="22" t="n"/>
      <c r="V41" s="22" t="n"/>
      <c r="W41" s="22" t="n"/>
      <c r="X41" s="22" t="n"/>
    </row>
    <row r="42">
      <c r="A42" s="22" t="n"/>
      <c r="B42" s="22" t="n"/>
      <c r="C42" s="22" t="n"/>
      <c r="D42" s="22" t="n"/>
      <c r="E42" s="23" t="n"/>
      <c r="F42" s="23" t="n"/>
      <c r="G42" s="23" t="n"/>
      <c r="H42" s="24">
        <f>IF(ISNUMBER(G42),EDATE(G42,24),"")</f>
        <v/>
      </c>
      <c r="I42" s="24">
        <f>IF(OR(AND(LEN(F42)&gt;0,ISNUMBER(F42)=FALSE),AND(LEN(G42)&gt;0,ISNUMBER(G42)=FALSE)),"Check date",IF(COUNT(F42,H42)=0,"",MIN(F42,H42)))</f>
        <v/>
      </c>
      <c r="J42" s="25">
        <f>IF(ISNUMBER(I42)=FALSE,"",IF(AND(ISNUMBER(H42),I42=H42),"24-month work rule","Registry expiry"))</f>
        <v/>
      </c>
      <c r="K42" s="26" t="n"/>
      <c r="L42" s="24">
        <f>IF(ISNUMBER(I42),I42-IF(ISNUMBER(K42),K42,30),"")</f>
        <v/>
      </c>
      <c r="M42" s="27">
        <f>IF(I42="","",IF(ISNUMBER(I42),I42-TODAY(),"Check date"))</f>
        <v/>
      </c>
      <c r="N42" s="28">
        <f>IF(M42="","",IF(ISNUMBER(M42),IF(M42&lt;0,"Expired",IF(M42&lt;=30,"Due ≤30 days",IF(M42&lt;=90,"Due ≤90 days","OK"))),"Check date"))</f>
        <v/>
      </c>
      <c r="O42" s="24">
        <f>IF(ISNUMBER(E42),EDATE(E42,12*(IFERROR(DATEDIF(E42,TODAY(),"y"),0)+1)),"")</f>
        <v/>
      </c>
      <c r="P42" s="26" t="n"/>
      <c r="Q42" s="26" t="n"/>
      <c r="R42" s="27">
        <f>IF(LEN(A42)=0,"",MAX(0,IF(ISNUMBER(Q42),Q42,12)-N(P42)))</f>
        <v/>
      </c>
      <c r="S42" s="23" t="n"/>
      <c r="T42" s="27">
        <f>IF(S42="","",IF(ISNUMBER(S42),S42-TODAY(),"Check date"))</f>
        <v/>
      </c>
      <c r="U42" s="22" t="n"/>
      <c r="V42" s="22" t="n"/>
      <c r="W42" s="22" t="n"/>
      <c r="X42" s="22" t="n"/>
    </row>
    <row r="43">
      <c r="A43" s="22" t="n"/>
      <c r="B43" s="22" t="n"/>
      <c r="C43" s="22" t="n"/>
      <c r="D43" s="22" t="n"/>
      <c r="E43" s="23" t="n"/>
      <c r="F43" s="23" t="n"/>
      <c r="G43" s="23" t="n"/>
      <c r="H43" s="24">
        <f>IF(ISNUMBER(G43),EDATE(G43,24),"")</f>
        <v/>
      </c>
      <c r="I43" s="24">
        <f>IF(OR(AND(LEN(F43)&gt;0,ISNUMBER(F43)=FALSE),AND(LEN(G43)&gt;0,ISNUMBER(G43)=FALSE)),"Check date",IF(COUNT(F43,H43)=0,"",MIN(F43,H43)))</f>
        <v/>
      </c>
      <c r="J43" s="25">
        <f>IF(ISNUMBER(I43)=FALSE,"",IF(AND(ISNUMBER(H43),I43=H43),"24-month work rule","Registry expiry"))</f>
        <v/>
      </c>
      <c r="K43" s="26" t="n"/>
      <c r="L43" s="24">
        <f>IF(ISNUMBER(I43),I43-IF(ISNUMBER(K43),K43,30),"")</f>
        <v/>
      </c>
      <c r="M43" s="27">
        <f>IF(I43="","",IF(ISNUMBER(I43),I43-TODAY(),"Check date"))</f>
        <v/>
      </c>
      <c r="N43" s="28">
        <f>IF(M43="","",IF(ISNUMBER(M43),IF(M43&lt;0,"Expired",IF(M43&lt;=30,"Due ≤30 days",IF(M43&lt;=90,"Due ≤90 days","OK"))),"Check date"))</f>
        <v/>
      </c>
      <c r="O43" s="24">
        <f>IF(ISNUMBER(E43),EDATE(E43,12*(IFERROR(DATEDIF(E43,TODAY(),"y"),0)+1)),"")</f>
        <v/>
      </c>
      <c r="P43" s="26" t="n"/>
      <c r="Q43" s="26" t="n"/>
      <c r="R43" s="27">
        <f>IF(LEN(A43)=0,"",MAX(0,IF(ISNUMBER(Q43),Q43,12)-N(P43)))</f>
        <v/>
      </c>
      <c r="S43" s="23" t="n"/>
      <c r="T43" s="27">
        <f>IF(S43="","",IF(ISNUMBER(S43),S43-TODAY(),"Check date"))</f>
        <v/>
      </c>
      <c r="U43" s="22" t="n"/>
      <c r="V43" s="22" t="n"/>
      <c r="W43" s="22" t="n"/>
      <c r="X43" s="22" t="n"/>
    </row>
    <row r="44">
      <c r="A44" s="22" t="n"/>
      <c r="B44" s="22" t="n"/>
      <c r="C44" s="22" t="n"/>
      <c r="D44" s="22" t="n"/>
      <c r="E44" s="23" t="n"/>
      <c r="F44" s="23" t="n"/>
      <c r="G44" s="23" t="n"/>
      <c r="H44" s="24">
        <f>IF(ISNUMBER(G44),EDATE(G44,24),"")</f>
        <v/>
      </c>
      <c r="I44" s="24">
        <f>IF(OR(AND(LEN(F44)&gt;0,ISNUMBER(F44)=FALSE),AND(LEN(G44)&gt;0,ISNUMBER(G44)=FALSE)),"Check date",IF(COUNT(F44,H44)=0,"",MIN(F44,H44)))</f>
        <v/>
      </c>
      <c r="J44" s="25">
        <f>IF(ISNUMBER(I44)=FALSE,"",IF(AND(ISNUMBER(H44),I44=H44),"24-month work rule","Registry expiry"))</f>
        <v/>
      </c>
      <c r="K44" s="26" t="n"/>
      <c r="L44" s="24">
        <f>IF(ISNUMBER(I44),I44-IF(ISNUMBER(K44),K44,30),"")</f>
        <v/>
      </c>
      <c r="M44" s="27">
        <f>IF(I44="","",IF(ISNUMBER(I44),I44-TODAY(),"Check date"))</f>
        <v/>
      </c>
      <c r="N44" s="28">
        <f>IF(M44="","",IF(ISNUMBER(M44),IF(M44&lt;0,"Expired",IF(M44&lt;=30,"Due ≤30 days",IF(M44&lt;=90,"Due ≤90 days","OK"))),"Check date"))</f>
        <v/>
      </c>
      <c r="O44" s="24">
        <f>IF(ISNUMBER(E44),EDATE(E44,12*(IFERROR(DATEDIF(E44,TODAY(),"y"),0)+1)),"")</f>
        <v/>
      </c>
      <c r="P44" s="26" t="n"/>
      <c r="Q44" s="26" t="n"/>
      <c r="R44" s="27">
        <f>IF(LEN(A44)=0,"",MAX(0,IF(ISNUMBER(Q44),Q44,12)-N(P44)))</f>
        <v/>
      </c>
      <c r="S44" s="23" t="n"/>
      <c r="T44" s="27">
        <f>IF(S44="","",IF(ISNUMBER(S44),S44-TODAY(),"Check date"))</f>
        <v/>
      </c>
      <c r="U44" s="22" t="n"/>
      <c r="V44" s="22" t="n"/>
      <c r="W44" s="22" t="n"/>
      <c r="X44" s="22" t="n"/>
    </row>
    <row r="45">
      <c r="A45" s="22" t="n"/>
      <c r="B45" s="22" t="n"/>
      <c r="C45" s="22" t="n"/>
      <c r="D45" s="22" t="n"/>
      <c r="E45" s="23" t="n"/>
      <c r="F45" s="23" t="n"/>
      <c r="G45" s="23" t="n"/>
      <c r="H45" s="24">
        <f>IF(ISNUMBER(G45),EDATE(G45,24),"")</f>
        <v/>
      </c>
      <c r="I45" s="24">
        <f>IF(OR(AND(LEN(F45)&gt;0,ISNUMBER(F45)=FALSE),AND(LEN(G45)&gt;0,ISNUMBER(G45)=FALSE)),"Check date",IF(COUNT(F45,H45)=0,"",MIN(F45,H45)))</f>
        <v/>
      </c>
      <c r="J45" s="25">
        <f>IF(ISNUMBER(I45)=FALSE,"",IF(AND(ISNUMBER(H45),I45=H45),"24-month work rule","Registry expiry"))</f>
        <v/>
      </c>
      <c r="K45" s="26" t="n"/>
      <c r="L45" s="24">
        <f>IF(ISNUMBER(I45),I45-IF(ISNUMBER(K45),K45,30),"")</f>
        <v/>
      </c>
      <c r="M45" s="27">
        <f>IF(I45="","",IF(ISNUMBER(I45),I45-TODAY(),"Check date"))</f>
        <v/>
      </c>
      <c r="N45" s="28">
        <f>IF(M45="","",IF(ISNUMBER(M45),IF(M45&lt;0,"Expired",IF(M45&lt;=30,"Due ≤30 days",IF(M45&lt;=90,"Due ≤90 days","OK"))),"Check date"))</f>
        <v/>
      </c>
      <c r="O45" s="24">
        <f>IF(ISNUMBER(E45),EDATE(E45,12*(IFERROR(DATEDIF(E45,TODAY(),"y"),0)+1)),"")</f>
        <v/>
      </c>
      <c r="P45" s="26" t="n"/>
      <c r="Q45" s="26" t="n"/>
      <c r="R45" s="27">
        <f>IF(LEN(A45)=0,"",MAX(0,IF(ISNUMBER(Q45),Q45,12)-N(P45)))</f>
        <v/>
      </c>
      <c r="S45" s="23" t="n"/>
      <c r="T45" s="27">
        <f>IF(S45="","",IF(ISNUMBER(S45),S45-TODAY(),"Check date"))</f>
        <v/>
      </c>
      <c r="U45" s="22" t="n"/>
      <c r="V45" s="22" t="n"/>
      <c r="W45" s="22" t="n"/>
      <c r="X45" s="22" t="n"/>
    </row>
    <row r="46">
      <c r="A46" s="22" t="n"/>
      <c r="B46" s="22" t="n"/>
      <c r="C46" s="22" t="n"/>
      <c r="D46" s="22" t="n"/>
      <c r="E46" s="23" t="n"/>
      <c r="F46" s="23" t="n"/>
      <c r="G46" s="23" t="n"/>
      <c r="H46" s="24">
        <f>IF(ISNUMBER(G46),EDATE(G46,24),"")</f>
        <v/>
      </c>
      <c r="I46" s="24">
        <f>IF(OR(AND(LEN(F46)&gt;0,ISNUMBER(F46)=FALSE),AND(LEN(G46)&gt;0,ISNUMBER(G46)=FALSE)),"Check date",IF(COUNT(F46,H46)=0,"",MIN(F46,H46)))</f>
        <v/>
      </c>
      <c r="J46" s="25">
        <f>IF(ISNUMBER(I46)=FALSE,"",IF(AND(ISNUMBER(H46),I46=H46),"24-month work rule","Registry expiry"))</f>
        <v/>
      </c>
      <c r="K46" s="26" t="n"/>
      <c r="L46" s="24">
        <f>IF(ISNUMBER(I46),I46-IF(ISNUMBER(K46),K46,30),"")</f>
        <v/>
      </c>
      <c r="M46" s="27">
        <f>IF(I46="","",IF(ISNUMBER(I46),I46-TODAY(),"Check date"))</f>
        <v/>
      </c>
      <c r="N46" s="28">
        <f>IF(M46="","",IF(ISNUMBER(M46),IF(M46&lt;0,"Expired",IF(M46&lt;=30,"Due ≤30 days",IF(M46&lt;=90,"Due ≤90 days","OK"))),"Check date"))</f>
        <v/>
      </c>
      <c r="O46" s="24">
        <f>IF(ISNUMBER(E46),EDATE(E46,12*(IFERROR(DATEDIF(E46,TODAY(),"y"),0)+1)),"")</f>
        <v/>
      </c>
      <c r="P46" s="26" t="n"/>
      <c r="Q46" s="26" t="n"/>
      <c r="R46" s="27">
        <f>IF(LEN(A46)=0,"",MAX(0,IF(ISNUMBER(Q46),Q46,12)-N(P46)))</f>
        <v/>
      </c>
      <c r="S46" s="23" t="n"/>
      <c r="T46" s="27">
        <f>IF(S46="","",IF(ISNUMBER(S46),S46-TODAY(),"Check date"))</f>
        <v/>
      </c>
      <c r="U46" s="22" t="n"/>
      <c r="V46" s="22" t="n"/>
      <c r="W46" s="22" t="n"/>
      <c r="X46" s="22" t="n"/>
    </row>
    <row r="47">
      <c r="A47" s="22" t="n"/>
      <c r="B47" s="22" t="n"/>
      <c r="C47" s="22" t="n"/>
      <c r="D47" s="22" t="n"/>
      <c r="E47" s="23" t="n"/>
      <c r="F47" s="23" t="n"/>
      <c r="G47" s="23" t="n"/>
      <c r="H47" s="24">
        <f>IF(ISNUMBER(G47),EDATE(G47,24),"")</f>
        <v/>
      </c>
      <c r="I47" s="24">
        <f>IF(OR(AND(LEN(F47)&gt;0,ISNUMBER(F47)=FALSE),AND(LEN(G47)&gt;0,ISNUMBER(G47)=FALSE)),"Check date",IF(COUNT(F47,H47)=0,"",MIN(F47,H47)))</f>
        <v/>
      </c>
      <c r="J47" s="25">
        <f>IF(ISNUMBER(I47)=FALSE,"",IF(AND(ISNUMBER(H47),I47=H47),"24-month work rule","Registry expiry"))</f>
        <v/>
      </c>
      <c r="K47" s="26" t="n"/>
      <c r="L47" s="24">
        <f>IF(ISNUMBER(I47),I47-IF(ISNUMBER(K47),K47,30),"")</f>
        <v/>
      </c>
      <c r="M47" s="27">
        <f>IF(I47="","",IF(ISNUMBER(I47),I47-TODAY(),"Check date"))</f>
        <v/>
      </c>
      <c r="N47" s="28">
        <f>IF(M47="","",IF(ISNUMBER(M47),IF(M47&lt;0,"Expired",IF(M47&lt;=30,"Due ≤30 days",IF(M47&lt;=90,"Due ≤90 days","OK"))),"Check date"))</f>
        <v/>
      </c>
      <c r="O47" s="24">
        <f>IF(ISNUMBER(E47),EDATE(E47,12*(IFERROR(DATEDIF(E47,TODAY(),"y"),0)+1)),"")</f>
        <v/>
      </c>
      <c r="P47" s="26" t="n"/>
      <c r="Q47" s="26" t="n"/>
      <c r="R47" s="27">
        <f>IF(LEN(A47)=0,"",MAX(0,IF(ISNUMBER(Q47),Q47,12)-N(P47)))</f>
        <v/>
      </c>
      <c r="S47" s="23" t="n"/>
      <c r="T47" s="27">
        <f>IF(S47="","",IF(ISNUMBER(S47),S47-TODAY(),"Check date"))</f>
        <v/>
      </c>
      <c r="U47" s="22" t="n"/>
      <c r="V47" s="22" t="n"/>
      <c r="W47" s="22" t="n"/>
      <c r="X47" s="22" t="n"/>
    </row>
    <row r="48">
      <c r="A48" s="22" t="n"/>
      <c r="B48" s="22" t="n"/>
      <c r="C48" s="22" t="n"/>
      <c r="D48" s="22" t="n"/>
      <c r="E48" s="23" t="n"/>
      <c r="F48" s="23" t="n"/>
      <c r="G48" s="23" t="n"/>
      <c r="H48" s="24">
        <f>IF(ISNUMBER(G48),EDATE(G48,24),"")</f>
        <v/>
      </c>
      <c r="I48" s="24">
        <f>IF(OR(AND(LEN(F48)&gt;0,ISNUMBER(F48)=FALSE),AND(LEN(G48)&gt;0,ISNUMBER(G48)=FALSE)),"Check date",IF(COUNT(F48,H48)=0,"",MIN(F48,H48)))</f>
        <v/>
      </c>
      <c r="J48" s="25">
        <f>IF(ISNUMBER(I48)=FALSE,"",IF(AND(ISNUMBER(H48),I48=H48),"24-month work rule","Registry expiry"))</f>
        <v/>
      </c>
      <c r="K48" s="26" t="n"/>
      <c r="L48" s="24">
        <f>IF(ISNUMBER(I48),I48-IF(ISNUMBER(K48),K48,30),"")</f>
        <v/>
      </c>
      <c r="M48" s="27">
        <f>IF(I48="","",IF(ISNUMBER(I48),I48-TODAY(),"Check date"))</f>
        <v/>
      </c>
      <c r="N48" s="28">
        <f>IF(M48="","",IF(ISNUMBER(M48),IF(M48&lt;0,"Expired",IF(M48&lt;=30,"Due ≤30 days",IF(M48&lt;=90,"Due ≤90 days","OK"))),"Check date"))</f>
        <v/>
      </c>
      <c r="O48" s="24">
        <f>IF(ISNUMBER(E48),EDATE(E48,12*(IFERROR(DATEDIF(E48,TODAY(),"y"),0)+1)),"")</f>
        <v/>
      </c>
      <c r="P48" s="26" t="n"/>
      <c r="Q48" s="26" t="n"/>
      <c r="R48" s="27">
        <f>IF(LEN(A48)=0,"",MAX(0,IF(ISNUMBER(Q48),Q48,12)-N(P48)))</f>
        <v/>
      </c>
      <c r="S48" s="23" t="n"/>
      <c r="T48" s="27">
        <f>IF(S48="","",IF(ISNUMBER(S48),S48-TODAY(),"Check date"))</f>
        <v/>
      </c>
      <c r="U48" s="22" t="n"/>
      <c r="V48" s="22" t="n"/>
      <c r="W48" s="22" t="n"/>
      <c r="X48" s="22" t="n"/>
    </row>
    <row r="49">
      <c r="A49" s="22" t="n"/>
      <c r="B49" s="22" t="n"/>
      <c r="C49" s="22" t="n"/>
      <c r="D49" s="22" t="n"/>
      <c r="E49" s="23" t="n"/>
      <c r="F49" s="23" t="n"/>
      <c r="G49" s="23" t="n"/>
      <c r="H49" s="24">
        <f>IF(ISNUMBER(G49),EDATE(G49,24),"")</f>
        <v/>
      </c>
      <c r="I49" s="24">
        <f>IF(OR(AND(LEN(F49)&gt;0,ISNUMBER(F49)=FALSE),AND(LEN(G49)&gt;0,ISNUMBER(G49)=FALSE)),"Check date",IF(COUNT(F49,H49)=0,"",MIN(F49,H49)))</f>
        <v/>
      </c>
      <c r="J49" s="25">
        <f>IF(ISNUMBER(I49)=FALSE,"",IF(AND(ISNUMBER(H49),I49=H49),"24-month work rule","Registry expiry"))</f>
        <v/>
      </c>
      <c r="K49" s="26" t="n"/>
      <c r="L49" s="24">
        <f>IF(ISNUMBER(I49),I49-IF(ISNUMBER(K49),K49,30),"")</f>
        <v/>
      </c>
      <c r="M49" s="27">
        <f>IF(I49="","",IF(ISNUMBER(I49),I49-TODAY(),"Check date"))</f>
        <v/>
      </c>
      <c r="N49" s="28">
        <f>IF(M49="","",IF(ISNUMBER(M49),IF(M49&lt;0,"Expired",IF(M49&lt;=30,"Due ≤30 days",IF(M49&lt;=90,"Due ≤90 days","OK"))),"Check date"))</f>
        <v/>
      </c>
      <c r="O49" s="24">
        <f>IF(ISNUMBER(E49),EDATE(E49,12*(IFERROR(DATEDIF(E49,TODAY(),"y"),0)+1)),"")</f>
        <v/>
      </c>
      <c r="P49" s="26" t="n"/>
      <c r="Q49" s="26" t="n"/>
      <c r="R49" s="27">
        <f>IF(LEN(A49)=0,"",MAX(0,IF(ISNUMBER(Q49),Q49,12)-N(P49)))</f>
        <v/>
      </c>
      <c r="S49" s="23" t="n"/>
      <c r="T49" s="27">
        <f>IF(S49="","",IF(ISNUMBER(S49),S49-TODAY(),"Check date"))</f>
        <v/>
      </c>
      <c r="U49" s="22" t="n"/>
      <c r="V49" s="22" t="n"/>
      <c r="W49" s="22" t="n"/>
      <c r="X49" s="22" t="n"/>
    </row>
    <row r="50">
      <c r="A50" s="22" t="n"/>
      <c r="B50" s="22" t="n"/>
      <c r="C50" s="22" t="n"/>
      <c r="D50" s="22" t="n"/>
      <c r="E50" s="23" t="n"/>
      <c r="F50" s="23" t="n"/>
      <c r="G50" s="23" t="n"/>
      <c r="H50" s="24">
        <f>IF(ISNUMBER(G50),EDATE(G50,24),"")</f>
        <v/>
      </c>
      <c r="I50" s="24">
        <f>IF(OR(AND(LEN(F50)&gt;0,ISNUMBER(F50)=FALSE),AND(LEN(G50)&gt;0,ISNUMBER(G50)=FALSE)),"Check date",IF(COUNT(F50,H50)=0,"",MIN(F50,H50)))</f>
        <v/>
      </c>
      <c r="J50" s="25">
        <f>IF(ISNUMBER(I50)=FALSE,"",IF(AND(ISNUMBER(H50),I50=H50),"24-month work rule","Registry expiry"))</f>
        <v/>
      </c>
      <c r="K50" s="26" t="n"/>
      <c r="L50" s="24">
        <f>IF(ISNUMBER(I50),I50-IF(ISNUMBER(K50),K50,30),"")</f>
        <v/>
      </c>
      <c r="M50" s="27">
        <f>IF(I50="","",IF(ISNUMBER(I50),I50-TODAY(),"Check date"))</f>
        <v/>
      </c>
      <c r="N50" s="28">
        <f>IF(M50="","",IF(ISNUMBER(M50),IF(M50&lt;0,"Expired",IF(M50&lt;=30,"Due ≤30 days",IF(M50&lt;=90,"Due ≤90 days","OK"))),"Check date"))</f>
        <v/>
      </c>
      <c r="O50" s="24">
        <f>IF(ISNUMBER(E50),EDATE(E50,12*(IFERROR(DATEDIF(E50,TODAY(),"y"),0)+1)),"")</f>
        <v/>
      </c>
      <c r="P50" s="26" t="n"/>
      <c r="Q50" s="26" t="n"/>
      <c r="R50" s="27">
        <f>IF(LEN(A50)=0,"",MAX(0,IF(ISNUMBER(Q50),Q50,12)-N(P50)))</f>
        <v/>
      </c>
      <c r="S50" s="23" t="n"/>
      <c r="T50" s="27">
        <f>IF(S50="","",IF(ISNUMBER(S50),S50-TODAY(),"Check date"))</f>
        <v/>
      </c>
      <c r="U50" s="22" t="n"/>
      <c r="V50" s="22" t="n"/>
      <c r="W50" s="22" t="n"/>
      <c r="X50" s="22" t="n"/>
    </row>
    <row r="51">
      <c r="A51" s="22" t="n"/>
      <c r="B51" s="22" t="n"/>
      <c r="C51" s="22" t="n"/>
      <c r="D51" s="22" t="n"/>
      <c r="E51" s="23" t="n"/>
      <c r="F51" s="23" t="n"/>
      <c r="G51" s="23" t="n"/>
      <c r="H51" s="24">
        <f>IF(ISNUMBER(G51),EDATE(G51,24),"")</f>
        <v/>
      </c>
      <c r="I51" s="24">
        <f>IF(OR(AND(LEN(F51)&gt;0,ISNUMBER(F51)=FALSE),AND(LEN(G51)&gt;0,ISNUMBER(G51)=FALSE)),"Check date",IF(COUNT(F51,H51)=0,"",MIN(F51,H51)))</f>
        <v/>
      </c>
      <c r="J51" s="25">
        <f>IF(ISNUMBER(I51)=FALSE,"",IF(AND(ISNUMBER(H51),I51=H51),"24-month work rule","Registry expiry"))</f>
        <v/>
      </c>
      <c r="K51" s="26" t="n"/>
      <c r="L51" s="24">
        <f>IF(ISNUMBER(I51),I51-IF(ISNUMBER(K51),K51,30),"")</f>
        <v/>
      </c>
      <c r="M51" s="27">
        <f>IF(I51="","",IF(ISNUMBER(I51),I51-TODAY(),"Check date"))</f>
        <v/>
      </c>
      <c r="N51" s="28">
        <f>IF(M51="","",IF(ISNUMBER(M51),IF(M51&lt;0,"Expired",IF(M51&lt;=30,"Due ≤30 days",IF(M51&lt;=90,"Due ≤90 days","OK"))),"Check date"))</f>
        <v/>
      </c>
      <c r="O51" s="24">
        <f>IF(ISNUMBER(E51),EDATE(E51,12*(IFERROR(DATEDIF(E51,TODAY(),"y"),0)+1)),"")</f>
        <v/>
      </c>
      <c r="P51" s="26" t="n"/>
      <c r="Q51" s="26" t="n"/>
      <c r="R51" s="27">
        <f>IF(LEN(A51)=0,"",MAX(0,IF(ISNUMBER(Q51),Q51,12)-N(P51)))</f>
        <v/>
      </c>
      <c r="S51" s="23" t="n"/>
      <c r="T51" s="27">
        <f>IF(S51="","",IF(ISNUMBER(S51),S51-TODAY(),"Check date"))</f>
        <v/>
      </c>
      <c r="U51" s="22" t="n"/>
      <c r="V51" s="22" t="n"/>
      <c r="W51" s="22" t="n"/>
      <c r="X51" s="22" t="n"/>
    </row>
    <row r="52">
      <c r="A52" s="22" t="n"/>
      <c r="B52" s="22" t="n"/>
      <c r="C52" s="22" t="n"/>
      <c r="D52" s="22" t="n"/>
      <c r="E52" s="23" t="n"/>
      <c r="F52" s="23" t="n"/>
      <c r="G52" s="23" t="n"/>
      <c r="H52" s="24">
        <f>IF(ISNUMBER(G52),EDATE(G52,24),"")</f>
        <v/>
      </c>
      <c r="I52" s="24">
        <f>IF(OR(AND(LEN(F52)&gt;0,ISNUMBER(F52)=FALSE),AND(LEN(G52)&gt;0,ISNUMBER(G52)=FALSE)),"Check date",IF(COUNT(F52,H52)=0,"",MIN(F52,H52)))</f>
        <v/>
      </c>
      <c r="J52" s="25">
        <f>IF(ISNUMBER(I52)=FALSE,"",IF(AND(ISNUMBER(H52),I52=H52),"24-month work rule","Registry expiry"))</f>
        <v/>
      </c>
      <c r="K52" s="26" t="n"/>
      <c r="L52" s="24">
        <f>IF(ISNUMBER(I52),I52-IF(ISNUMBER(K52),K52,30),"")</f>
        <v/>
      </c>
      <c r="M52" s="27">
        <f>IF(I52="","",IF(ISNUMBER(I52),I52-TODAY(),"Check date"))</f>
        <v/>
      </c>
      <c r="N52" s="28">
        <f>IF(M52="","",IF(ISNUMBER(M52),IF(M52&lt;0,"Expired",IF(M52&lt;=30,"Due ≤30 days",IF(M52&lt;=90,"Due ≤90 days","OK"))),"Check date"))</f>
        <v/>
      </c>
      <c r="O52" s="24">
        <f>IF(ISNUMBER(E52),EDATE(E52,12*(IFERROR(DATEDIF(E52,TODAY(),"y"),0)+1)),"")</f>
        <v/>
      </c>
      <c r="P52" s="26" t="n"/>
      <c r="Q52" s="26" t="n"/>
      <c r="R52" s="27">
        <f>IF(LEN(A52)=0,"",MAX(0,IF(ISNUMBER(Q52),Q52,12)-N(P52)))</f>
        <v/>
      </c>
      <c r="S52" s="23" t="n"/>
      <c r="T52" s="27">
        <f>IF(S52="","",IF(ISNUMBER(S52),S52-TODAY(),"Check date"))</f>
        <v/>
      </c>
      <c r="U52" s="22" t="n"/>
      <c r="V52" s="22" t="n"/>
      <c r="W52" s="22" t="n"/>
      <c r="X52" s="22" t="n"/>
    </row>
    <row r="53">
      <c r="A53" s="22" t="n"/>
      <c r="B53" s="22" t="n"/>
      <c r="C53" s="22" t="n"/>
      <c r="D53" s="22" t="n"/>
      <c r="E53" s="23" t="n"/>
      <c r="F53" s="23" t="n"/>
      <c r="G53" s="23" t="n"/>
      <c r="H53" s="24">
        <f>IF(ISNUMBER(G53),EDATE(G53,24),"")</f>
        <v/>
      </c>
      <c r="I53" s="24">
        <f>IF(OR(AND(LEN(F53)&gt;0,ISNUMBER(F53)=FALSE),AND(LEN(G53)&gt;0,ISNUMBER(G53)=FALSE)),"Check date",IF(COUNT(F53,H53)=0,"",MIN(F53,H53)))</f>
        <v/>
      </c>
      <c r="J53" s="25">
        <f>IF(ISNUMBER(I53)=FALSE,"",IF(AND(ISNUMBER(H53),I53=H53),"24-month work rule","Registry expiry"))</f>
        <v/>
      </c>
      <c r="K53" s="26" t="n"/>
      <c r="L53" s="24">
        <f>IF(ISNUMBER(I53),I53-IF(ISNUMBER(K53),K53,30),"")</f>
        <v/>
      </c>
      <c r="M53" s="27">
        <f>IF(I53="","",IF(ISNUMBER(I53),I53-TODAY(),"Check date"))</f>
        <v/>
      </c>
      <c r="N53" s="28">
        <f>IF(M53="","",IF(ISNUMBER(M53),IF(M53&lt;0,"Expired",IF(M53&lt;=30,"Due ≤30 days",IF(M53&lt;=90,"Due ≤90 days","OK"))),"Check date"))</f>
        <v/>
      </c>
      <c r="O53" s="24">
        <f>IF(ISNUMBER(E53),EDATE(E53,12*(IFERROR(DATEDIF(E53,TODAY(),"y"),0)+1)),"")</f>
        <v/>
      </c>
      <c r="P53" s="26" t="n"/>
      <c r="Q53" s="26" t="n"/>
      <c r="R53" s="27">
        <f>IF(LEN(A53)=0,"",MAX(0,IF(ISNUMBER(Q53),Q53,12)-N(P53)))</f>
        <v/>
      </c>
      <c r="S53" s="23" t="n"/>
      <c r="T53" s="27">
        <f>IF(S53="","",IF(ISNUMBER(S53),S53-TODAY(),"Check date"))</f>
        <v/>
      </c>
      <c r="U53" s="22" t="n"/>
      <c r="V53" s="22" t="n"/>
      <c r="W53" s="22" t="n"/>
      <c r="X53" s="22" t="n"/>
    </row>
    <row r="54">
      <c r="A54" s="22" t="n"/>
      <c r="B54" s="22" t="n"/>
      <c r="C54" s="22" t="n"/>
      <c r="D54" s="22" t="n"/>
      <c r="E54" s="23" t="n"/>
      <c r="F54" s="23" t="n"/>
      <c r="G54" s="23" t="n"/>
      <c r="H54" s="24">
        <f>IF(ISNUMBER(G54),EDATE(G54,24),"")</f>
        <v/>
      </c>
      <c r="I54" s="24">
        <f>IF(OR(AND(LEN(F54)&gt;0,ISNUMBER(F54)=FALSE),AND(LEN(G54)&gt;0,ISNUMBER(G54)=FALSE)),"Check date",IF(COUNT(F54,H54)=0,"",MIN(F54,H54)))</f>
        <v/>
      </c>
      <c r="J54" s="25">
        <f>IF(ISNUMBER(I54)=FALSE,"",IF(AND(ISNUMBER(H54),I54=H54),"24-month work rule","Registry expiry"))</f>
        <v/>
      </c>
      <c r="K54" s="26" t="n"/>
      <c r="L54" s="24">
        <f>IF(ISNUMBER(I54),I54-IF(ISNUMBER(K54),K54,30),"")</f>
        <v/>
      </c>
      <c r="M54" s="27">
        <f>IF(I54="","",IF(ISNUMBER(I54),I54-TODAY(),"Check date"))</f>
        <v/>
      </c>
      <c r="N54" s="28">
        <f>IF(M54="","",IF(ISNUMBER(M54),IF(M54&lt;0,"Expired",IF(M54&lt;=30,"Due ≤30 days",IF(M54&lt;=90,"Due ≤90 days","OK"))),"Check date"))</f>
        <v/>
      </c>
      <c r="O54" s="24">
        <f>IF(ISNUMBER(E54),EDATE(E54,12*(IFERROR(DATEDIF(E54,TODAY(),"y"),0)+1)),"")</f>
        <v/>
      </c>
      <c r="P54" s="26" t="n"/>
      <c r="Q54" s="26" t="n"/>
      <c r="R54" s="27">
        <f>IF(LEN(A54)=0,"",MAX(0,IF(ISNUMBER(Q54),Q54,12)-N(P54)))</f>
        <v/>
      </c>
      <c r="S54" s="23" t="n"/>
      <c r="T54" s="27">
        <f>IF(S54="","",IF(ISNUMBER(S54),S54-TODAY(),"Check date"))</f>
        <v/>
      </c>
      <c r="U54" s="22" t="n"/>
      <c r="V54" s="22" t="n"/>
      <c r="W54" s="22" t="n"/>
      <c r="X54" s="22" t="n"/>
    </row>
    <row r="55">
      <c r="A55" s="22" t="n"/>
      <c r="B55" s="22" t="n"/>
      <c r="C55" s="22" t="n"/>
      <c r="D55" s="22" t="n"/>
      <c r="E55" s="23" t="n"/>
      <c r="F55" s="23" t="n"/>
      <c r="G55" s="23" t="n"/>
      <c r="H55" s="24">
        <f>IF(ISNUMBER(G55),EDATE(G55,24),"")</f>
        <v/>
      </c>
      <c r="I55" s="24">
        <f>IF(OR(AND(LEN(F55)&gt;0,ISNUMBER(F55)=FALSE),AND(LEN(G55)&gt;0,ISNUMBER(G55)=FALSE)),"Check date",IF(COUNT(F55,H55)=0,"",MIN(F55,H55)))</f>
        <v/>
      </c>
      <c r="J55" s="25">
        <f>IF(ISNUMBER(I55)=FALSE,"",IF(AND(ISNUMBER(H55),I55=H55),"24-month work rule","Registry expiry"))</f>
        <v/>
      </c>
      <c r="K55" s="26" t="n"/>
      <c r="L55" s="24">
        <f>IF(ISNUMBER(I55),I55-IF(ISNUMBER(K55),K55,30),"")</f>
        <v/>
      </c>
      <c r="M55" s="27">
        <f>IF(I55="","",IF(ISNUMBER(I55),I55-TODAY(),"Check date"))</f>
        <v/>
      </c>
      <c r="N55" s="28">
        <f>IF(M55="","",IF(ISNUMBER(M55),IF(M55&lt;0,"Expired",IF(M55&lt;=30,"Due ≤30 days",IF(M55&lt;=90,"Due ≤90 days","OK"))),"Check date"))</f>
        <v/>
      </c>
      <c r="O55" s="24">
        <f>IF(ISNUMBER(E55),EDATE(E55,12*(IFERROR(DATEDIF(E55,TODAY(),"y"),0)+1)),"")</f>
        <v/>
      </c>
      <c r="P55" s="26" t="n"/>
      <c r="Q55" s="26" t="n"/>
      <c r="R55" s="27">
        <f>IF(LEN(A55)=0,"",MAX(0,IF(ISNUMBER(Q55),Q55,12)-N(P55)))</f>
        <v/>
      </c>
      <c r="S55" s="23" t="n"/>
      <c r="T55" s="27">
        <f>IF(S55="","",IF(ISNUMBER(S55),S55-TODAY(),"Check date"))</f>
        <v/>
      </c>
      <c r="U55" s="22" t="n"/>
      <c r="V55" s="22" t="n"/>
      <c r="W55" s="22" t="n"/>
      <c r="X55" s="22" t="n"/>
    </row>
    <row r="56">
      <c r="A56" s="22" t="n"/>
      <c r="B56" s="22" t="n"/>
      <c r="C56" s="22" t="n"/>
      <c r="D56" s="22" t="n"/>
      <c r="E56" s="23" t="n"/>
      <c r="F56" s="23" t="n"/>
      <c r="G56" s="23" t="n"/>
      <c r="H56" s="24">
        <f>IF(ISNUMBER(G56),EDATE(G56,24),"")</f>
        <v/>
      </c>
      <c r="I56" s="24">
        <f>IF(OR(AND(LEN(F56)&gt;0,ISNUMBER(F56)=FALSE),AND(LEN(G56)&gt;0,ISNUMBER(G56)=FALSE)),"Check date",IF(COUNT(F56,H56)=0,"",MIN(F56,H56)))</f>
        <v/>
      </c>
      <c r="J56" s="25">
        <f>IF(ISNUMBER(I56)=FALSE,"",IF(AND(ISNUMBER(H56),I56=H56),"24-month work rule","Registry expiry"))</f>
        <v/>
      </c>
      <c r="K56" s="26" t="n"/>
      <c r="L56" s="24">
        <f>IF(ISNUMBER(I56),I56-IF(ISNUMBER(K56),K56,30),"")</f>
        <v/>
      </c>
      <c r="M56" s="27">
        <f>IF(I56="","",IF(ISNUMBER(I56),I56-TODAY(),"Check date"))</f>
        <v/>
      </c>
      <c r="N56" s="28">
        <f>IF(M56="","",IF(ISNUMBER(M56),IF(M56&lt;0,"Expired",IF(M56&lt;=30,"Due ≤30 days",IF(M56&lt;=90,"Due ≤90 days","OK"))),"Check date"))</f>
        <v/>
      </c>
      <c r="O56" s="24">
        <f>IF(ISNUMBER(E56),EDATE(E56,12*(IFERROR(DATEDIF(E56,TODAY(),"y"),0)+1)),"")</f>
        <v/>
      </c>
      <c r="P56" s="26" t="n"/>
      <c r="Q56" s="26" t="n"/>
      <c r="R56" s="27">
        <f>IF(LEN(A56)=0,"",MAX(0,IF(ISNUMBER(Q56),Q56,12)-N(P56)))</f>
        <v/>
      </c>
      <c r="S56" s="23" t="n"/>
      <c r="T56" s="27">
        <f>IF(S56="","",IF(ISNUMBER(S56),S56-TODAY(),"Check date"))</f>
        <v/>
      </c>
      <c r="U56" s="22" t="n"/>
      <c r="V56" s="22" t="n"/>
      <c r="W56" s="22" t="n"/>
      <c r="X56" s="22" t="n"/>
    </row>
    <row r="57">
      <c r="A57" s="22" t="n"/>
      <c r="B57" s="22" t="n"/>
      <c r="C57" s="22" t="n"/>
      <c r="D57" s="22" t="n"/>
      <c r="E57" s="23" t="n"/>
      <c r="F57" s="23" t="n"/>
      <c r="G57" s="23" t="n"/>
      <c r="H57" s="24">
        <f>IF(ISNUMBER(G57),EDATE(G57,24),"")</f>
        <v/>
      </c>
      <c r="I57" s="24">
        <f>IF(OR(AND(LEN(F57)&gt;0,ISNUMBER(F57)=FALSE),AND(LEN(G57)&gt;0,ISNUMBER(G57)=FALSE)),"Check date",IF(COUNT(F57,H57)=0,"",MIN(F57,H57)))</f>
        <v/>
      </c>
      <c r="J57" s="25">
        <f>IF(ISNUMBER(I57)=FALSE,"",IF(AND(ISNUMBER(H57),I57=H57),"24-month work rule","Registry expiry"))</f>
        <v/>
      </c>
      <c r="K57" s="26" t="n"/>
      <c r="L57" s="24">
        <f>IF(ISNUMBER(I57),I57-IF(ISNUMBER(K57),K57,30),"")</f>
        <v/>
      </c>
      <c r="M57" s="27">
        <f>IF(I57="","",IF(ISNUMBER(I57),I57-TODAY(),"Check date"))</f>
        <v/>
      </c>
      <c r="N57" s="28">
        <f>IF(M57="","",IF(ISNUMBER(M57),IF(M57&lt;0,"Expired",IF(M57&lt;=30,"Due ≤30 days",IF(M57&lt;=90,"Due ≤90 days","OK"))),"Check date"))</f>
        <v/>
      </c>
      <c r="O57" s="24">
        <f>IF(ISNUMBER(E57),EDATE(E57,12*(IFERROR(DATEDIF(E57,TODAY(),"y"),0)+1)),"")</f>
        <v/>
      </c>
      <c r="P57" s="26" t="n"/>
      <c r="Q57" s="26" t="n"/>
      <c r="R57" s="27">
        <f>IF(LEN(A57)=0,"",MAX(0,IF(ISNUMBER(Q57),Q57,12)-N(P57)))</f>
        <v/>
      </c>
      <c r="S57" s="23" t="n"/>
      <c r="T57" s="27">
        <f>IF(S57="","",IF(ISNUMBER(S57),S57-TODAY(),"Check date"))</f>
        <v/>
      </c>
      <c r="U57" s="22" t="n"/>
      <c r="V57" s="22" t="n"/>
      <c r="W57" s="22" t="n"/>
      <c r="X57" s="22" t="n"/>
    </row>
    <row r="58">
      <c r="A58" s="22" t="n"/>
      <c r="B58" s="22" t="n"/>
      <c r="C58" s="22" t="n"/>
      <c r="D58" s="22" t="n"/>
      <c r="E58" s="23" t="n"/>
      <c r="F58" s="23" t="n"/>
      <c r="G58" s="23" t="n"/>
      <c r="H58" s="24">
        <f>IF(ISNUMBER(G58),EDATE(G58,24),"")</f>
        <v/>
      </c>
      <c r="I58" s="24">
        <f>IF(OR(AND(LEN(F58)&gt;0,ISNUMBER(F58)=FALSE),AND(LEN(G58)&gt;0,ISNUMBER(G58)=FALSE)),"Check date",IF(COUNT(F58,H58)=0,"",MIN(F58,H58)))</f>
        <v/>
      </c>
      <c r="J58" s="25">
        <f>IF(ISNUMBER(I58)=FALSE,"",IF(AND(ISNUMBER(H58),I58=H58),"24-month work rule","Registry expiry"))</f>
        <v/>
      </c>
      <c r="K58" s="26" t="n"/>
      <c r="L58" s="24">
        <f>IF(ISNUMBER(I58),I58-IF(ISNUMBER(K58),K58,30),"")</f>
        <v/>
      </c>
      <c r="M58" s="27">
        <f>IF(I58="","",IF(ISNUMBER(I58),I58-TODAY(),"Check date"))</f>
        <v/>
      </c>
      <c r="N58" s="28">
        <f>IF(M58="","",IF(ISNUMBER(M58),IF(M58&lt;0,"Expired",IF(M58&lt;=30,"Due ≤30 days",IF(M58&lt;=90,"Due ≤90 days","OK"))),"Check date"))</f>
        <v/>
      </c>
      <c r="O58" s="24">
        <f>IF(ISNUMBER(E58),EDATE(E58,12*(IFERROR(DATEDIF(E58,TODAY(),"y"),0)+1)),"")</f>
        <v/>
      </c>
      <c r="P58" s="26" t="n"/>
      <c r="Q58" s="26" t="n"/>
      <c r="R58" s="27">
        <f>IF(LEN(A58)=0,"",MAX(0,IF(ISNUMBER(Q58),Q58,12)-N(P58)))</f>
        <v/>
      </c>
      <c r="S58" s="23" t="n"/>
      <c r="T58" s="27">
        <f>IF(S58="","",IF(ISNUMBER(S58),S58-TODAY(),"Check date"))</f>
        <v/>
      </c>
      <c r="U58" s="22" t="n"/>
      <c r="V58" s="22" t="n"/>
      <c r="W58" s="22" t="n"/>
      <c r="X58" s="22" t="n"/>
    </row>
    <row r="59">
      <c r="A59" s="22" t="n"/>
      <c r="B59" s="22" t="n"/>
      <c r="C59" s="22" t="n"/>
      <c r="D59" s="22" t="n"/>
      <c r="E59" s="23" t="n"/>
      <c r="F59" s="23" t="n"/>
      <c r="G59" s="23" t="n"/>
      <c r="H59" s="24">
        <f>IF(ISNUMBER(G59),EDATE(G59,24),"")</f>
        <v/>
      </c>
      <c r="I59" s="24">
        <f>IF(OR(AND(LEN(F59)&gt;0,ISNUMBER(F59)=FALSE),AND(LEN(G59)&gt;0,ISNUMBER(G59)=FALSE)),"Check date",IF(COUNT(F59,H59)=0,"",MIN(F59,H59)))</f>
        <v/>
      </c>
      <c r="J59" s="25">
        <f>IF(ISNUMBER(I59)=FALSE,"",IF(AND(ISNUMBER(H59),I59=H59),"24-month work rule","Registry expiry"))</f>
        <v/>
      </c>
      <c r="K59" s="26" t="n"/>
      <c r="L59" s="24">
        <f>IF(ISNUMBER(I59),I59-IF(ISNUMBER(K59),K59,30),"")</f>
        <v/>
      </c>
      <c r="M59" s="27">
        <f>IF(I59="","",IF(ISNUMBER(I59),I59-TODAY(),"Check date"))</f>
        <v/>
      </c>
      <c r="N59" s="28">
        <f>IF(M59="","",IF(ISNUMBER(M59),IF(M59&lt;0,"Expired",IF(M59&lt;=30,"Due ≤30 days",IF(M59&lt;=90,"Due ≤90 days","OK"))),"Check date"))</f>
        <v/>
      </c>
      <c r="O59" s="24">
        <f>IF(ISNUMBER(E59),EDATE(E59,12*(IFERROR(DATEDIF(E59,TODAY(),"y"),0)+1)),"")</f>
        <v/>
      </c>
      <c r="P59" s="26" t="n"/>
      <c r="Q59" s="26" t="n"/>
      <c r="R59" s="27">
        <f>IF(LEN(A59)=0,"",MAX(0,IF(ISNUMBER(Q59),Q59,12)-N(P59)))</f>
        <v/>
      </c>
      <c r="S59" s="23" t="n"/>
      <c r="T59" s="27">
        <f>IF(S59="","",IF(ISNUMBER(S59),S59-TODAY(),"Check date"))</f>
        <v/>
      </c>
      <c r="U59" s="22" t="n"/>
      <c r="V59" s="22" t="n"/>
      <c r="W59" s="22" t="n"/>
      <c r="X59" s="22" t="n"/>
    </row>
    <row r="60">
      <c r="A60" s="22" t="n"/>
      <c r="B60" s="22" t="n"/>
      <c r="C60" s="22" t="n"/>
      <c r="D60" s="22" t="n"/>
      <c r="E60" s="23" t="n"/>
      <c r="F60" s="23" t="n"/>
      <c r="G60" s="23" t="n"/>
      <c r="H60" s="24">
        <f>IF(ISNUMBER(G60),EDATE(G60,24),"")</f>
        <v/>
      </c>
      <c r="I60" s="24">
        <f>IF(OR(AND(LEN(F60)&gt;0,ISNUMBER(F60)=FALSE),AND(LEN(G60)&gt;0,ISNUMBER(G60)=FALSE)),"Check date",IF(COUNT(F60,H60)=0,"",MIN(F60,H60)))</f>
        <v/>
      </c>
      <c r="J60" s="25">
        <f>IF(ISNUMBER(I60)=FALSE,"",IF(AND(ISNUMBER(H60),I60=H60),"24-month work rule","Registry expiry"))</f>
        <v/>
      </c>
      <c r="K60" s="26" t="n"/>
      <c r="L60" s="24">
        <f>IF(ISNUMBER(I60),I60-IF(ISNUMBER(K60),K60,30),"")</f>
        <v/>
      </c>
      <c r="M60" s="27">
        <f>IF(I60="","",IF(ISNUMBER(I60),I60-TODAY(),"Check date"))</f>
        <v/>
      </c>
      <c r="N60" s="28">
        <f>IF(M60="","",IF(ISNUMBER(M60),IF(M60&lt;0,"Expired",IF(M60&lt;=30,"Due ≤30 days",IF(M60&lt;=90,"Due ≤90 days","OK"))),"Check date"))</f>
        <v/>
      </c>
      <c r="O60" s="24">
        <f>IF(ISNUMBER(E60),EDATE(E60,12*(IFERROR(DATEDIF(E60,TODAY(),"y"),0)+1)),"")</f>
        <v/>
      </c>
      <c r="P60" s="26" t="n"/>
      <c r="Q60" s="26" t="n"/>
      <c r="R60" s="27">
        <f>IF(LEN(A60)=0,"",MAX(0,IF(ISNUMBER(Q60),Q60,12)-N(P60)))</f>
        <v/>
      </c>
      <c r="S60" s="23" t="n"/>
      <c r="T60" s="27">
        <f>IF(S60="","",IF(ISNUMBER(S60),S60-TODAY(),"Check date"))</f>
        <v/>
      </c>
      <c r="U60" s="22" t="n"/>
      <c r="V60" s="22" t="n"/>
      <c r="W60" s="22" t="n"/>
      <c r="X60" s="22" t="n"/>
    </row>
    <row r="61">
      <c r="A61" s="22" t="n"/>
      <c r="B61" s="22" t="n"/>
      <c r="C61" s="22" t="n"/>
      <c r="D61" s="22" t="n"/>
      <c r="E61" s="23" t="n"/>
      <c r="F61" s="23" t="n"/>
      <c r="G61" s="23" t="n"/>
      <c r="H61" s="24">
        <f>IF(ISNUMBER(G61),EDATE(G61,24),"")</f>
        <v/>
      </c>
      <c r="I61" s="24">
        <f>IF(OR(AND(LEN(F61)&gt;0,ISNUMBER(F61)=FALSE),AND(LEN(G61)&gt;0,ISNUMBER(G61)=FALSE)),"Check date",IF(COUNT(F61,H61)=0,"",MIN(F61,H61)))</f>
        <v/>
      </c>
      <c r="J61" s="25">
        <f>IF(ISNUMBER(I61)=FALSE,"",IF(AND(ISNUMBER(H61),I61=H61),"24-month work rule","Registry expiry"))</f>
        <v/>
      </c>
      <c r="K61" s="26" t="n"/>
      <c r="L61" s="24">
        <f>IF(ISNUMBER(I61),I61-IF(ISNUMBER(K61),K61,30),"")</f>
        <v/>
      </c>
      <c r="M61" s="27">
        <f>IF(I61="","",IF(ISNUMBER(I61),I61-TODAY(),"Check date"))</f>
        <v/>
      </c>
      <c r="N61" s="28">
        <f>IF(M61="","",IF(ISNUMBER(M61),IF(M61&lt;0,"Expired",IF(M61&lt;=30,"Due ≤30 days",IF(M61&lt;=90,"Due ≤90 days","OK"))),"Check date"))</f>
        <v/>
      </c>
      <c r="O61" s="24">
        <f>IF(ISNUMBER(E61),EDATE(E61,12*(IFERROR(DATEDIF(E61,TODAY(),"y"),0)+1)),"")</f>
        <v/>
      </c>
      <c r="P61" s="26" t="n"/>
      <c r="Q61" s="26" t="n"/>
      <c r="R61" s="27">
        <f>IF(LEN(A61)=0,"",MAX(0,IF(ISNUMBER(Q61),Q61,12)-N(P61)))</f>
        <v/>
      </c>
      <c r="S61" s="23" t="n"/>
      <c r="T61" s="27">
        <f>IF(S61="","",IF(ISNUMBER(S61),S61-TODAY(),"Check date"))</f>
        <v/>
      </c>
      <c r="U61" s="22" t="n"/>
      <c r="V61" s="22" t="n"/>
      <c r="W61" s="22" t="n"/>
      <c r="X61" s="22" t="n"/>
    </row>
    <row r="62">
      <c r="A62" s="22" t="n"/>
      <c r="B62" s="22" t="n"/>
      <c r="C62" s="22" t="n"/>
      <c r="D62" s="22" t="n"/>
      <c r="E62" s="23" t="n"/>
      <c r="F62" s="23" t="n"/>
      <c r="G62" s="23" t="n"/>
      <c r="H62" s="24">
        <f>IF(ISNUMBER(G62),EDATE(G62,24),"")</f>
        <v/>
      </c>
      <c r="I62" s="24">
        <f>IF(OR(AND(LEN(F62)&gt;0,ISNUMBER(F62)=FALSE),AND(LEN(G62)&gt;0,ISNUMBER(G62)=FALSE)),"Check date",IF(COUNT(F62,H62)=0,"",MIN(F62,H62)))</f>
        <v/>
      </c>
      <c r="J62" s="25">
        <f>IF(ISNUMBER(I62)=FALSE,"",IF(AND(ISNUMBER(H62),I62=H62),"24-month work rule","Registry expiry"))</f>
        <v/>
      </c>
      <c r="K62" s="26" t="n"/>
      <c r="L62" s="24">
        <f>IF(ISNUMBER(I62),I62-IF(ISNUMBER(K62),K62,30),"")</f>
        <v/>
      </c>
      <c r="M62" s="27">
        <f>IF(I62="","",IF(ISNUMBER(I62),I62-TODAY(),"Check date"))</f>
        <v/>
      </c>
      <c r="N62" s="28">
        <f>IF(M62="","",IF(ISNUMBER(M62),IF(M62&lt;0,"Expired",IF(M62&lt;=30,"Due ≤30 days",IF(M62&lt;=90,"Due ≤90 days","OK"))),"Check date"))</f>
        <v/>
      </c>
      <c r="O62" s="24">
        <f>IF(ISNUMBER(E62),EDATE(E62,12*(IFERROR(DATEDIF(E62,TODAY(),"y"),0)+1)),"")</f>
        <v/>
      </c>
      <c r="P62" s="26" t="n"/>
      <c r="Q62" s="26" t="n"/>
      <c r="R62" s="27">
        <f>IF(LEN(A62)=0,"",MAX(0,IF(ISNUMBER(Q62),Q62,12)-N(P62)))</f>
        <v/>
      </c>
      <c r="S62" s="23" t="n"/>
      <c r="T62" s="27">
        <f>IF(S62="","",IF(ISNUMBER(S62),S62-TODAY(),"Check date"))</f>
        <v/>
      </c>
      <c r="U62" s="22" t="n"/>
      <c r="V62" s="22" t="n"/>
      <c r="W62" s="22" t="n"/>
      <c r="X62" s="22" t="n"/>
    </row>
    <row r="63">
      <c r="A63" s="22" t="n"/>
      <c r="B63" s="22" t="n"/>
      <c r="C63" s="22" t="n"/>
      <c r="D63" s="22" t="n"/>
      <c r="E63" s="23" t="n"/>
      <c r="F63" s="23" t="n"/>
      <c r="G63" s="23" t="n"/>
      <c r="H63" s="24">
        <f>IF(ISNUMBER(G63),EDATE(G63,24),"")</f>
        <v/>
      </c>
      <c r="I63" s="24">
        <f>IF(OR(AND(LEN(F63)&gt;0,ISNUMBER(F63)=FALSE),AND(LEN(G63)&gt;0,ISNUMBER(G63)=FALSE)),"Check date",IF(COUNT(F63,H63)=0,"",MIN(F63,H63)))</f>
        <v/>
      </c>
      <c r="J63" s="25">
        <f>IF(ISNUMBER(I63)=FALSE,"",IF(AND(ISNUMBER(H63),I63=H63),"24-month work rule","Registry expiry"))</f>
        <v/>
      </c>
      <c r="K63" s="26" t="n"/>
      <c r="L63" s="24">
        <f>IF(ISNUMBER(I63),I63-IF(ISNUMBER(K63),K63,30),"")</f>
        <v/>
      </c>
      <c r="M63" s="27">
        <f>IF(I63="","",IF(ISNUMBER(I63),I63-TODAY(),"Check date"))</f>
        <v/>
      </c>
      <c r="N63" s="28">
        <f>IF(M63="","",IF(ISNUMBER(M63),IF(M63&lt;0,"Expired",IF(M63&lt;=30,"Due ≤30 days",IF(M63&lt;=90,"Due ≤90 days","OK"))),"Check date"))</f>
        <v/>
      </c>
      <c r="O63" s="24">
        <f>IF(ISNUMBER(E63),EDATE(E63,12*(IFERROR(DATEDIF(E63,TODAY(),"y"),0)+1)),"")</f>
        <v/>
      </c>
      <c r="P63" s="26" t="n"/>
      <c r="Q63" s="26" t="n"/>
      <c r="R63" s="27">
        <f>IF(LEN(A63)=0,"",MAX(0,IF(ISNUMBER(Q63),Q63,12)-N(P63)))</f>
        <v/>
      </c>
      <c r="S63" s="23" t="n"/>
      <c r="T63" s="27">
        <f>IF(S63="","",IF(ISNUMBER(S63),S63-TODAY(),"Check date"))</f>
        <v/>
      </c>
      <c r="U63" s="22" t="n"/>
      <c r="V63" s="22" t="n"/>
      <c r="W63" s="22" t="n"/>
      <c r="X63" s="22" t="n"/>
    </row>
    <row r="64">
      <c r="A64" s="22" t="n"/>
      <c r="B64" s="22" t="n"/>
      <c r="C64" s="22" t="n"/>
      <c r="D64" s="22" t="n"/>
      <c r="E64" s="23" t="n"/>
      <c r="F64" s="23" t="n"/>
      <c r="G64" s="23" t="n"/>
      <c r="H64" s="24">
        <f>IF(ISNUMBER(G64),EDATE(G64,24),"")</f>
        <v/>
      </c>
      <c r="I64" s="24">
        <f>IF(OR(AND(LEN(F64)&gt;0,ISNUMBER(F64)=FALSE),AND(LEN(G64)&gt;0,ISNUMBER(G64)=FALSE)),"Check date",IF(COUNT(F64,H64)=0,"",MIN(F64,H64)))</f>
        <v/>
      </c>
      <c r="J64" s="25">
        <f>IF(ISNUMBER(I64)=FALSE,"",IF(AND(ISNUMBER(H64),I64=H64),"24-month work rule","Registry expiry"))</f>
        <v/>
      </c>
      <c r="K64" s="26" t="n"/>
      <c r="L64" s="24">
        <f>IF(ISNUMBER(I64),I64-IF(ISNUMBER(K64),K64,30),"")</f>
        <v/>
      </c>
      <c r="M64" s="27">
        <f>IF(I64="","",IF(ISNUMBER(I64),I64-TODAY(),"Check date"))</f>
        <v/>
      </c>
      <c r="N64" s="28">
        <f>IF(M64="","",IF(ISNUMBER(M64),IF(M64&lt;0,"Expired",IF(M64&lt;=30,"Due ≤30 days",IF(M64&lt;=90,"Due ≤90 days","OK"))),"Check date"))</f>
        <v/>
      </c>
      <c r="O64" s="24">
        <f>IF(ISNUMBER(E64),EDATE(E64,12*(IFERROR(DATEDIF(E64,TODAY(),"y"),0)+1)),"")</f>
        <v/>
      </c>
      <c r="P64" s="26" t="n"/>
      <c r="Q64" s="26" t="n"/>
      <c r="R64" s="27">
        <f>IF(LEN(A64)=0,"",MAX(0,IF(ISNUMBER(Q64),Q64,12)-N(P64)))</f>
        <v/>
      </c>
      <c r="S64" s="23" t="n"/>
      <c r="T64" s="27">
        <f>IF(S64="","",IF(ISNUMBER(S64),S64-TODAY(),"Check date"))</f>
        <v/>
      </c>
      <c r="U64" s="22" t="n"/>
      <c r="V64" s="22" t="n"/>
      <c r="W64" s="22" t="n"/>
      <c r="X64" s="22" t="n"/>
    </row>
    <row r="65">
      <c r="A65" s="22" t="n"/>
      <c r="B65" s="22" t="n"/>
      <c r="C65" s="22" t="n"/>
      <c r="D65" s="22" t="n"/>
      <c r="E65" s="23" t="n"/>
      <c r="F65" s="23" t="n"/>
      <c r="G65" s="23" t="n"/>
      <c r="H65" s="24">
        <f>IF(ISNUMBER(G65),EDATE(G65,24),"")</f>
        <v/>
      </c>
      <c r="I65" s="24">
        <f>IF(OR(AND(LEN(F65)&gt;0,ISNUMBER(F65)=FALSE),AND(LEN(G65)&gt;0,ISNUMBER(G65)=FALSE)),"Check date",IF(COUNT(F65,H65)=0,"",MIN(F65,H65)))</f>
        <v/>
      </c>
      <c r="J65" s="25">
        <f>IF(ISNUMBER(I65)=FALSE,"",IF(AND(ISNUMBER(H65),I65=H65),"24-month work rule","Registry expiry"))</f>
        <v/>
      </c>
      <c r="K65" s="26" t="n"/>
      <c r="L65" s="24">
        <f>IF(ISNUMBER(I65),I65-IF(ISNUMBER(K65),K65,30),"")</f>
        <v/>
      </c>
      <c r="M65" s="27">
        <f>IF(I65="","",IF(ISNUMBER(I65),I65-TODAY(),"Check date"))</f>
        <v/>
      </c>
      <c r="N65" s="28">
        <f>IF(M65="","",IF(ISNUMBER(M65),IF(M65&lt;0,"Expired",IF(M65&lt;=30,"Due ≤30 days",IF(M65&lt;=90,"Due ≤90 days","OK"))),"Check date"))</f>
        <v/>
      </c>
      <c r="O65" s="24">
        <f>IF(ISNUMBER(E65),EDATE(E65,12*(IFERROR(DATEDIF(E65,TODAY(),"y"),0)+1)),"")</f>
        <v/>
      </c>
      <c r="P65" s="26" t="n"/>
      <c r="Q65" s="26" t="n"/>
      <c r="R65" s="27">
        <f>IF(LEN(A65)=0,"",MAX(0,IF(ISNUMBER(Q65),Q65,12)-N(P65)))</f>
        <v/>
      </c>
      <c r="S65" s="23" t="n"/>
      <c r="T65" s="27">
        <f>IF(S65="","",IF(ISNUMBER(S65),S65-TODAY(),"Check date"))</f>
        <v/>
      </c>
      <c r="U65" s="22" t="n"/>
      <c r="V65" s="22" t="n"/>
      <c r="W65" s="22" t="n"/>
      <c r="X65" s="22" t="n"/>
    </row>
    <row r="66">
      <c r="A66" s="22" t="n"/>
      <c r="B66" s="22" t="n"/>
      <c r="C66" s="22" t="n"/>
      <c r="D66" s="22" t="n"/>
      <c r="E66" s="23" t="n"/>
      <c r="F66" s="23" t="n"/>
      <c r="G66" s="23" t="n"/>
      <c r="H66" s="24">
        <f>IF(ISNUMBER(G66),EDATE(G66,24),"")</f>
        <v/>
      </c>
      <c r="I66" s="24">
        <f>IF(OR(AND(LEN(F66)&gt;0,ISNUMBER(F66)=FALSE),AND(LEN(G66)&gt;0,ISNUMBER(G66)=FALSE)),"Check date",IF(COUNT(F66,H66)=0,"",MIN(F66,H66)))</f>
        <v/>
      </c>
      <c r="J66" s="25">
        <f>IF(ISNUMBER(I66)=FALSE,"",IF(AND(ISNUMBER(H66),I66=H66),"24-month work rule","Registry expiry"))</f>
        <v/>
      </c>
      <c r="K66" s="26" t="n"/>
      <c r="L66" s="24">
        <f>IF(ISNUMBER(I66),I66-IF(ISNUMBER(K66),K66,30),"")</f>
        <v/>
      </c>
      <c r="M66" s="27">
        <f>IF(I66="","",IF(ISNUMBER(I66),I66-TODAY(),"Check date"))</f>
        <v/>
      </c>
      <c r="N66" s="28">
        <f>IF(M66="","",IF(ISNUMBER(M66),IF(M66&lt;0,"Expired",IF(M66&lt;=30,"Due ≤30 days",IF(M66&lt;=90,"Due ≤90 days","OK"))),"Check date"))</f>
        <v/>
      </c>
      <c r="O66" s="24">
        <f>IF(ISNUMBER(E66),EDATE(E66,12*(IFERROR(DATEDIF(E66,TODAY(),"y"),0)+1)),"")</f>
        <v/>
      </c>
      <c r="P66" s="26" t="n"/>
      <c r="Q66" s="26" t="n"/>
      <c r="R66" s="27">
        <f>IF(LEN(A66)=0,"",MAX(0,IF(ISNUMBER(Q66),Q66,12)-N(P66)))</f>
        <v/>
      </c>
      <c r="S66" s="23" t="n"/>
      <c r="T66" s="27">
        <f>IF(S66="","",IF(ISNUMBER(S66),S66-TODAY(),"Check date"))</f>
        <v/>
      </c>
      <c r="U66" s="22" t="n"/>
      <c r="V66" s="22" t="n"/>
      <c r="W66" s="22" t="n"/>
      <c r="X66" s="22" t="n"/>
    </row>
    <row r="67">
      <c r="A67" s="22" t="n"/>
      <c r="B67" s="22" t="n"/>
      <c r="C67" s="22" t="n"/>
      <c r="D67" s="22" t="n"/>
      <c r="E67" s="23" t="n"/>
      <c r="F67" s="23" t="n"/>
      <c r="G67" s="23" t="n"/>
      <c r="H67" s="24">
        <f>IF(ISNUMBER(G67),EDATE(G67,24),"")</f>
        <v/>
      </c>
      <c r="I67" s="24">
        <f>IF(OR(AND(LEN(F67)&gt;0,ISNUMBER(F67)=FALSE),AND(LEN(G67)&gt;0,ISNUMBER(G67)=FALSE)),"Check date",IF(COUNT(F67,H67)=0,"",MIN(F67,H67)))</f>
        <v/>
      </c>
      <c r="J67" s="25">
        <f>IF(ISNUMBER(I67)=FALSE,"",IF(AND(ISNUMBER(H67),I67=H67),"24-month work rule","Registry expiry"))</f>
        <v/>
      </c>
      <c r="K67" s="26" t="n"/>
      <c r="L67" s="24">
        <f>IF(ISNUMBER(I67),I67-IF(ISNUMBER(K67),K67,30),"")</f>
        <v/>
      </c>
      <c r="M67" s="27">
        <f>IF(I67="","",IF(ISNUMBER(I67),I67-TODAY(),"Check date"))</f>
        <v/>
      </c>
      <c r="N67" s="28">
        <f>IF(M67="","",IF(ISNUMBER(M67),IF(M67&lt;0,"Expired",IF(M67&lt;=30,"Due ≤30 days",IF(M67&lt;=90,"Due ≤90 days","OK"))),"Check date"))</f>
        <v/>
      </c>
      <c r="O67" s="24">
        <f>IF(ISNUMBER(E67),EDATE(E67,12*(IFERROR(DATEDIF(E67,TODAY(),"y"),0)+1)),"")</f>
        <v/>
      </c>
      <c r="P67" s="26" t="n"/>
      <c r="Q67" s="26" t="n"/>
      <c r="R67" s="27">
        <f>IF(LEN(A67)=0,"",MAX(0,IF(ISNUMBER(Q67),Q67,12)-N(P67)))</f>
        <v/>
      </c>
      <c r="S67" s="23" t="n"/>
      <c r="T67" s="27">
        <f>IF(S67="","",IF(ISNUMBER(S67),S67-TODAY(),"Check date"))</f>
        <v/>
      </c>
      <c r="U67" s="22" t="n"/>
      <c r="V67" s="22" t="n"/>
      <c r="W67" s="22" t="n"/>
      <c r="X67" s="22" t="n"/>
    </row>
    <row r="68">
      <c r="A68" s="22" t="n"/>
      <c r="B68" s="22" t="n"/>
      <c r="C68" s="22" t="n"/>
      <c r="D68" s="22" t="n"/>
      <c r="E68" s="23" t="n"/>
      <c r="F68" s="23" t="n"/>
      <c r="G68" s="23" t="n"/>
      <c r="H68" s="24">
        <f>IF(ISNUMBER(G68),EDATE(G68,24),"")</f>
        <v/>
      </c>
      <c r="I68" s="24">
        <f>IF(OR(AND(LEN(F68)&gt;0,ISNUMBER(F68)=FALSE),AND(LEN(G68)&gt;0,ISNUMBER(G68)=FALSE)),"Check date",IF(COUNT(F68,H68)=0,"",MIN(F68,H68)))</f>
        <v/>
      </c>
      <c r="J68" s="25">
        <f>IF(ISNUMBER(I68)=FALSE,"",IF(AND(ISNUMBER(H68),I68=H68),"24-month work rule","Registry expiry"))</f>
        <v/>
      </c>
      <c r="K68" s="26" t="n"/>
      <c r="L68" s="24">
        <f>IF(ISNUMBER(I68),I68-IF(ISNUMBER(K68),K68,30),"")</f>
        <v/>
      </c>
      <c r="M68" s="27">
        <f>IF(I68="","",IF(ISNUMBER(I68),I68-TODAY(),"Check date"))</f>
        <v/>
      </c>
      <c r="N68" s="28">
        <f>IF(M68="","",IF(ISNUMBER(M68),IF(M68&lt;0,"Expired",IF(M68&lt;=30,"Due ≤30 days",IF(M68&lt;=90,"Due ≤90 days","OK"))),"Check date"))</f>
        <v/>
      </c>
      <c r="O68" s="24">
        <f>IF(ISNUMBER(E68),EDATE(E68,12*(IFERROR(DATEDIF(E68,TODAY(),"y"),0)+1)),"")</f>
        <v/>
      </c>
      <c r="P68" s="26" t="n"/>
      <c r="Q68" s="26" t="n"/>
      <c r="R68" s="27">
        <f>IF(LEN(A68)=0,"",MAX(0,IF(ISNUMBER(Q68),Q68,12)-N(P68)))</f>
        <v/>
      </c>
      <c r="S68" s="23" t="n"/>
      <c r="T68" s="27">
        <f>IF(S68="","",IF(ISNUMBER(S68),S68-TODAY(),"Check date"))</f>
        <v/>
      </c>
      <c r="U68" s="22" t="n"/>
      <c r="V68" s="22" t="n"/>
      <c r="W68" s="22" t="n"/>
      <c r="X68" s="22" t="n"/>
    </row>
    <row r="69">
      <c r="A69" s="22" t="n"/>
      <c r="B69" s="22" t="n"/>
      <c r="C69" s="22" t="n"/>
      <c r="D69" s="22" t="n"/>
      <c r="E69" s="23" t="n"/>
      <c r="F69" s="23" t="n"/>
      <c r="G69" s="23" t="n"/>
      <c r="H69" s="24">
        <f>IF(ISNUMBER(G69),EDATE(G69,24),"")</f>
        <v/>
      </c>
      <c r="I69" s="24">
        <f>IF(OR(AND(LEN(F69)&gt;0,ISNUMBER(F69)=FALSE),AND(LEN(G69)&gt;0,ISNUMBER(G69)=FALSE)),"Check date",IF(COUNT(F69,H69)=0,"",MIN(F69,H69)))</f>
        <v/>
      </c>
      <c r="J69" s="25">
        <f>IF(ISNUMBER(I69)=FALSE,"",IF(AND(ISNUMBER(H69),I69=H69),"24-month work rule","Registry expiry"))</f>
        <v/>
      </c>
      <c r="K69" s="26" t="n"/>
      <c r="L69" s="24">
        <f>IF(ISNUMBER(I69),I69-IF(ISNUMBER(K69),K69,30),"")</f>
        <v/>
      </c>
      <c r="M69" s="27">
        <f>IF(I69="","",IF(ISNUMBER(I69),I69-TODAY(),"Check date"))</f>
        <v/>
      </c>
      <c r="N69" s="28">
        <f>IF(M69="","",IF(ISNUMBER(M69),IF(M69&lt;0,"Expired",IF(M69&lt;=30,"Due ≤30 days",IF(M69&lt;=90,"Due ≤90 days","OK"))),"Check date"))</f>
        <v/>
      </c>
      <c r="O69" s="24">
        <f>IF(ISNUMBER(E69),EDATE(E69,12*(IFERROR(DATEDIF(E69,TODAY(),"y"),0)+1)),"")</f>
        <v/>
      </c>
      <c r="P69" s="26" t="n"/>
      <c r="Q69" s="26" t="n"/>
      <c r="R69" s="27">
        <f>IF(LEN(A69)=0,"",MAX(0,IF(ISNUMBER(Q69),Q69,12)-N(P69)))</f>
        <v/>
      </c>
      <c r="S69" s="23" t="n"/>
      <c r="T69" s="27">
        <f>IF(S69="","",IF(ISNUMBER(S69),S69-TODAY(),"Check date"))</f>
        <v/>
      </c>
      <c r="U69" s="22" t="n"/>
      <c r="V69" s="22" t="n"/>
      <c r="W69" s="22" t="n"/>
      <c r="X69" s="22" t="n"/>
    </row>
    <row r="70">
      <c r="A70" s="22" t="n"/>
      <c r="B70" s="22" t="n"/>
      <c r="C70" s="22" t="n"/>
      <c r="D70" s="22" t="n"/>
      <c r="E70" s="23" t="n"/>
      <c r="F70" s="23" t="n"/>
      <c r="G70" s="23" t="n"/>
      <c r="H70" s="24">
        <f>IF(ISNUMBER(G70),EDATE(G70,24),"")</f>
        <v/>
      </c>
      <c r="I70" s="24">
        <f>IF(OR(AND(LEN(F70)&gt;0,ISNUMBER(F70)=FALSE),AND(LEN(G70)&gt;0,ISNUMBER(G70)=FALSE)),"Check date",IF(COUNT(F70,H70)=0,"",MIN(F70,H70)))</f>
        <v/>
      </c>
      <c r="J70" s="25">
        <f>IF(ISNUMBER(I70)=FALSE,"",IF(AND(ISNUMBER(H70),I70=H70),"24-month work rule","Registry expiry"))</f>
        <v/>
      </c>
      <c r="K70" s="26" t="n"/>
      <c r="L70" s="24">
        <f>IF(ISNUMBER(I70),I70-IF(ISNUMBER(K70),K70,30),"")</f>
        <v/>
      </c>
      <c r="M70" s="27">
        <f>IF(I70="","",IF(ISNUMBER(I70),I70-TODAY(),"Check date"))</f>
        <v/>
      </c>
      <c r="N70" s="28">
        <f>IF(M70="","",IF(ISNUMBER(M70),IF(M70&lt;0,"Expired",IF(M70&lt;=30,"Due ≤30 days",IF(M70&lt;=90,"Due ≤90 days","OK"))),"Check date"))</f>
        <v/>
      </c>
      <c r="O70" s="24">
        <f>IF(ISNUMBER(E70),EDATE(E70,12*(IFERROR(DATEDIF(E70,TODAY(),"y"),0)+1)),"")</f>
        <v/>
      </c>
      <c r="P70" s="26" t="n"/>
      <c r="Q70" s="26" t="n"/>
      <c r="R70" s="27">
        <f>IF(LEN(A70)=0,"",MAX(0,IF(ISNUMBER(Q70),Q70,12)-N(P70)))</f>
        <v/>
      </c>
      <c r="S70" s="23" t="n"/>
      <c r="T70" s="27">
        <f>IF(S70="","",IF(ISNUMBER(S70),S70-TODAY(),"Check date"))</f>
        <v/>
      </c>
      <c r="U70" s="22" t="n"/>
      <c r="V70" s="22" t="n"/>
      <c r="W70" s="22" t="n"/>
      <c r="X70" s="22" t="n"/>
    </row>
    <row r="71">
      <c r="A71" s="22" t="n"/>
      <c r="B71" s="22" t="n"/>
      <c r="C71" s="22" t="n"/>
      <c r="D71" s="22" t="n"/>
      <c r="E71" s="23" t="n"/>
      <c r="F71" s="23" t="n"/>
      <c r="G71" s="23" t="n"/>
      <c r="H71" s="24">
        <f>IF(ISNUMBER(G71),EDATE(G71,24),"")</f>
        <v/>
      </c>
      <c r="I71" s="24">
        <f>IF(OR(AND(LEN(F71)&gt;0,ISNUMBER(F71)=FALSE),AND(LEN(G71)&gt;0,ISNUMBER(G71)=FALSE)),"Check date",IF(COUNT(F71,H71)=0,"",MIN(F71,H71)))</f>
        <v/>
      </c>
      <c r="J71" s="25">
        <f>IF(ISNUMBER(I71)=FALSE,"",IF(AND(ISNUMBER(H71),I71=H71),"24-month work rule","Registry expiry"))</f>
        <v/>
      </c>
      <c r="K71" s="26" t="n"/>
      <c r="L71" s="24">
        <f>IF(ISNUMBER(I71),I71-IF(ISNUMBER(K71),K71,30),"")</f>
        <v/>
      </c>
      <c r="M71" s="27">
        <f>IF(I71="","",IF(ISNUMBER(I71),I71-TODAY(),"Check date"))</f>
        <v/>
      </c>
      <c r="N71" s="28">
        <f>IF(M71="","",IF(ISNUMBER(M71),IF(M71&lt;0,"Expired",IF(M71&lt;=30,"Due ≤30 days",IF(M71&lt;=90,"Due ≤90 days","OK"))),"Check date"))</f>
        <v/>
      </c>
      <c r="O71" s="24">
        <f>IF(ISNUMBER(E71),EDATE(E71,12*(IFERROR(DATEDIF(E71,TODAY(),"y"),0)+1)),"")</f>
        <v/>
      </c>
      <c r="P71" s="26" t="n"/>
      <c r="Q71" s="26" t="n"/>
      <c r="R71" s="27">
        <f>IF(LEN(A71)=0,"",MAX(0,IF(ISNUMBER(Q71),Q71,12)-N(P71)))</f>
        <v/>
      </c>
      <c r="S71" s="23" t="n"/>
      <c r="T71" s="27">
        <f>IF(S71="","",IF(ISNUMBER(S71),S71-TODAY(),"Check date"))</f>
        <v/>
      </c>
      <c r="U71" s="22" t="n"/>
      <c r="V71" s="22" t="n"/>
      <c r="W71" s="22" t="n"/>
      <c r="X71" s="22" t="n"/>
    </row>
    <row r="72">
      <c r="A72" s="22" t="n"/>
      <c r="B72" s="22" t="n"/>
      <c r="C72" s="22" t="n"/>
      <c r="D72" s="22" t="n"/>
      <c r="E72" s="23" t="n"/>
      <c r="F72" s="23" t="n"/>
      <c r="G72" s="23" t="n"/>
      <c r="H72" s="24">
        <f>IF(ISNUMBER(G72),EDATE(G72,24),"")</f>
        <v/>
      </c>
      <c r="I72" s="24">
        <f>IF(OR(AND(LEN(F72)&gt;0,ISNUMBER(F72)=FALSE),AND(LEN(G72)&gt;0,ISNUMBER(G72)=FALSE)),"Check date",IF(COUNT(F72,H72)=0,"",MIN(F72,H72)))</f>
        <v/>
      </c>
      <c r="J72" s="25">
        <f>IF(ISNUMBER(I72)=FALSE,"",IF(AND(ISNUMBER(H72),I72=H72),"24-month work rule","Registry expiry"))</f>
        <v/>
      </c>
      <c r="K72" s="26" t="n"/>
      <c r="L72" s="24">
        <f>IF(ISNUMBER(I72),I72-IF(ISNUMBER(K72),K72,30),"")</f>
        <v/>
      </c>
      <c r="M72" s="27">
        <f>IF(I72="","",IF(ISNUMBER(I72),I72-TODAY(),"Check date"))</f>
        <v/>
      </c>
      <c r="N72" s="28">
        <f>IF(M72="","",IF(ISNUMBER(M72),IF(M72&lt;0,"Expired",IF(M72&lt;=30,"Due ≤30 days",IF(M72&lt;=90,"Due ≤90 days","OK"))),"Check date"))</f>
        <v/>
      </c>
      <c r="O72" s="24">
        <f>IF(ISNUMBER(E72),EDATE(E72,12*(IFERROR(DATEDIF(E72,TODAY(),"y"),0)+1)),"")</f>
        <v/>
      </c>
      <c r="P72" s="26" t="n"/>
      <c r="Q72" s="26" t="n"/>
      <c r="R72" s="27">
        <f>IF(LEN(A72)=0,"",MAX(0,IF(ISNUMBER(Q72),Q72,12)-N(P72)))</f>
        <v/>
      </c>
      <c r="S72" s="23" t="n"/>
      <c r="T72" s="27">
        <f>IF(S72="","",IF(ISNUMBER(S72),S72-TODAY(),"Check date"))</f>
        <v/>
      </c>
      <c r="U72" s="22" t="n"/>
      <c r="V72" s="22" t="n"/>
      <c r="W72" s="22" t="n"/>
      <c r="X72" s="22" t="n"/>
    </row>
    <row r="73">
      <c r="A73" s="22" t="n"/>
      <c r="B73" s="22" t="n"/>
      <c r="C73" s="22" t="n"/>
      <c r="D73" s="22" t="n"/>
      <c r="E73" s="23" t="n"/>
      <c r="F73" s="23" t="n"/>
      <c r="G73" s="23" t="n"/>
      <c r="H73" s="24">
        <f>IF(ISNUMBER(G73),EDATE(G73,24),"")</f>
        <v/>
      </c>
      <c r="I73" s="24">
        <f>IF(OR(AND(LEN(F73)&gt;0,ISNUMBER(F73)=FALSE),AND(LEN(G73)&gt;0,ISNUMBER(G73)=FALSE)),"Check date",IF(COUNT(F73,H73)=0,"",MIN(F73,H73)))</f>
        <v/>
      </c>
      <c r="J73" s="25">
        <f>IF(ISNUMBER(I73)=FALSE,"",IF(AND(ISNUMBER(H73),I73=H73),"24-month work rule","Registry expiry"))</f>
        <v/>
      </c>
      <c r="K73" s="26" t="n"/>
      <c r="L73" s="24">
        <f>IF(ISNUMBER(I73),I73-IF(ISNUMBER(K73),K73,30),"")</f>
        <v/>
      </c>
      <c r="M73" s="27">
        <f>IF(I73="","",IF(ISNUMBER(I73),I73-TODAY(),"Check date"))</f>
        <v/>
      </c>
      <c r="N73" s="28">
        <f>IF(M73="","",IF(ISNUMBER(M73),IF(M73&lt;0,"Expired",IF(M73&lt;=30,"Due ≤30 days",IF(M73&lt;=90,"Due ≤90 days","OK"))),"Check date"))</f>
        <v/>
      </c>
      <c r="O73" s="24">
        <f>IF(ISNUMBER(E73),EDATE(E73,12*(IFERROR(DATEDIF(E73,TODAY(),"y"),0)+1)),"")</f>
        <v/>
      </c>
      <c r="P73" s="26" t="n"/>
      <c r="Q73" s="26" t="n"/>
      <c r="R73" s="27">
        <f>IF(LEN(A73)=0,"",MAX(0,IF(ISNUMBER(Q73),Q73,12)-N(P73)))</f>
        <v/>
      </c>
      <c r="S73" s="23" t="n"/>
      <c r="T73" s="27">
        <f>IF(S73="","",IF(ISNUMBER(S73),S73-TODAY(),"Check date"))</f>
        <v/>
      </c>
      <c r="U73" s="22" t="n"/>
      <c r="V73" s="22" t="n"/>
      <c r="W73" s="22" t="n"/>
      <c r="X73" s="22" t="n"/>
    </row>
    <row r="74">
      <c r="A74" s="22" t="n"/>
      <c r="B74" s="22" t="n"/>
      <c r="C74" s="22" t="n"/>
      <c r="D74" s="22" t="n"/>
      <c r="E74" s="23" t="n"/>
      <c r="F74" s="23" t="n"/>
      <c r="G74" s="23" t="n"/>
      <c r="H74" s="24">
        <f>IF(ISNUMBER(G74),EDATE(G74,24),"")</f>
        <v/>
      </c>
      <c r="I74" s="24">
        <f>IF(OR(AND(LEN(F74)&gt;0,ISNUMBER(F74)=FALSE),AND(LEN(G74)&gt;0,ISNUMBER(G74)=FALSE)),"Check date",IF(COUNT(F74,H74)=0,"",MIN(F74,H74)))</f>
        <v/>
      </c>
      <c r="J74" s="25">
        <f>IF(ISNUMBER(I74)=FALSE,"",IF(AND(ISNUMBER(H74),I74=H74),"24-month work rule","Registry expiry"))</f>
        <v/>
      </c>
      <c r="K74" s="26" t="n"/>
      <c r="L74" s="24">
        <f>IF(ISNUMBER(I74),I74-IF(ISNUMBER(K74),K74,30),"")</f>
        <v/>
      </c>
      <c r="M74" s="27">
        <f>IF(I74="","",IF(ISNUMBER(I74),I74-TODAY(),"Check date"))</f>
        <v/>
      </c>
      <c r="N74" s="28">
        <f>IF(M74="","",IF(ISNUMBER(M74),IF(M74&lt;0,"Expired",IF(M74&lt;=30,"Due ≤30 days",IF(M74&lt;=90,"Due ≤90 days","OK"))),"Check date"))</f>
        <v/>
      </c>
      <c r="O74" s="24">
        <f>IF(ISNUMBER(E74),EDATE(E74,12*(IFERROR(DATEDIF(E74,TODAY(),"y"),0)+1)),"")</f>
        <v/>
      </c>
      <c r="P74" s="26" t="n"/>
      <c r="Q74" s="26" t="n"/>
      <c r="R74" s="27">
        <f>IF(LEN(A74)=0,"",MAX(0,IF(ISNUMBER(Q74),Q74,12)-N(P74)))</f>
        <v/>
      </c>
      <c r="S74" s="23" t="n"/>
      <c r="T74" s="27">
        <f>IF(S74="","",IF(ISNUMBER(S74),S74-TODAY(),"Check date"))</f>
        <v/>
      </c>
      <c r="U74" s="22" t="n"/>
      <c r="V74" s="22" t="n"/>
      <c r="W74" s="22" t="n"/>
      <c r="X74" s="22" t="n"/>
    </row>
    <row r="75">
      <c r="A75" s="22" t="n"/>
      <c r="B75" s="22" t="n"/>
      <c r="C75" s="22" t="n"/>
      <c r="D75" s="22" t="n"/>
      <c r="E75" s="23" t="n"/>
      <c r="F75" s="23" t="n"/>
      <c r="G75" s="23" t="n"/>
      <c r="H75" s="24">
        <f>IF(ISNUMBER(G75),EDATE(G75,24),"")</f>
        <v/>
      </c>
      <c r="I75" s="24">
        <f>IF(OR(AND(LEN(F75)&gt;0,ISNUMBER(F75)=FALSE),AND(LEN(G75)&gt;0,ISNUMBER(G75)=FALSE)),"Check date",IF(COUNT(F75,H75)=0,"",MIN(F75,H75)))</f>
        <v/>
      </c>
      <c r="J75" s="25">
        <f>IF(ISNUMBER(I75)=FALSE,"",IF(AND(ISNUMBER(H75),I75=H75),"24-month work rule","Registry expiry"))</f>
        <v/>
      </c>
      <c r="K75" s="26" t="n"/>
      <c r="L75" s="24">
        <f>IF(ISNUMBER(I75),I75-IF(ISNUMBER(K75),K75,30),"")</f>
        <v/>
      </c>
      <c r="M75" s="27">
        <f>IF(I75="","",IF(ISNUMBER(I75),I75-TODAY(),"Check date"))</f>
        <v/>
      </c>
      <c r="N75" s="28">
        <f>IF(M75="","",IF(ISNUMBER(M75),IF(M75&lt;0,"Expired",IF(M75&lt;=30,"Due ≤30 days",IF(M75&lt;=90,"Due ≤90 days","OK"))),"Check date"))</f>
        <v/>
      </c>
      <c r="O75" s="24">
        <f>IF(ISNUMBER(E75),EDATE(E75,12*(IFERROR(DATEDIF(E75,TODAY(),"y"),0)+1)),"")</f>
        <v/>
      </c>
      <c r="P75" s="26" t="n"/>
      <c r="Q75" s="26" t="n"/>
      <c r="R75" s="27">
        <f>IF(LEN(A75)=0,"",MAX(0,IF(ISNUMBER(Q75),Q75,12)-N(P75)))</f>
        <v/>
      </c>
      <c r="S75" s="23" t="n"/>
      <c r="T75" s="27">
        <f>IF(S75="","",IF(ISNUMBER(S75),S75-TODAY(),"Check date"))</f>
        <v/>
      </c>
      <c r="U75" s="22" t="n"/>
      <c r="V75" s="22" t="n"/>
      <c r="W75" s="22" t="n"/>
      <c r="X75" s="22" t="n"/>
    </row>
    <row r="76">
      <c r="A76" s="22" t="n"/>
      <c r="B76" s="22" t="n"/>
      <c r="C76" s="22" t="n"/>
      <c r="D76" s="22" t="n"/>
      <c r="E76" s="23" t="n"/>
      <c r="F76" s="23" t="n"/>
      <c r="G76" s="23" t="n"/>
      <c r="H76" s="24">
        <f>IF(ISNUMBER(G76),EDATE(G76,24),"")</f>
        <v/>
      </c>
      <c r="I76" s="24">
        <f>IF(OR(AND(LEN(F76)&gt;0,ISNUMBER(F76)=FALSE),AND(LEN(G76)&gt;0,ISNUMBER(G76)=FALSE)),"Check date",IF(COUNT(F76,H76)=0,"",MIN(F76,H76)))</f>
        <v/>
      </c>
      <c r="J76" s="25">
        <f>IF(ISNUMBER(I76)=FALSE,"",IF(AND(ISNUMBER(H76),I76=H76),"24-month work rule","Registry expiry"))</f>
        <v/>
      </c>
      <c r="K76" s="26" t="n"/>
      <c r="L76" s="24">
        <f>IF(ISNUMBER(I76),I76-IF(ISNUMBER(K76),K76,30),"")</f>
        <v/>
      </c>
      <c r="M76" s="27">
        <f>IF(I76="","",IF(ISNUMBER(I76),I76-TODAY(),"Check date"))</f>
        <v/>
      </c>
      <c r="N76" s="28">
        <f>IF(M76="","",IF(ISNUMBER(M76),IF(M76&lt;0,"Expired",IF(M76&lt;=30,"Due ≤30 days",IF(M76&lt;=90,"Due ≤90 days","OK"))),"Check date"))</f>
        <v/>
      </c>
      <c r="O76" s="24">
        <f>IF(ISNUMBER(E76),EDATE(E76,12*(IFERROR(DATEDIF(E76,TODAY(),"y"),0)+1)),"")</f>
        <v/>
      </c>
      <c r="P76" s="26" t="n"/>
      <c r="Q76" s="26" t="n"/>
      <c r="R76" s="27">
        <f>IF(LEN(A76)=0,"",MAX(0,IF(ISNUMBER(Q76),Q76,12)-N(P76)))</f>
        <v/>
      </c>
      <c r="S76" s="23" t="n"/>
      <c r="T76" s="27">
        <f>IF(S76="","",IF(ISNUMBER(S76),S76-TODAY(),"Check date"))</f>
        <v/>
      </c>
      <c r="U76" s="22" t="n"/>
      <c r="V76" s="22" t="n"/>
      <c r="W76" s="22" t="n"/>
      <c r="X76" s="22" t="n"/>
    </row>
    <row r="77">
      <c r="A77" s="22" t="n"/>
      <c r="B77" s="22" t="n"/>
      <c r="C77" s="22" t="n"/>
      <c r="D77" s="22" t="n"/>
      <c r="E77" s="23" t="n"/>
      <c r="F77" s="23" t="n"/>
      <c r="G77" s="23" t="n"/>
      <c r="H77" s="24">
        <f>IF(ISNUMBER(G77),EDATE(G77,24),"")</f>
        <v/>
      </c>
      <c r="I77" s="24">
        <f>IF(OR(AND(LEN(F77)&gt;0,ISNUMBER(F77)=FALSE),AND(LEN(G77)&gt;0,ISNUMBER(G77)=FALSE)),"Check date",IF(COUNT(F77,H77)=0,"",MIN(F77,H77)))</f>
        <v/>
      </c>
      <c r="J77" s="25">
        <f>IF(ISNUMBER(I77)=FALSE,"",IF(AND(ISNUMBER(H77),I77=H77),"24-month work rule","Registry expiry"))</f>
        <v/>
      </c>
      <c r="K77" s="26" t="n"/>
      <c r="L77" s="24">
        <f>IF(ISNUMBER(I77),I77-IF(ISNUMBER(K77),K77,30),"")</f>
        <v/>
      </c>
      <c r="M77" s="27">
        <f>IF(I77="","",IF(ISNUMBER(I77),I77-TODAY(),"Check date"))</f>
        <v/>
      </c>
      <c r="N77" s="28">
        <f>IF(M77="","",IF(ISNUMBER(M77),IF(M77&lt;0,"Expired",IF(M77&lt;=30,"Due ≤30 days",IF(M77&lt;=90,"Due ≤90 days","OK"))),"Check date"))</f>
        <v/>
      </c>
      <c r="O77" s="24">
        <f>IF(ISNUMBER(E77),EDATE(E77,12*(IFERROR(DATEDIF(E77,TODAY(),"y"),0)+1)),"")</f>
        <v/>
      </c>
      <c r="P77" s="26" t="n"/>
      <c r="Q77" s="26" t="n"/>
      <c r="R77" s="27">
        <f>IF(LEN(A77)=0,"",MAX(0,IF(ISNUMBER(Q77),Q77,12)-N(P77)))</f>
        <v/>
      </c>
      <c r="S77" s="23" t="n"/>
      <c r="T77" s="27">
        <f>IF(S77="","",IF(ISNUMBER(S77),S77-TODAY(),"Check date"))</f>
        <v/>
      </c>
      <c r="U77" s="22" t="n"/>
      <c r="V77" s="22" t="n"/>
      <c r="W77" s="22" t="n"/>
      <c r="X77" s="22" t="n"/>
    </row>
    <row r="78">
      <c r="A78" s="22" t="n"/>
      <c r="B78" s="22" t="n"/>
      <c r="C78" s="22" t="n"/>
      <c r="D78" s="22" t="n"/>
      <c r="E78" s="23" t="n"/>
      <c r="F78" s="23" t="n"/>
      <c r="G78" s="23" t="n"/>
      <c r="H78" s="24">
        <f>IF(ISNUMBER(G78),EDATE(G78,24),"")</f>
        <v/>
      </c>
      <c r="I78" s="24">
        <f>IF(OR(AND(LEN(F78)&gt;0,ISNUMBER(F78)=FALSE),AND(LEN(G78)&gt;0,ISNUMBER(G78)=FALSE)),"Check date",IF(COUNT(F78,H78)=0,"",MIN(F78,H78)))</f>
        <v/>
      </c>
      <c r="J78" s="25">
        <f>IF(ISNUMBER(I78)=FALSE,"",IF(AND(ISNUMBER(H78),I78=H78),"24-month work rule","Registry expiry"))</f>
        <v/>
      </c>
      <c r="K78" s="26" t="n"/>
      <c r="L78" s="24">
        <f>IF(ISNUMBER(I78),I78-IF(ISNUMBER(K78),K78,30),"")</f>
        <v/>
      </c>
      <c r="M78" s="27">
        <f>IF(I78="","",IF(ISNUMBER(I78),I78-TODAY(),"Check date"))</f>
        <v/>
      </c>
      <c r="N78" s="28">
        <f>IF(M78="","",IF(ISNUMBER(M78),IF(M78&lt;0,"Expired",IF(M78&lt;=30,"Due ≤30 days",IF(M78&lt;=90,"Due ≤90 days","OK"))),"Check date"))</f>
        <v/>
      </c>
      <c r="O78" s="24">
        <f>IF(ISNUMBER(E78),EDATE(E78,12*(IFERROR(DATEDIF(E78,TODAY(),"y"),0)+1)),"")</f>
        <v/>
      </c>
      <c r="P78" s="26" t="n"/>
      <c r="Q78" s="26" t="n"/>
      <c r="R78" s="27">
        <f>IF(LEN(A78)=0,"",MAX(0,IF(ISNUMBER(Q78),Q78,12)-N(P78)))</f>
        <v/>
      </c>
      <c r="S78" s="23" t="n"/>
      <c r="T78" s="27">
        <f>IF(S78="","",IF(ISNUMBER(S78),S78-TODAY(),"Check date"))</f>
        <v/>
      </c>
      <c r="U78" s="22" t="n"/>
      <c r="V78" s="22" t="n"/>
      <c r="W78" s="22" t="n"/>
      <c r="X78" s="22" t="n"/>
    </row>
    <row r="79">
      <c r="A79" s="22" t="n"/>
      <c r="B79" s="22" t="n"/>
      <c r="C79" s="22" t="n"/>
      <c r="D79" s="22" t="n"/>
      <c r="E79" s="23" t="n"/>
      <c r="F79" s="23" t="n"/>
      <c r="G79" s="23" t="n"/>
      <c r="H79" s="24">
        <f>IF(ISNUMBER(G79),EDATE(G79,24),"")</f>
        <v/>
      </c>
      <c r="I79" s="24">
        <f>IF(OR(AND(LEN(F79)&gt;0,ISNUMBER(F79)=FALSE),AND(LEN(G79)&gt;0,ISNUMBER(G79)=FALSE)),"Check date",IF(COUNT(F79,H79)=0,"",MIN(F79,H79)))</f>
        <v/>
      </c>
      <c r="J79" s="25">
        <f>IF(ISNUMBER(I79)=FALSE,"",IF(AND(ISNUMBER(H79),I79=H79),"24-month work rule","Registry expiry"))</f>
        <v/>
      </c>
      <c r="K79" s="26" t="n"/>
      <c r="L79" s="24">
        <f>IF(ISNUMBER(I79),I79-IF(ISNUMBER(K79),K79,30),"")</f>
        <v/>
      </c>
      <c r="M79" s="27">
        <f>IF(I79="","",IF(ISNUMBER(I79),I79-TODAY(),"Check date"))</f>
        <v/>
      </c>
      <c r="N79" s="28">
        <f>IF(M79="","",IF(ISNUMBER(M79),IF(M79&lt;0,"Expired",IF(M79&lt;=30,"Due ≤30 days",IF(M79&lt;=90,"Due ≤90 days","OK"))),"Check date"))</f>
        <v/>
      </c>
      <c r="O79" s="24">
        <f>IF(ISNUMBER(E79),EDATE(E79,12*(IFERROR(DATEDIF(E79,TODAY(),"y"),0)+1)),"")</f>
        <v/>
      </c>
      <c r="P79" s="26" t="n"/>
      <c r="Q79" s="26" t="n"/>
      <c r="R79" s="27">
        <f>IF(LEN(A79)=0,"",MAX(0,IF(ISNUMBER(Q79),Q79,12)-N(P79)))</f>
        <v/>
      </c>
      <c r="S79" s="23" t="n"/>
      <c r="T79" s="27">
        <f>IF(S79="","",IF(ISNUMBER(S79),S79-TODAY(),"Check date"))</f>
        <v/>
      </c>
      <c r="U79" s="22" t="n"/>
      <c r="V79" s="22" t="n"/>
      <c r="W79" s="22" t="n"/>
      <c r="X79" s="22" t="n"/>
    </row>
    <row r="80">
      <c r="A80" s="22" t="n"/>
      <c r="B80" s="22" t="n"/>
      <c r="C80" s="22" t="n"/>
      <c r="D80" s="22" t="n"/>
      <c r="E80" s="23" t="n"/>
      <c r="F80" s="23" t="n"/>
      <c r="G80" s="23" t="n"/>
      <c r="H80" s="24">
        <f>IF(ISNUMBER(G80),EDATE(G80,24),"")</f>
        <v/>
      </c>
      <c r="I80" s="24">
        <f>IF(OR(AND(LEN(F80)&gt;0,ISNUMBER(F80)=FALSE),AND(LEN(G80)&gt;0,ISNUMBER(G80)=FALSE)),"Check date",IF(COUNT(F80,H80)=0,"",MIN(F80,H80)))</f>
        <v/>
      </c>
      <c r="J80" s="25">
        <f>IF(ISNUMBER(I80)=FALSE,"",IF(AND(ISNUMBER(H80),I80=H80),"24-month work rule","Registry expiry"))</f>
        <v/>
      </c>
      <c r="K80" s="26" t="n"/>
      <c r="L80" s="24">
        <f>IF(ISNUMBER(I80),I80-IF(ISNUMBER(K80),K80,30),"")</f>
        <v/>
      </c>
      <c r="M80" s="27">
        <f>IF(I80="","",IF(ISNUMBER(I80),I80-TODAY(),"Check date"))</f>
        <v/>
      </c>
      <c r="N80" s="28">
        <f>IF(M80="","",IF(ISNUMBER(M80),IF(M80&lt;0,"Expired",IF(M80&lt;=30,"Due ≤30 days",IF(M80&lt;=90,"Due ≤90 days","OK"))),"Check date"))</f>
        <v/>
      </c>
      <c r="O80" s="24">
        <f>IF(ISNUMBER(E80),EDATE(E80,12*(IFERROR(DATEDIF(E80,TODAY(),"y"),0)+1)),"")</f>
        <v/>
      </c>
      <c r="P80" s="26" t="n"/>
      <c r="Q80" s="26" t="n"/>
      <c r="R80" s="27">
        <f>IF(LEN(A80)=0,"",MAX(0,IF(ISNUMBER(Q80),Q80,12)-N(P80)))</f>
        <v/>
      </c>
      <c r="S80" s="23" t="n"/>
      <c r="T80" s="27">
        <f>IF(S80="","",IF(ISNUMBER(S80),S80-TODAY(),"Check date"))</f>
        <v/>
      </c>
      <c r="U80" s="22" t="n"/>
      <c r="V80" s="22" t="n"/>
      <c r="W80" s="22" t="n"/>
      <c r="X80" s="22" t="n"/>
    </row>
    <row r="81">
      <c r="A81" s="22" t="n"/>
      <c r="B81" s="22" t="n"/>
      <c r="C81" s="22" t="n"/>
      <c r="D81" s="22" t="n"/>
      <c r="E81" s="23" t="n"/>
      <c r="F81" s="23" t="n"/>
      <c r="G81" s="23" t="n"/>
      <c r="H81" s="24">
        <f>IF(ISNUMBER(G81),EDATE(G81,24),"")</f>
        <v/>
      </c>
      <c r="I81" s="24">
        <f>IF(OR(AND(LEN(F81)&gt;0,ISNUMBER(F81)=FALSE),AND(LEN(G81)&gt;0,ISNUMBER(G81)=FALSE)),"Check date",IF(COUNT(F81,H81)=0,"",MIN(F81,H81)))</f>
        <v/>
      </c>
      <c r="J81" s="25">
        <f>IF(ISNUMBER(I81)=FALSE,"",IF(AND(ISNUMBER(H81),I81=H81),"24-month work rule","Registry expiry"))</f>
        <v/>
      </c>
      <c r="K81" s="26" t="n"/>
      <c r="L81" s="24">
        <f>IF(ISNUMBER(I81),I81-IF(ISNUMBER(K81),K81,30),"")</f>
        <v/>
      </c>
      <c r="M81" s="27">
        <f>IF(I81="","",IF(ISNUMBER(I81),I81-TODAY(),"Check date"))</f>
        <v/>
      </c>
      <c r="N81" s="28">
        <f>IF(M81="","",IF(ISNUMBER(M81),IF(M81&lt;0,"Expired",IF(M81&lt;=30,"Due ≤30 days",IF(M81&lt;=90,"Due ≤90 days","OK"))),"Check date"))</f>
        <v/>
      </c>
      <c r="O81" s="24">
        <f>IF(ISNUMBER(E81),EDATE(E81,12*(IFERROR(DATEDIF(E81,TODAY(),"y"),0)+1)),"")</f>
        <v/>
      </c>
      <c r="P81" s="26" t="n"/>
      <c r="Q81" s="26" t="n"/>
      <c r="R81" s="27">
        <f>IF(LEN(A81)=0,"",MAX(0,IF(ISNUMBER(Q81),Q81,12)-N(P81)))</f>
        <v/>
      </c>
      <c r="S81" s="23" t="n"/>
      <c r="T81" s="27">
        <f>IF(S81="","",IF(ISNUMBER(S81),S81-TODAY(),"Check date"))</f>
        <v/>
      </c>
      <c r="U81" s="22" t="n"/>
      <c r="V81" s="22" t="n"/>
      <c r="W81" s="22" t="n"/>
      <c r="X81" s="22" t="n"/>
    </row>
    <row r="82">
      <c r="A82" s="22" t="n"/>
      <c r="B82" s="22" t="n"/>
      <c r="C82" s="22" t="n"/>
      <c r="D82" s="22" t="n"/>
      <c r="E82" s="23" t="n"/>
      <c r="F82" s="23" t="n"/>
      <c r="G82" s="23" t="n"/>
      <c r="H82" s="24">
        <f>IF(ISNUMBER(G82),EDATE(G82,24),"")</f>
        <v/>
      </c>
      <c r="I82" s="24">
        <f>IF(OR(AND(LEN(F82)&gt;0,ISNUMBER(F82)=FALSE),AND(LEN(G82)&gt;0,ISNUMBER(G82)=FALSE)),"Check date",IF(COUNT(F82,H82)=0,"",MIN(F82,H82)))</f>
        <v/>
      </c>
      <c r="J82" s="25">
        <f>IF(ISNUMBER(I82)=FALSE,"",IF(AND(ISNUMBER(H82),I82=H82),"24-month work rule","Registry expiry"))</f>
        <v/>
      </c>
      <c r="K82" s="26" t="n"/>
      <c r="L82" s="24">
        <f>IF(ISNUMBER(I82),I82-IF(ISNUMBER(K82),K82,30),"")</f>
        <v/>
      </c>
      <c r="M82" s="27">
        <f>IF(I82="","",IF(ISNUMBER(I82),I82-TODAY(),"Check date"))</f>
        <v/>
      </c>
      <c r="N82" s="28">
        <f>IF(M82="","",IF(ISNUMBER(M82),IF(M82&lt;0,"Expired",IF(M82&lt;=30,"Due ≤30 days",IF(M82&lt;=90,"Due ≤90 days","OK"))),"Check date"))</f>
        <v/>
      </c>
      <c r="O82" s="24">
        <f>IF(ISNUMBER(E82),EDATE(E82,12*(IFERROR(DATEDIF(E82,TODAY(),"y"),0)+1)),"")</f>
        <v/>
      </c>
      <c r="P82" s="26" t="n"/>
      <c r="Q82" s="26" t="n"/>
      <c r="R82" s="27">
        <f>IF(LEN(A82)=0,"",MAX(0,IF(ISNUMBER(Q82),Q82,12)-N(P82)))</f>
        <v/>
      </c>
      <c r="S82" s="23" t="n"/>
      <c r="T82" s="27">
        <f>IF(S82="","",IF(ISNUMBER(S82),S82-TODAY(),"Check date"))</f>
        <v/>
      </c>
      <c r="U82" s="22" t="n"/>
      <c r="V82" s="22" t="n"/>
      <c r="W82" s="22" t="n"/>
      <c r="X82" s="22" t="n"/>
    </row>
    <row r="83">
      <c r="A83" s="22" t="n"/>
      <c r="B83" s="22" t="n"/>
      <c r="C83" s="22" t="n"/>
      <c r="D83" s="22" t="n"/>
      <c r="E83" s="23" t="n"/>
      <c r="F83" s="23" t="n"/>
      <c r="G83" s="23" t="n"/>
      <c r="H83" s="24">
        <f>IF(ISNUMBER(G83),EDATE(G83,24),"")</f>
        <v/>
      </c>
      <c r="I83" s="24">
        <f>IF(OR(AND(LEN(F83)&gt;0,ISNUMBER(F83)=FALSE),AND(LEN(G83)&gt;0,ISNUMBER(G83)=FALSE)),"Check date",IF(COUNT(F83,H83)=0,"",MIN(F83,H83)))</f>
        <v/>
      </c>
      <c r="J83" s="25">
        <f>IF(ISNUMBER(I83)=FALSE,"",IF(AND(ISNUMBER(H83),I83=H83),"24-month work rule","Registry expiry"))</f>
        <v/>
      </c>
      <c r="K83" s="26" t="n"/>
      <c r="L83" s="24">
        <f>IF(ISNUMBER(I83),I83-IF(ISNUMBER(K83),K83,30),"")</f>
        <v/>
      </c>
      <c r="M83" s="27">
        <f>IF(I83="","",IF(ISNUMBER(I83),I83-TODAY(),"Check date"))</f>
        <v/>
      </c>
      <c r="N83" s="28">
        <f>IF(M83="","",IF(ISNUMBER(M83),IF(M83&lt;0,"Expired",IF(M83&lt;=30,"Due ≤30 days",IF(M83&lt;=90,"Due ≤90 days","OK"))),"Check date"))</f>
        <v/>
      </c>
      <c r="O83" s="24">
        <f>IF(ISNUMBER(E83),EDATE(E83,12*(IFERROR(DATEDIF(E83,TODAY(),"y"),0)+1)),"")</f>
        <v/>
      </c>
      <c r="P83" s="26" t="n"/>
      <c r="Q83" s="26" t="n"/>
      <c r="R83" s="27">
        <f>IF(LEN(A83)=0,"",MAX(0,IF(ISNUMBER(Q83),Q83,12)-N(P83)))</f>
        <v/>
      </c>
      <c r="S83" s="23" t="n"/>
      <c r="T83" s="27">
        <f>IF(S83="","",IF(ISNUMBER(S83),S83-TODAY(),"Check date"))</f>
        <v/>
      </c>
      <c r="U83" s="22" t="n"/>
      <c r="V83" s="22" t="n"/>
      <c r="W83" s="22" t="n"/>
      <c r="X83" s="22" t="n"/>
    </row>
    <row r="84">
      <c r="A84" s="22" t="n"/>
      <c r="B84" s="22" t="n"/>
      <c r="C84" s="22" t="n"/>
      <c r="D84" s="22" t="n"/>
      <c r="E84" s="23" t="n"/>
      <c r="F84" s="23" t="n"/>
      <c r="G84" s="23" t="n"/>
      <c r="H84" s="24">
        <f>IF(ISNUMBER(G84),EDATE(G84,24),"")</f>
        <v/>
      </c>
      <c r="I84" s="24">
        <f>IF(OR(AND(LEN(F84)&gt;0,ISNUMBER(F84)=FALSE),AND(LEN(G84)&gt;0,ISNUMBER(G84)=FALSE)),"Check date",IF(COUNT(F84,H84)=0,"",MIN(F84,H84)))</f>
        <v/>
      </c>
      <c r="J84" s="25">
        <f>IF(ISNUMBER(I84)=FALSE,"",IF(AND(ISNUMBER(H84),I84=H84),"24-month work rule","Registry expiry"))</f>
        <v/>
      </c>
      <c r="K84" s="26" t="n"/>
      <c r="L84" s="24">
        <f>IF(ISNUMBER(I84),I84-IF(ISNUMBER(K84),K84,30),"")</f>
        <v/>
      </c>
      <c r="M84" s="27">
        <f>IF(I84="","",IF(ISNUMBER(I84),I84-TODAY(),"Check date"))</f>
        <v/>
      </c>
      <c r="N84" s="28">
        <f>IF(M84="","",IF(ISNUMBER(M84),IF(M84&lt;0,"Expired",IF(M84&lt;=30,"Due ≤30 days",IF(M84&lt;=90,"Due ≤90 days","OK"))),"Check date"))</f>
        <v/>
      </c>
      <c r="O84" s="24">
        <f>IF(ISNUMBER(E84),EDATE(E84,12*(IFERROR(DATEDIF(E84,TODAY(),"y"),0)+1)),"")</f>
        <v/>
      </c>
      <c r="P84" s="26" t="n"/>
      <c r="Q84" s="26" t="n"/>
      <c r="R84" s="27">
        <f>IF(LEN(A84)=0,"",MAX(0,IF(ISNUMBER(Q84),Q84,12)-N(P84)))</f>
        <v/>
      </c>
      <c r="S84" s="23" t="n"/>
      <c r="T84" s="27">
        <f>IF(S84="","",IF(ISNUMBER(S84),S84-TODAY(),"Check date"))</f>
        <v/>
      </c>
      <c r="U84" s="22" t="n"/>
      <c r="V84" s="22" t="n"/>
      <c r="W84" s="22" t="n"/>
      <c r="X84" s="22" t="n"/>
    </row>
    <row r="85">
      <c r="A85" s="22" t="n"/>
      <c r="B85" s="22" t="n"/>
      <c r="C85" s="22" t="n"/>
      <c r="D85" s="22" t="n"/>
      <c r="E85" s="23" t="n"/>
      <c r="F85" s="23" t="n"/>
      <c r="G85" s="23" t="n"/>
      <c r="H85" s="24">
        <f>IF(ISNUMBER(G85),EDATE(G85,24),"")</f>
        <v/>
      </c>
      <c r="I85" s="24">
        <f>IF(OR(AND(LEN(F85)&gt;0,ISNUMBER(F85)=FALSE),AND(LEN(G85)&gt;0,ISNUMBER(G85)=FALSE)),"Check date",IF(COUNT(F85,H85)=0,"",MIN(F85,H85)))</f>
        <v/>
      </c>
      <c r="J85" s="25">
        <f>IF(ISNUMBER(I85)=FALSE,"",IF(AND(ISNUMBER(H85),I85=H85),"24-month work rule","Registry expiry"))</f>
        <v/>
      </c>
      <c r="K85" s="26" t="n"/>
      <c r="L85" s="24">
        <f>IF(ISNUMBER(I85),I85-IF(ISNUMBER(K85),K85,30),"")</f>
        <v/>
      </c>
      <c r="M85" s="27">
        <f>IF(I85="","",IF(ISNUMBER(I85),I85-TODAY(),"Check date"))</f>
        <v/>
      </c>
      <c r="N85" s="28">
        <f>IF(M85="","",IF(ISNUMBER(M85),IF(M85&lt;0,"Expired",IF(M85&lt;=30,"Due ≤30 days",IF(M85&lt;=90,"Due ≤90 days","OK"))),"Check date"))</f>
        <v/>
      </c>
      <c r="O85" s="24">
        <f>IF(ISNUMBER(E85),EDATE(E85,12*(IFERROR(DATEDIF(E85,TODAY(),"y"),0)+1)),"")</f>
        <v/>
      </c>
      <c r="P85" s="26" t="n"/>
      <c r="Q85" s="26" t="n"/>
      <c r="R85" s="27">
        <f>IF(LEN(A85)=0,"",MAX(0,IF(ISNUMBER(Q85),Q85,12)-N(P85)))</f>
        <v/>
      </c>
      <c r="S85" s="23" t="n"/>
      <c r="T85" s="27">
        <f>IF(S85="","",IF(ISNUMBER(S85),S85-TODAY(),"Check date"))</f>
        <v/>
      </c>
      <c r="U85" s="22" t="n"/>
      <c r="V85" s="22" t="n"/>
      <c r="W85" s="22" t="n"/>
      <c r="X85" s="22" t="n"/>
    </row>
    <row r="86">
      <c r="A86" s="22" t="n"/>
      <c r="B86" s="22" t="n"/>
      <c r="C86" s="22" t="n"/>
      <c r="D86" s="22" t="n"/>
      <c r="E86" s="23" t="n"/>
      <c r="F86" s="23" t="n"/>
      <c r="G86" s="23" t="n"/>
      <c r="H86" s="24">
        <f>IF(ISNUMBER(G86),EDATE(G86,24),"")</f>
        <v/>
      </c>
      <c r="I86" s="24">
        <f>IF(OR(AND(LEN(F86)&gt;0,ISNUMBER(F86)=FALSE),AND(LEN(G86)&gt;0,ISNUMBER(G86)=FALSE)),"Check date",IF(COUNT(F86,H86)=0,"",MIN(F86,H86)))</f>
        <v/>
      </c>
      <c r="J86" s="25">
        <f>IF(ISNUMBER(I86)=FALSE,"",IF(AND(ISNUMBER(H86),I86=H86),"24-month work rule","Registry expiry"))</f>
        <v/>
      </c>
      <c r="K86" s="26" t="n"/>
      <c r="L86" s="24">
        <f>IF(ISNUMBER(I86),I86-IF(ISNUMBER(K86),K86,30),"")</f>
        <v/>
      </c>
      <c r="M86" s="27">
        <f>IF(I86="","",IF(ISNUMBER(I86),I86-TODAY(),"Check date"))</f>
        <v/>
      </c>
      <c r="N86" s="28">
        <f>IF(M86="","",IF(ISNUMBER(M86),IF(M86&lt;0,"Expired",IF(M86&lt;=30,"Due ≤30 days",IF(M86&lt;=90,"Due ≤90 days","OK"))),"Check date"))</f>
        <v/>
      </c>
      <c r="O86" s="24">
        <f>IF(ISNUMBER(E86),EDATE(E86,12*(IFERROR(DATEDIF(E86,TODAY(),"y"),0)+1)),"")</f>
        <v/>
      </c>
      <c r="P86" s="26" t="n"/>
      <c r="Q86" s="26" t="n"/>
      <c r="R86" s="27">
        <f>IF(LEN(A86)=0,"",MAX(0,IF(ISNUMBER(Q86),Q86,12)-N(P86)))</f>
        <v/>
      </c>
      <c r="S86" s="23" t="n"/>
      <c r="T86" s="27">
        <f>IF(S86="","",IF(ISNUMBER(S86),S86-TODAY(),"Check date"))</f>
        <v/>
      </c>
      <c r="U86" s="22" t="n"/>
      <c r="V86" s="22" t="n"/>
      <c r="W86" s="22" t="n"/>
      <c r="X86" s="22" t="n"/>
    </row>
    <row r="87">
      <c r="A87" s="22" t="n"/>
      <c r="B87" s="22" t="n"/>
      <c r="C87" s="22" t="n"/>
      <c r="D87" s="22" t="n"/>
      <c r="E87" s="23" t="n"/>
      <c r="F87" s="23" t="n"/>
      <c r="G87" s="23" t="n"/>
      <c r="H87" s="24">
        <f>IF(ISNUMBER(G87),EDATE(G87,24),"")</f>
        <v/>
      </c>
      <c r="I87" s="24">
        <f>IF(OR(AND(LEN(F87)&gt;0,ISNUMBER(F87)=FALSE),AND(LEN(G87)&gt;0,ISNUMBER(G87)=FALSE)),"Check date",IF(COUNT(F87,H87)=0,"",MIN(F87,H87)))</f>
        <v/>
      </c>
      <c r="J87" s="25">
        <f>IF(ISNUMBER(I87)=FALSE,"",IF(AND(ISNUMBER(H87),I87=H87),"24-month work rule","Registry expiry"))</f>
        <v/>
      </c>
      <c r="K87" s="26" t="n"/>
      <c r="L87" s="24">
        <f>IF(ISNUMBER(I87),I87-IF(ISNUMBER(K87),K87,30),"")</f>
        <v/>
      </c>
      <c r="M87" s="27">
        <f>IF(I87="","",IF(ISNUMBER(I87),I87-TODAY(),"Check date"))</f>
        <v/>
      </c>
      <c r="N87" s="28">
        <f>IF(M87="","",IF(ISNUMBER(M87),IF(M87&lt;0,"Expired",IF(M87&lt;=30,"Due ≤30 days",IF(M87&lt;=90,"Due ≤90 days","OK"))),"Check date"))</f>
        <v/>
      </c>
      <c r="O87" s="24">
        <f>IF(ISNUMBER(E87),EDATE(E87,12*(IFERROR(DATEDIF(E87,TODAY(),"y"),0)+1)),"")</f>
        <v/>
      </c>
      <c r="P87" s="26" t="n"/>
      <c r="Q87" s="26" t="n"/>
      <c r="R87" s="27">
        <f>IF(LEN(A87)=0,"",MAX(0,IF(ISNUMBER(Q87),Q87,12)-N(P87)))</f>
        <v/>
      </c>
      <c r="S87" s="23" t="n"/>
      <c r="T87" s="27">
        <f>IF(S87="","",IF(ISNUMBER(S87),S87-TODAY(),"Check date"))</f>
        <v/>
      </c>
      <c r="U87" s="22" t="n"/>
      <c r="V87" s="22" t="n"/>
      <c r="W87" s="22" t="n"/>
      <c r="X87" s="22" t="n"/>
    </row>
    <row r="88">
      <c r="A88" s="22" t="n"/>
      <c r="B88" s="22" t="n"/>
      <c r="C88" s="22" t="n"/>
      <c r="D88" s="22" t="n"/>
      <c r="E88" s="23" t="n"/>
      <c r="F88" s="23" t="n"/>
      <c r="G88" s="23" t="n"/>
      <c r="H88" s="24">
        <f>IF(ISNUMBER(G88),EDATE(G88,24),"")</f>
        <v/>
      </c>
      <c r="I88" s="24">
        <f>IF(OR(AND(LEN(F88)&gt;0,ISNUMBER(F88)=FALSE),AND(LEN(G88)&gt;0,ISNUMBER(G88)=FALSE)),"Check date",IF(COUNT(F88,H88)=0,"",MIN(F88,H88)))</f>
        <v/>
      </c>
      <c r="J88" s="25">
        <f>IF(ISNUMBER(I88)=FALSE,"",IF(AND(ISNUMBER(H88),I88=H88),"24-month work rule","Registry expiry"))</f>
        <v/>
      </c>
      <c r="K88" s="26" t="n"/>
      <c r="L88" s="24">
        <f>IF(ISNUMBER(I88),I88-IF(ISNUMBER(K88),K88,30),"")</f>
        <v/>
      </c>
      <c r="M88" s="27">
        <f>IF(I88="","",IF(ISNUMBER(I88),I88-TODAY(),"Check date"))</f>
        <v/>
      </c>
      <c r="N88" s="28">
        <f>IF(M88="","",IF(ISNUMBER(M88),IF(M88&lt;0,"Expired",IF(M88&lt;=30,"Due ≤30 days",IF(M88&lt;=90,"Due ≤90 days","OK"))),"Check date"))</f>
        <v/>
      </c>
      <c r="O88" s="24">
        <f>IF(ISNUMBER(E88),EDATE(E88,12*(IFERROR(DATEDIF(E88,TODAY(),"y"),0)+1)),"")</f>
        <v/>
      </c>
      <c r="P88" s="26" t="n"/>
      <c r="Q88" s="26" t="n"/>
      <c r="R88" s="27">
        <f>IF(LEN(A88)=0,"",MAX(0,IF(ISNUMBER(Q88),Q88,12)-N(P88)))</f>
        <v/>
      </c>
      <c r="S88" s="23" t="n"/>
      <c r="T88" s="27">
        <f>IF(S88="","",IF(ISNUMBER(S88),S88-TODAY(),"Check date"))</f>
        <v/>
      </c>
      <c r="U88" s="22" t="n"/>
      <c r="V88" s="22" t="n"/>
      <c r="W88" s="22" t="n"/>
      <c r="X88" s="22" t="n"/>
    </row>
    <row r="89">
      <c r="A89" s="22" t="n"/>
      <c r="B89" s="22" t="n"/>
      <c r="C89" s="22" t="n"/>
      <c r="D89" s="22" t="n"/>
      <c r="E89" s="23" t="n"/>
      <c r="F89" s="23" t="n"/>
      <c r="G89" s="23" t="n"/>
      <c r="H89" s="24">
        <f>IF(ISNUMBER(G89),EDATE(G89,24),"")</f>
        <v/>
      </c>
      <c r="I89" s="24">
        <f>IF(OR(AND(LEN(F89)&gt;0,ISNUMBER(F89)=FALSE),AND(LEN(G89)&gt;0,ISNUMBER(G89)=FALSE)),"Check date",IF(COUNT(F89,H89)=0,"",MIN(F89,H89)))</f>
        <v/>
      </c>
      <c r="J89" s="25">
        <f>IF(ISNUMBER(I89)=FALSE,"",IF(AND(ISNUMBER(H89),I89=H89),"24-month work rule","Registry expiry"))</f>
        <v/>
      </c>
      <c r="K89" s="26" t="n"/>
      <c r="L89" s="24">
        <f>IF(ISNUMBER(I89),I89-IF(ISNUMBER(K89),K89,30),"")</f>
        <v/>
      </c>
      <c r="M89" s="27">
        <f>IF(I89="","",IF(ISNUMBER(I89),I89-TODAY(),"Check date"))</f>
        <v/>
      </c>
      <c r="N89" s="28">
        <f>IF(M89="","",IF(ISNUMBER(M89),IF(M89&lt;0,"Expired",IF(M89&lt;=30,"Due ≤30 days",IF(M89&lt;=90,"Due ≤90 days","OK"))),"Check date"))</f>
        <v/>
      </c>
      <c r="O89" s="24">
        <f>IF(ISNUMBER(E89),EDATE(E89,12*(IFERROR(DATEDIF(E89,TODAY(),"y"),0)+1)),"")</f>
        <v/>
      </c>
      <c r="P89" s="26" t="n"/>
      <c r="Q89" s="26" t="n"/>
      <c r="R89" s="27">
        <f>IF(LEN(A89)=0,"",MAX(0,IF(ISNUMBER(Q89),Q89,12)-N(P89)))</f>
        <v/>
      </c>
      <c r="S89" s="23" t="n"/>
      <c r="T89" s="27">
        <f>IF(S89="","",IF(ISNUMBER(S89),S89-TODAY(),"Check date"))</f>
        <v/>
      </c>
      <c r="U89" s="22" t="n"/>
      <c r="V89" s="22" t="n"/>
      <c r="W89" s="22" t="n"/>
      <c r="X89" s="22" t="n"/>
    </row>
    <row r="90">
      <c r="A90" s="22" t="n"/>
      <c r="B90" s="22" t="n"/>
      <c r="C90" s="22" t="n"/>
      <c r="D90" s="22" t="n"/>
      <c r="E90" s="23" t="n"/>
      <c r="F90" s="23" t="n"/>
      <c r="G90" s="23" t="n"/>
      <c r="H90" s="24">
        <f>IF(ISNUMBER(G90),EDATE(G90,24),"")</f>
        <v/>
      </c>
      <c r="I90" s="24">
        <f>IF(OR(AND(LEN(F90)&gt;0,ISNUMBER(F90)=FALSE),AND(LEN(G90)&gt;0,ISNUMBER(G90)=FALSE)),"Check date",IF(COUNT(F90,H90)=0,"",MIN(F90,H90)))</f>
        <v/>
      </c>
      <c r="J90" s="25">
        <f>IF(ISNUMBER(I90)=FALSE,"",IF(AND(ISNUMBER(H90),I90=H90),"24-month work rule","Registry expiry"))</f>
        <v/>
      </c>
      <c r="K90" s="26" t="n"/>
      <c r="L90" s="24">
        <f>IF(ISNUMBER(I90),I90-IF(ISNUMBER(K90),K90,30),"")</f>
        <v/>
      </c>
      <c r="M90" s="27">
        <f>IF(I90="","",IF(ISNUMBER(I90),I90-TODAY(),"Check date"))</f>
        <v/>
      </c>
      <c r="N90" s="28">
        <f>IF(M90="","",IF(ISNUMBER(M90),IF(M90&lt;0,"Expired",IF(M90&lt;=30,"Due ≤30 days",IF(M90&lt;=90,"Due ≤90 days","OK"))),"Check date"))</f>
        <v/>
      </c>
      <c r="O90" s="24">
        <f>IF(ISNUMBER(E90),EDATE(E90,12*(IFERROR(DATEDIF(E90,TODAY(),"y"),0)+1)),"")</f>
        <v/>
      </c>
      <c r="P90" s="26" t="n"/>
      <c r="Q90" s="26" t="n"/>
      <c r="R90" s="27">
        <f>IF(LEN(A90)=0,"",MAX(0,IF(ISNUMBER(Q90),Q90,12)-N(P90)))</f>
        <v/>
      </c>
      <c r="S90" s="23" t="n"/>
      <c r="T90" s="27">
        <f>IF(S90="","",IF(ISNUMBER(S90),S90-TODAY(),"Check date"))</f>
        <v/>
      </c>
      <c r="U90" s="22" t="n"/>
      <c r="V90" s="22" t="n"/>
      <c r="W90" s="22" t="n"/>
      <c r="X90" s="22" t="n"/>
    </row>
    <row r="91">
      <c r="A91" s="22" t="n"/>
      <c r="B91" s="22" t="n"/>
      <c r="C91" s="22" t="n"/>
      <c r="D91" s="22" t="n"/>
      <c r="E91" s="23" t="n"/>
      <c r="F91" s="23" t="n"/>
      <c r="G91" s="23" t="n"/>
      <c r="H91" s="24">
        <f>IF(ISNUMBER(G91),EDATE(G91,24),"")</f>
        <v/>
      </c>
      <c r="I91" s="24">
        <f>IF(OR(AND(LEN(F91)&gt;0,ISNUMBER(F91)=FALSE),AND(LEN(G91)&gt;0,ISNUMBER(G91)=FALSE)),"Check date",IF(COUNT(F91,H91)=0,"",MIN(F91,H91)))</f>
        <v/>
      </c>
      <c r="J91" s="25">
        <f>IF(ISNUMBER(I91)=FALSE,"",IF(AND(ISNUMBER(H91),I91=H91),"24-month work rule","Registry expiry"))</f>
        <v/>
      </c>
      <c r="K91" s="26" t="n"/>
      <c r="L91" s="24">
        <f>IF(ISNUMBER(I91),I91-IF(ISNUMBER(K91),K91,30),"")</f>
        <v/>
      </c>
      <c r="M91" s="27">
        <f>IF(I91="","",IF(ISNUMBER(I91),I91-TODAY(),"Check date"))</f>
        <v/>
      </c>
      <c r="N91" s="28">
        <f>IF(M91="","",IF(ISNUMBER(M91),IF(M91&lt;0,"Expired",IF(M91&lt;=30,"Due ≤30 days",IF(M91&lt;=90,"Due ≤90 days","OK"))),"Check date"))</f>
        <v/>
      </c>
      <c r="O91" s="24">
        <f>IF(ISNUMBER(E91),EDATE(E91,12*(IFERROR(DATEDIF(E91,TODAY(),"y"),0)+1)),"")</f>
        <v/>
      </c>
      <c r="P91" s="26" t="n"/>
      <c r="Q91" s="26" t="n"/>
      <c r="R91" s="27">
        <f>IF(LEN(A91)=0,"",MAX(0,IF(ISNUMBER(Q91),Q91,12)-N(P91)))</f>
        <v/>
      </c>
      <c r="S91" s="23" t="n"/>
      <c r="T91" s="27">
        <f>IF(S91="","",IF(ISNUMBER(S91),S91-TODAY(),"Check date"))</f>
        <v/>
      </c>
      <c r="U91" s="22" t="n"/>
      <c r="V91" s="22" t="n"/>
      <c r="W91" s="22" t="n"/>
      <c r="X91" s="22" t="n"/>
    </row>
    <row r="92">
      <c r="A92" s="22" t="n"/>
      <c r="B92" s="22" t="n"/>
      <c r="C92" s="22" t="n"/>
      <c r="D92" s="22" t="n"/>
      <c r="E92" s="23" t="n"/>
      <c r="F92" s="23" t="n"/>
      <c r="G92" s="23" t="n"/>
      <c r="H92" s="24">
        <f>IF(ISNUMBER(G92),EDATE(G92,24),"")</f>
        <v/>
      </c>
      <c r="I92" s="24">
        <f>IF(OR(AND(LEN(F92)&gt;0,ISNUMBER(F92)=FALSE),AND(LEN(G92)&gt;0,ISNUMBER(G92)=FALSE)),"Check date",IF(COUNT(F92,H92)=0,"",MIN(F92,H92)))</f>
        <v/>
      </c>
      <c r="J92" s="25">
        <f>IF(ISNUMBER(I92)=FALSE,"",IF(AND(ISNUMBER(H92),I92=H92),"24-month work rule","Registry expiry"))</f>
        <v/>
      </c>
      <c r="K92" s="26" t="n"/>
      <c r="L92" s="24">
        <f>IF(ISNUMBER(I92),I92-IF(ISNUMBER(K92),K92,30),"")</f>
        <v/>
      </c>
      <c r="M92" s="27">
        <f>IF(I92="","",IF(ISNUMBER(I92),I92-TODAY(),"Check date"))</f>
        <v/>
      </c>
      <c r="N92" s="28">
        <f>IF(M92="","",IF(ISNUMBER(M92),IF(M92&lt;0,"Expired",IF(M92&lt;=30,"Due ≤30 days",IF(M92&lt;=90,"Due ≤90 days","OK"))),"Check date"))</f>
        <v/>
      </c>
      <c r="O92" s="24">
        <f>IF(ISNUMBER(E92),EDATE(E92,12*(IFERROR(DATEDIF(E92,TODAY(),"y"),0)+1)),"")</f>
        <v/>
      </c>
      <c r="P92" s="26" t="n"/>
      <c r="Q92" s="26" t="n"/>
      <c r="R92" s="27">
        <f>IF(LEN(A92)=0,"",MAX(0,IF(ISNUMBER(Q92),Q92,12)-N(P92)))</f>
        <v/>
      </c>
      <c r="S92" s="23" t="n"/>
      <c r="T92" s="27">
        <f>IF(S92="","",IF(ISNUMBER(S92),S92-TODAY(),"Check date"))</f>
        <v/>
      </c>
      <c r="U92" s="22" t="n"/>
      <c r="V92" s="22" t="n"/>
      <c r="W92" s="22" t="n"/>
      <c r="X92" s="22" t="n"/>
    </row>
    <row r="93">
      <c r="A93" s="22" t="n"/>
      <c r="B93" s="22" t="n"/>
      <c r="C93" s="22" t="n"/>
      <c r="D93" s="22" t="n"/>
      <c r="E93" s="23" t="n"/>
      <c r="F93" s="23" t="n"/>
      <c r="G93" s="23" t="n"/>
      <c r="H93" s="24">
        <f>IF(ISNUMBER(G93),EDATE(G93,24),"")</f>
        <v/>
      </c>
      <c r="I93" s="24">
        <f>IF(OR(AND(LEN(F93)&gt;0,ISNUMBER(F93)=FALSE),AND(LEN(G93)&gt;0,ISNUMBER(G93)=FALSE)),"Check date",IF(COUNT(F93,H93)=0,"",MIN(F93,H93)))</f>
        <v/>
      </c>
      <c r="J93" s="25">
        <f>IF(ISNUMBER(I93)=FALSE,"",IF(AND(ISNUMBER(H93),I93=H93),"24-month work rule","Registry expiry"))</f>
        <v/>
      </c>
      <c r="K93" s="26" t="n"/>
      <c r="L93" s="24">
        <f>IF(ISNUMBER(I93),I93-IF(ISNUMBER(K93),K93,30),"")</f>
        <v/>
      </c>
      <c r="M93" s="27">
        <f>IF(I93="","",IF(ISNUMBER(I93),I93-TODAY(),"Check date"))</f>
        <v/>
      </c>
      <c r="N93" s="28">
        <f>IF(M93="","",IF(ISNUMBER(M93),IF(M93&lt;0,"Expired",IF(M93&lt;=30,"Due ≤30 days",IF(M93&lt;=90,"Due ≤90 days","OK"))),"Check date"))</f>
        <v/>
      </c>
      <c r="O93" s="24">
        <f>IF(ISNUMBER(E93),EDATE(E93,12*(IFERROR(DATEDIF(E93,TODAY(),"y"),0)+1)),"")</f>
        <v/>
      </c>
      <c r="P93" s="26" t="n"/>
      <c r="Q93" s="26" t="n"/>
      <c r="R93" s="27">
        <f>IF(LEN(A93)=0,"",MAX(0,IF(ISNUMBER(Q93),Q93,12)-N(P93)))</f>
        <v/>
      </c>
      <c r="S93" s="23" t="n"/>
      <c r="T93" s="27">
        <f>IF(S93="","",IF(ISNUMBER(S93),S93-TODAY(),"Check date"))</f>
        <v/>
      </c>
      <c r="U93" s="22" t="n"/>
      <c r="V93" s="22" t="n"/>
      <c r="W93" s="22" t="n"/>
      <c r="X93" s="22" t="n"/>
    </row>
    <row r="94">
      <c r="A94" s="22" t="n"/>
      <c r="B94" s="22" t="n"/>
      <c r="C94" s="22" t="n"/>
      <c r="D94" s="22" t="n"/>
      <c r="E94" s="23" t="n"/>
      <c r="F94" s="23" t="n"/>
      <c r="G94" s="23" t="n"/>
      <c r="H94" s="24">
        <f>IF(ISNUMBER(G94),EDATE(G94,24),"")</f>
        <v/>
      </c>
      <c r="I94" s="24">
        <f>IF(OR(AND(LEN(F94)&gt;0,ISNUMBER(F94)=FALSE),AND(LEN(G94)&gt;0,ISNUMBER(G94)=FALSE)),"Check date",IF(COUNT(F94,H94)=0,"",MIN(F94,H94)))</f>
        <v/>
      </c>
      <c r="J94" s="25">
        <f>IF(ISNUMBER(I94)=FALSE,"",IF(AND(ISNUMBER(H94),I94=H94),"24-month work rule","Registry expiry"))</f>
        <v/>
      </c>
      <c r="K94" s="26" t="n"/>
      <c r="L94" s="24">
        <f>IF(ISNUMBER(I94),I94-IF(ISNUMBER(K94),K94,30),"")</f>
        <v/>
      </c>
      <c r="M94" s="27">
        <f>IF(I94="","",IF(ISNUMBER(I94),I94-TODAY(),"Check date"))</f>
        <v/>
      </c>
      <c r="N94" s="28">
        <f>IF(M94="","",IF(ISNUMBER(M94),IF(M94&lt;0,"Expired",IF(M94&lt;=30,"Due ≤30 days",IF(M94&lt;=90,"Due ≤90 days","OK"))),"Check date"))</f>
        <v/>
      </c>
      <c r="O94" s="24">
        <f>IF(ISNUMBER(E94),EDATE(E94,12*(IFERROR(DATEDIF(E94,TODAY(),"y"),0)+1)),"")</f>
        <v/>
      </c>
      <c r="P94" s="26" t="n"/>
      <c r="Q94" s="26" t="n"/>
      <c r="R94" s="27">
        <f>IF(LEN(A94)=0,"",MAX(0,IF(ISNUMBER(Q94),Q94,12)-N(P94)))</f>
        <v/>
      </c>
      <c r="S94" s="23" t="n"/>
      <c r="T94" s="27">
        <f>IF(S94="","",IF(ISNUMBER(S94),S94-TODAY(),"Check date"))</f>
        <v/>
      </c>
      <c r="U94" s="22" t="n"/>
      <c r="V94" s="22" t="n"/>
      <c r="W94" s="22" t="n"/>
      <c r="X94" s="22" t="n"/>
    </row>
    <row r="95">
      <c r="A95" s="22" t="n"/>
      <c r="B95" s="22" t="n"/>
      <c r="C95" s="22" t="n"/>
      <c r="D95" s="22" t="n"/>
      <c r="E95" s="23" t="n"/>
      <c r="F95" s="23" t="n"/>
      <c r="G95" s="23" t="n"/>
      <c r="H95" s="24">
        <f>IF(ISNUMBER(G95),EDATE(G95,24),"")</f>
        <v/>
      </c>
      <c r="I95" s="24">
        <f>IF(OR(AND(LEN(F95)&gt;0,ISNUMBER(F95)=FALSE),AND(LEN(G95)&gt;0,ISNUMBER(G95)=FALSE)),"Check date",IF(COUNT(F95,H95)=0,"",MIN(F95,H95)))</f>
        <v/>
      </c>
      <c r="J95" s="25">
        <f>IF(ISNUMBER(I95)=FALSE,"",IF(AND(ISNUMBER(H95),I95=H95),"24-month work rule","Registry expiry"))</f>
        <v/>
      </c>
      <c r="K95" s="26" t="n"/>
      <c r="L95" s="24">
        <f>IF(ISNUMBER(I95),I95-IF(ISNUMBER(K95),K95,30),"")</f>
        <v/>
      </c>
      <c r="M95" s="27">
        <f>IF(I95="","",IF(ISNUMBER(I95),I95-TODAY(),"Check date"))</f>
        <v/>
      </c>
      <c r="N95" s="28">
        <f>IF(M95="","",IF(ISNUMBER(M95),IF(M95&lt;0,"Expired",IF(M95&lt;=30,"Due ≤30 days",IF(M95&lt;=90,"Due ≤90 days","OK"))),"Check date"))</f>
        <v/>
      </c>
      <c r="O95" s="24">
        <f>IF(ISNUMBER(E95),EDATE(E95,12*(IFERROR(DATEDIF(E95,TODAY(),"y"),0)+1)),"")</f>
        <v/>
      </c>
      <c r="P95" s="26" t="n"/>
      <c r="Q95" s="26" t="n"/>
      <c r="R95" s="27">
        <f>IF(LEN(A95)=0,"",MAX(0,IF(ISNUMBER(Q95),Q95,12)-N(P95)))</f>
        <v/>
      </c>
      <c r="S95" s="23" t="n"/>
      <c r="T95" s="27">
        <f>IF(S95="","",IF(ISNUMBER(S95),S95-TODAY(),"Check date"))</f>
        <v/>
      </c>
      <c r="U95" s="22" t="n"/>
      <c r="V95" s="22" t="n"/>
      <c r="W95" s="22" t="n"/>
      <c r="X95" s="22" t="n"/>
    </row>
    <row r="96">
      <c r="A96" s="22" t="n"/>
      <c r="B96" s="22" t="n"/>
      <c r="C96" s="22" t="n"/>
      <c r="D96" s="22" t="n"/>
      <c r="E96" s="23" t="n"/>
      <c r="F96" s="23" t="n"/>
      <c r="G96" s="23" t="n"/>
      <c r="H96" s="24">
        <f>IF(ISNUMBER(G96),EDATE(G96,24),"")</f>
        <v/>
      </c>
      <c r="I96" s="24">
        <f>IF(OR(AND(LEN(F96)&gt;0,ISNUMBER(F96)=FALSE),AND(LEN(G96)&gt;0,ISNUMBER(G96)=FALSE)),"Check date",IF(COUNT(F96,H96)=0,"",MIN(F96,H96)))</f>
        <v/>
      </c>
      <c r="J96" s="25">
        <f>IF(ISNUMBER(I96)=FALSE,"",IF(AND(ISNUMBER(H96),I96=H96),"24-month work rule","Registry expiry"))</f>
        <v/>
      </c>
      <c r="K96" s="26" t="n"/>
      <c r="L96" s="24">
        <f>IF(ISNUMBER(I96),I96-IF(ISNUMBER(K96),K96,30),"")</f>
        <v/>
      </c>
      <c r="M96" s="27">
        <f>IF(I96="","",IF(ISNUMBER(I96),I96-TODAY(),"Check date"))</f>
        <v/>
      </c>
      <c r="N96" s="28">
        <f>IF(M96="","",IF(ISNUMBER(M96),IF(M96&lt;0,"Expired",IF(M96&lt;=30,"Due ≤30 days",IF(M96&lt;=90,"Due ≤90 days","OK"))),"Check date"))</f>
        <v/>
      </c>
      <c r="O96" s="24">
        <f>IF(ISNUMBER(E96),EDATE(E96,12*(IFERROR(DATEDIF(E96,TODAY(),"y"),0)+1)),"")</f>
        <v/>
      </c>
      <c r="P96" s="26" t="n"/>
      <c r="Q96" s="26" t="n"/>
      <c r="R96" s="27">
        <f>IF(LEN(A96)=0,"",MAX(0,IF(ISNUMBER(Q96),Q96,12)-N(P96)))</f>
        <v/>
      </c>
      <c r="S96" s="23" t="n"/>
      <c r="T96" s="27">
        <f>IF(S96="","",IF(ISNUMBER(S96),S96-TODAY(),"Check date"))</f>
        <v/>
      </c>
      <c r="U96" s="22" t="n"/>
      <c r="V96" s="22" t="n"/>
      <c r="W96" s="22" t="n"/>
      <c r="X96" s="22" t="n"/>
    </row>
    <row r="97">
      <c r="A97" s="22" t="n"/>
      <c r="B97" s="22" t="n"/>
      <c r="C97" s="22" t="n"/>
      <c r="D97" s="22" t="n"/>
      <c r="E97" s="23" t="n"/>
      <c r="F97" s="23" t="n"/>
      <c r="G97" s="23" t="n"/>
      <c r="H97" s="24">
        <f>IF(ISNUMBER(G97),EDATE(G97,24),"")</f>
        <v/>
      </c>
      <c r="I97" s="24">
        <f>IF(OR(AND(LEN(F97)&gt;0,ISNUMBER(F97)=FALSE),AND(LEN(G97)&gt;0,ISNUMBER(G97)=FALSE)),"Check date",IF(COUNT(F97,H97)=0,"",MIN(F97,H97)))</f>
        <v/>
      </c>
      <c r="J97" s="25">
        <f>IF(ISNUMBER(I97)=FALSE,"",IF(AND(ISNUMBER(H97),I97=H97),"24-month work rule","Registry expiry"))</f>
        <v/>
      </c>
      <c r="K97" s="26" t="n"/>
      <c r="L97" s="24">
        <f>IF(ISNUMBER(I97),I97-IF(ISNUMBER(K97),K97,30),"")</f>
        <v/>
      </c>
      <c r="M97" s="27">
        <f>IF(I97="","",IF(ISNUMBER(I97),I97-TODAY(),"Check date"))</f>
        <v/>
      </c>
      <c r="N97" s="28">
        <f>IF(M97="","",IF(ISNUMBER(M97),IF(M97&lt;0,"Expired",IF(M97&lt;=30,"Due ≤30 days",IF(M97&lt;=90,"Due ≤90 days","OK"))),"Check date"))</f>
        <v/>
      </c>
      <c r="O97" s="24">
        <f>IF(ISNUMBER(E97),EDATE(E97,12*(IFERROR(DATEDIF(E97,TODAY(),"y"),0)+1)),"")</f>
        <v/>
      </c>
      <c r="P97" s="26" t="n"/>
      <c r="Q97" s="26" t="n"/>
      <c r="R97" s="27">
        <f>IF(LEN(A97)=0,"",MAX(0,IF(ISNUMBER(Q97),Q97,12)-N(P97)))</f>
        <v/>
      </c>
      <c r="S97" s="23" t="n"/>
      <c r="T97" s="27">
        <f>IF(S97="","",IF(ISNUMBER(S97),S97-TODAY(),"Check date"))</f>
        <v/>
      </c>
      <c r="U97" s="22" t="n"/>
      <c r="V97" s="22" t="n"/>
      <c r="W97" s="22" t="n"/>
      <c r="X97" s="22" t="n"/>
    </row>
    <row r="98">
      <c r="A98" s="22" t="n"/>
      <c r="B98" s="22" t="n"/>
      <c r="C98" s="22" t="n"/>
      <c r="D98" s="22" t="n"/>
      <c r="E98" s="23" t="n"/>
      <c r="F98" s="23" t="n"/>
      <c r="G98" s="23" t="n"/>
      <c r="H98" s="24">
        <f>IF(ISNUMBER(G98),EDATE(G98,24),"")</f>
        <v/>
      </c>
      <c r="I98" s="24">
        <f>IF(OR(AND(LEN(F98)&gt;0,ISNUMBER(F98)=FALSE),AND(LEN(G98)&gt;0,ISNUMBER(G98)=FALSE)),"Check date",IF(COUNT(F98,H98)=0,"",MIN(F98,H98)))</f>
        <v/>
      </c>
      <c r="J98" s="25">
        <f>IF(ISNUMBER(I98)=FALSE,"",IF(AND(ISNUMBER(H98),I98=H98),"24-month work rule","Registry expiry"))</f>
        <v/>
      </c>
      <c r="K98" s="26" t="n"/>
      <c r="L98" s="24">
        <f>IF(ISNUMBER(I98),I98-IF(ISNUMBER(K98),K98,30),"")</f>
        <v/>
      </c>
      <c r="M98" s="27">
        <f>IF(I98="","",IF(ISNUMBER(I98),I98-TODAY(),"Check date"))</f>
        <v/>
      </c>
      <c r="N98" s="28">
        <f>IF(M98="","",IF(ISNUMBER(M98),IF(M98&lt;0,"Expired",IF(M98&lt;=30,"Due ≤30 days",IF(M98&lt;=90,"Due ≤90 days","OK"))),"Check date"))</f>
        <v/>
      </c>
      <c r="O98" s="24">
        <f>IF(ISNUMBER(E98),EDATE(E98,12*(IFERROR(DATEDIF(E98,TODAY(),"y"),0)+1)),"")</f>
        <v/>
      </c>
      <c r="P98" s="26" t="n"/>
      <c r="Q98" s="26" t="n"/>
      <c r="R98" s="27">
        <f>IF(LEN(A98)=0,"",MAX(0,IF(ISNUMBER(Q98),Q98,12)-N(P98)))</f>
        <v/>
      </c>
      <c r="S98" s="23" t="n"/>
      <c r="T98" s="27">
        <f>IF(S98="","",IF(ISNUMBER(S98),S98-TODAY(),"Check date"))</f>
        <v/>
      </c>
      <c r="U98" s="22" t="n"/>
      <c r="V98" s="22" t="n"/>
      <c r="W98" s="22" t="n"/>
      <c r="X98" s="22" t="n"/>
    </row>
    <row r="99">
      <c r="A99" s="22" t="n"/>
      <c r="B99" s="22" t="n"/>
      <c r="C99" s="22" t="n"/>
      <c r="D99" s="22" t="n"/>
      <c r="E99" s="23" t="n"/>
      <c r="F99" s="23" t="n"/>
      <c r="G99" s="23" t="n"/>
      <c r="H99" s="24">
        <f>IF(ISNUMBER(G99),EDATE(G99,24),"")</f>
        <v/>
      </c>
      <c r="I99" s="24">
        <f>IF(OR(AND(LEN(F99)&gt;0,ISNUMBER(F99)=FALSE),AND(LEN(G99)&gt;0,ISNUMBER(G99)=FALSE)),"Check date",IF(COUNT(F99,H99)=0,"",MIN(F99,H99)))</f>
        <v/>
      </c>
      <c r="J99" s="25">
        <f>IF(ISNUMBER(I99)=FALSE,"",IF(AND(ISNUMBER(H99),I99=H99),"24-month work rule","Registry expiry"))</f>
        <v/>
      </c>
      <c r="K99" s="26" t="n"/>
      <c r="L99" s="24">
        <f>IF(ISNUMBER(I99),I99-IF(ISNUMBER(K99),K99,30),"")</f>
        <v/>
      </c>
      <c r="M99" s="27">
        <f>IF(I99="","",IF(ISNUMBER(I99),I99-TODAY(),"Check date"))</f>
        <v/>
      </c>
      <c r="N99" s="28">
        <f>IF(M99="","",IF(ISNUMBER(M99),IF(M99&lt;0,"Expired",IF(M99&lt;=30,"Due ≤30 days",IF(M99&lt;=90,"Due ≤90 days","OK"))),"Check date"))</f>
        <v/>
      </c>
      <c r="O99" s="24">
        <f>IF(ISNUMBER(E99),EDATE(E99,12*(IFERROR(DATEDIF(E99,TODAY(),"y"),0)+1)),"")</f>
        <v/>
      </c>
      <c r="P99" s="26" t="n"/>
      <c r="Q99" s="26" t="n"/>
      <c r="R99" s="27">
        <f>IF(LEN(A99)=0,"",MAX(0,IF(ISNUMBER(Q99),Q99,12)-N(P99)))</f>
        <v/>
      </c>
      <c r="S99" s="23" t="n"/>
      <c r="T99" s="27">
        <f>IF(S99="","",IF(ISNUMBER(S99),S99-TODAY(),"Check date"))</f>
        <v/>
      </c>
      <c r="U99" s="22" t="n"/>
      <c r="V99" s="22" t="n"/>
      <c r="W99" s="22" t="n"/>
      <c r="X99" s="22" t="n"/>
    </row>
    <row r="100">
      <c r="A100" s="22" t="n"/>
      <c r="B100" s="22" t="n"/>
      <c r="C100" s="22" t="n"/>
      <c r="D100" s="22" t="n"/>
      <c r="E100" s="23" t="n"/>
      <c r="F100" s="23" t="n"/>
      <c r="G100" s="23" t="n"/>
      <c r="H100" s="24">
        <f>IF(ISNUMBER(G100),EDATE(G100,24),"")</f>
        <v/>
      </c>
      <c r="I100" s="24">
        <f>IF(OR(AND(LEN(F100)&gt;0,ISNUMBER(F100)=FALSE),AND(LEN(G100)&gt;0,ISNUMBER(G100)=FALSE)),"Check date",IF(COUNT(F100,H100)=0,"",MIN(F100,H100)))</f>
        <v/>
      </c>
      <c r="J100" s="25">
        <f>IF(ISNUMBER(I100)=FALSE,"",IF(AND(ISNUMBER(H100),I100=H100),"24-month work rule","Registry expiry"))</f>
        <v/>
      </c>
      <c r="K100" s="26" t="n"/>
      <c r="L100" s="24">
        <f>IF(ISNUMBER(I100),I100-IF(ISNUMBER(K100),K100,30),"")</f>
        <v/>
      </c>
      <c r="M100" s="27">
        <f>IF(I100="","",IF(ISNUMBER(I100),I100-TODAY(),"Check date"))</f>
        <v/>
      </c>
      <c r="N100" s="28">
        <f>IF(M100="","",IF(ISNUMBER(M100),IF(M100&lt;0,"Expired",IF(M100&lt;=30,"Due ≤30 days",IF(M100&lt;=90,"Due ≤90 days","OK"))),"Check date"))</f>
        <v/>
      </c>
      <c r="O100" s="24">
        <f>IF(ISNUMBER(E100),EDATE(E100,12*(IFERROR(DATEDIF(E100,TODAY(),"y"),0)+1)),"")</f>
        <v/>
      </c>
      <c r="P100" s="26" t="n"/>
      <c r="Q100" s="26" t="n"/>
      <c r="R100" s="27">
        <f>IF(LEN(A100)=0,"",MAX(0,IF(ISNUMBER(Q100),Q100,12)-N(P100)))</f>
        <v/>
      </c>
      <c r="S100" s="23" t="n"/>
      <c r="T100" s="27">
        <f>IF(S100="","",IF(ISNUMBER(S100),S100-TODAY(),"Check date"))</f>
        <v/>
      </c>
      <c r="U100" s="22" t="n"/>
      <c r="V100" s="22" t="n"/>
      <c r="W100" s="22" t="n"/>
      <c r="X100" s="22" t="n"/>
    </row>
    <row r="101">
      <c r="A101" s="22" t="n"/>
      <c r="B101" s="22" t="n"/>
      <c r="C101" s="22" t="n"/>
      <c r="D101" s="22" t="n"/>
      <c r="E101" s="23" t="n"/>
      <c r="F101" s="23" t="n"/>
      <c r="G101" s="23" t="n"/>
      <c r="H101" s="24">
        <f>IF(ISNUMBER(G101),EDATE(G101,24),"")</f>
        <v/>
      </c>
      <c r="I101" s="24">
        <f>IF(OR(AND(LEN(F101)&gt;0,ISNUMBER(F101)=FALSE),AND(LEN(G101)&gt;0,ISNUMBER(G101)=FALSE)),"Check date",IF(COUNT(F101,H101)=0,"",MIN(F101,H101)))</f>
        <v/>
      </c>
      <c r="J101" s="25">
        <f>IF(ISNUMBER(I101)=FALSE,"",IF(AND(ISNUMBER(H101),I101=H101),"24-month work rule","Registry expiry"))</f>
        <v/>
      </c>
      <c r="K101" s="26" t="n"/>
      <c r="L101" s="24">
        <f>IF(ISNUMBER(I101),I101-IF(ISNUMBER(K101),K101,30),"")</f>
        <v/>
      </c>
      <c r="M101" s="27">
        <f>IF(I101="","",IF(ISNUMBER(I101),I101-TODAY(),"Check date"))</f>
        <v/>
      </c>
      <c r="N101" s="28">
        <f>IF(M101="","",IF(ISNUMBER(M101),IF(M101&lt;0,"Expired",IF(M101&lt;=30,"Due ≤30 days",IF(M101&lt;=90,"Due ≤90 days","OK"))),"Check date"))</f>
        <v/>
      </c>
      <c r="O101" s="24">
        <f>IF(ISNUMBER(E101),EDATE(E101,12*(IFERROR(DATEDIF(E101,TODAY(),"y"),0)+1)),"")</f>
        <v/>
      </c>
      <c r="P101" s="26" t="n"/>
      <c r="Q101" s="26" t="n"/>
      <c r="R101" s="27">
        <f>IF(LEN(A101)=0,"",MAX(0,IF(ISNUMBER(Q101),Q101,12)-N(P101)))</f>
        <v/>
      </c>
      <c r="S101" s="23" t="n"/>
      <c r="T101" s="27">
        <f>IF(S101="","",IF(ISNUMBER(S101),S101-TODAY(),"Check date"))</f>
        <v/>
      </c>
      <c r="U101" s="22" t="n"/>
      <c r="V101" s="22" t="n"/>
      <c r="W101" s="22" t="n"/>
      <c r="X101" s="22" t="n"/>
    </row>
    <row r="102">
      <c r="A102" s="22" t="n"/>
      <c r="B102" s="22" t="n"/>
      <c r="C102" s="22" t="n"/>
      <c r="D102" s="22" t="n"/>
      <c r="E102" s="23" t="n"/>
      <c r="F102" s="23" t="n"/>
      <c r="G102" s="23" t="n"/>
      <c r="H102" s="24">
        <f>IF(ISNUMBER(G102),EDATE(G102,24),"")</f>
        <v/>
      </c>
      <c r="I102" s="24">
        <f>IF(OR(AND(LEN(F102)&gt;0,ISNUMBER(F102)=FALSE),AND(LEN(G102)&gt;0,ISNUMBER(G102)=FALSE)),"Check date",IF(COUNT(F102,H102)=0,"",MIN(F102,H102)))</f>
        <v/>
      </c>
      <c r="J102" s="25">
        <f>IF(ISNUMBER(I102)=FALSE,"",IF(AND(ISNUMBER(H102),I102=H102),"24-month work rule","Registry expiry"))</f>
        <v/>
      </c>
      <c r="K102" s="26" t="n"/>
      <c r="L102" s="24">
        <f>IF(ISNUMBER(I102),I102-IF(ISNUMBER(K102),K102,30),"")</f>
        <v/>
      </c>
      <c r="M102" s="27">
        <f>IF(I102="","",IF(ISNUMBER(I102),I102-TODAY(),"Check date"))</f>
        <v/>
      </c>
      <c r="N102" s="28">
        <f>IF(M102="","",IF(ISNUMBER(M102),IF(M102&lt;0,"Expired",IF(M102&lt;=30,"Due ≤30 days",IF(M102&lt;=90,"Due ≤90 days","OK"))),"Check date"))</f>
        <v/>
      </c>
      <c r="O102" s="24">
        <f>IF(ISNUMBER(E102),EDATE(E102,12*(IFERROR(DATEDIF(E102,TODAY(),"y"),0)+1)),"")</f>
        <v/>
      </c>
      <c r="P102" s="26" t="n"/>
      <c r="Q102" s="26" t="n"/>
      <c r="R102" s="27">
        <f>IF(LEN(A102)=0,"",MAX(0,IF(ISNUMBER(Q102),Q102,12)-N(P102)))</f>
        <v/>
      </c>
      <c r="S102" s="23" t="n"/>
      <c r="T102" s="27">
        <f>IF(S102="","",IF(ISNUMBER(S102),S102-TODAY(),"Check date"))</f>
        <v/>
      </c>
      <c r="U102" s="22" t="n"/>
      <c r="V102" s="22" t="n"/>
      <c r="W102" s="22" t="n"/>
      <c r="X102" s="22" t="n"/>
    </row>
    <row r="103">
      <c r="A103" s="22" t="n"/>
      <c r="B103" s="22" t="n"/>
      <c r="C103" s="22" t="n"/>
      <c r="D103" s="22" t="n"/>
      <c r="E103" s="23" t="n"/>
      <c r="F103" s="23" t="n"/>
      <c r="G103" s="23" t="n"/>
      <c r="H103" s="24">
        <f>IF(ISNUMBER(G103),EDATE(G103,24),"")</f>
        <v/>
      </c>
      <c r="I103" s="24">
        <f>IF(OR(AND(LEN(F103)&gt;0,ISNUMBER(F103)=FALSE),AND(LEN(G103)&gt;0,ISNUMBER(G103)=FALSE)),"Check date",IF(COUNT(F103,H103)=0,"",MIN(F103,H103)))</f>
        <v/>
      </c>
      <c r="J103" s="25">
        <f>IF(ISNUMBER(I103)=FALSE,"",IF(AND(ISNUMBER(H103),I103=H103),"24-month work rule","Registry expiry"))</f>
        <v/>
      </c>
      <c r="K103" s="26" t="n"/>
      <c r="L103" s="24">
        <f>IF(ISNUMBER(I103),I103-IF(ISNUMBER(K103),K103,30),"")</f>
        <v/>
      </c>
      <c r="M103" s="27">
        <f>IF(I103="","",IF(ISNUMBER(I103),I103-TODAY(),"Check date"))</f>
        <v/>
      </c>
      <c r="N103" s="28">
        <f>IF(M103="","",IF(ISNUMBER(M103),IF(M103&lt;0,"Expired",IF(M103&lt;=30,"Due ≤30 days",IF(M103&lt;=90,"Due ≤90 days","OK"))),"Check date"))</f>
        <v/>
      </c>
      <c r="O103" s="24">
        <f>IF(ISNUMBER(E103),EDATE(E103,12*(IFERROR(DATEDIF(E103,TODAY(),"y"),0)+1)),"")</f>
        <v/>
      </c>
      <c r="P103" s="26" t="n"/>
      <c r="Q103" s="26" t="n"/>
      <c r="R103" s="27">
        <f>IF(LEN(A103)=0,"",MAX(0,IF(ISNUMBER(Q103),Q103,12)-N(P103)))</f>
        <v/>
      </c>
      <c r="S103" s="23" t="n"/>
      <c r="T103" s="27">
        <f>IF(S103="","",IF(ISNUMBER(S103),S103-TODAY(),"Check date"))</f>
        <v/>
      </c>
      <c r="U103" s="22" t="n"/>
      <c r="V103" s="22" t="n"/>
      <c r="W103" s="22" t="n"/>
      <c r="X103" s="22" t="n"/>
    </row>
    <row r="104">
      <c r="A104" s="22" t="n"/>
      <c r="B104" s="22" t="n"/>
      <c r="C104" s="22" t="n"/>
      <c r="D104" s="22" t="n"/>
      <c r="E104" s="23" t="n"/>
      <c r="F104" s="23" t="n"/>
      <c r="G104" s="23" t="n"/>
      <c r="H104" s="24">
        <f>IF(ISNUMBER(G104),EDATE(G104,24),"")</f>
        <v/>
      </c>
      <c r="I104" s="24">
        <f>IF(OR(AND(LEN(F104)&gt;0,ISNUMBER(F104)=FALSE),AND(LEN(G104)&gt;0,ISNUMBER(G104)=FALSE)),"Check date",IF(COUNT(F104,H104)=0,"",MIN(F104,H104)))</f>
        <v/>
      </c>
      <c r="J104" s="25">
        <f>IF(ISNUMBER(I104)=FALSE,"",IF(AND(ISNUMBER(H104),I104=H104),"24-month work rule","Registry expiry"))</f>
        <v/>
      </c>
      <c r="K104" s="26" t="n"/>
      <c r="L104" s="24">
        <f>IF(ISNUMBER(I104),I104-IF(ISNUMBER(K104),K104,30),"")</f>
        <v/>
      </c>
      <c r="M104" s="27">
        <f>IF(I104="","",IF(ISNUMBER(I104),I104-TODAY(),"Check date"))</f>
        <v/>
      </c>
      <c r="N104" s="28">
        <f>IF(M104="","",IF(ISNUMBER(M104),IF(M104&lt;0,"Expired",IF(M104&lt;=30,"Due ≤30 days",IF(M104&lt;=90,"Due ≤90 days","OK"))),"Check date"))</f>
        <v/>
      </c>
      <c r="O104" s="24">
        <f>IF(ISNUMBER(E104),EDATE(E104,12*(IFERROR(DATEDIF(E104,TODAY(),"y"),0)+1)),"")</f>
        <v/>
      </c>
      <c r="P104" s="26" t="n"/>
      <c r="Q104" s="26" t="n"/>
      <c r="R104" s="27">
        <f>IF(LEN(A104)=0,"",MAX(0,IF(ISNUMBER(Q104),Q104,12)-N(P104)))</f>
        <v/>
      </c>
      <c r="S104" s="23" t="n"/>
      <c r="T104" s="27">
        <f>IF(S104="","",IF(ISNUMBER(S104),S104-TODAY(),"Check date"))</f>
        <v/>
      </c>
      <c r="U104" s="22" t="n"/>
      <c r="V104" s="22" t="n"/>
      <c r="W104" s="22" t="n"/>
      <c r="X104" s="22" t="n"/>
    </row>
    <row r="105">
      <c r="A105" s="22" t="n"/>
      <c r="B105" s="22" t="n"/>
      <c r="C105" s="22" t="n"/>
      <c r="D105" s="22" t="n"/>
      <c r="E105" s="23" t="n"/>
      <c r="F105" s="23" t="n"/>
      <c r="G105" s="23" t="n"/>
      <c r="H105" s="24">
        <f>IF(ISNUMBER(G105),EDATE(G105,24),"")</f>
        <v/>
      </c>
      <c r="I105" s="24">
        <f>IF(OR(AND(LEN(F105)&gt;0,ISNUMBER(F105)=FALSE),AND(LEN(G105)&gt;0,ISNUMBER(G105)=FALSE)),"Check date",IF(COUNT(F105,H105)=0,"",MIN(F105,H105)))</f>
        <v/>
      </c>
      <c r="J105" s="25">
        <f>IF(ISNUMBER(I105)=FALSE,"",IF(AND(ISNUMBER(H105),I105=H105),"24-month work rule","Registry expiry"))</f>
        <v/>
      </c>
      <c r="K105" s="26" t="n"/>
      <c r="L105" s="24">
        <f>IF(ISNUMBER(I105),I105-IF(ISNUMBER(K105),K105,30),"")</f>
        <v/>
      </c>
      <c r="M105" s="27">
        <f>IF(I105="","",IF(ISNUMBER(I105),I105-TODAY(),"Check date"))</f>
        <v/>
      </c>
      <c r="N105" s="28">
        <f>IF(M105="","",IF(ISNUMBER(M105),IF(M105&lt;0,"Expired",IF(M105&lt;=30,"Due ≤30 days",IF(M105&lt;=90,"Due ≤90 days","OK"))),"Check date"))</f>
        <v/>
      </c>
      <c r="O105" s="24">
        <f>IF(ISNUMBER(E105),EDATE(E105,12*(IFERROR(DATEDIF(E105,TODAY(),"y"),0)+1)),"")</f>
        <v/>
      </c>
      <c r="P105" s="26" t="n"/>
      <c r="Q105" s="26" t="n"/>
      <c r="R105" s="27">
        <f>IF(LEN(A105)=0,"",MAX(0,IF(ISNUMBER(Q105),Q105,12)-N(P105)))</f>
        <v/>
      </c>
      <c r="S105" s="23" t="n"/>
      <c r="T105" s="27">
        <f>IF(S105="","",IF(ISNUMBER(S105),S105-TODAY(),"Check date"))</f>
        <v/>
      </c>
      <c r="U105" s="22" t="n"/>
      <c r="V105" s="22" t="n"/>
      <c r="W105" s="22" t="n"/>
      <c r="X105" s="22" t="n"/>
    </row>
    <row r="106">
      <c r="A106" s="22" t="n"/>
      <c r="B106" s="22" t="n"/>
      <c r="C106" s="22" t="n"/>
      <c r="D106" s="22" t="n"/>
      <c r="E106" s="23" t="n"/>
      <c r="F106" s="23" t="n"/>
      <c r="G106" s="23" t="n"/>
      <c r="H106" s="24">
        <f>IF(ISNUMBER(G106),EDATE(G106,24),"")</f>
        <v/>
      </c>
      <c r="I106" s="24">
        <f>IF(OR(AND(LEN(F106)&gt;0,ISNUMBER(F106)=FALSE),AND(LEN(G106)&gt;0,ISNUMBER(G106)=FALSE)),"Check date",IF(COUNT(F106,H106)=0,"",MIN(F106,H106)))</f>
        <v/>
      </c>
      <c r="J106" s="25">
        <f>IF(ISNUMBER(I106)=FALSE,"",IF(AND(ISNUMBER(H106),I106=H106),"24-month work rule","Registry expiry"))</f>
        <v/>
      </c>
      <c r="K106" s="26" t="n"/>
      <c r="L106" s="24">
        <f>IF(ISNUMBER(I106),I106-IF(ISNUMBER(K106),K106,30),"")</f>
        <v/>
      </c>
      <c r="M106" s="27">
        <f>IF(I106="","",IF(ISNUMBER(I106),I106-TODAY(),"Check date"))</f>
        <v/>
      </c>
      <c r="N106" s="28">
        <f>IF(M106="","",IF(ISNUMBER(M106),IF(M106&lt;0,"Expired",IF(M106&lt;=30,"Due ≤30 days",IF(M106&lt;=90,"Due ≤90 days","OK"))),"Check date"))</f>
        <v/>
      </c>
      <c r="O106" s="24">
        <f>IF(ISNUMBER(E106),EDATE(E106,12*(IFERROR(DATEDIF(E106,TODAY(),"y"),0)+1)),"")</f>
        <v/>
      </c>
      <c r="P106" s="26" t="n"/>
      <c r="Q106" s="26" t="n"/>
      <c r="R106" s="27">
        <f>IF(LEN(A106)=0,"",MAX(0,IF(ISNUMBER(Q106),Q106,12)-N(P106)))</f>
        <v/>
      </c>
      <c r="S106" s="23" t="n"/>
      <c r="T106" s="27">
        <f>IF(S106="","",IF(ISNUMBER(S106),S106-TODAY(),"Check date"))</f>
        <v/>
      </c>
      <c r="U106" s="22" t="n"/>
      <c r="V106" s="22" t="n"/>
      <c r="W106" s="22" t="n"/>
      <c r="X106" s="22" t="n"/>
    </row>
    <row r="107">
      <c r="A107" s="22" t="n"/>
      <c r="B107" s="22" t="n"/>
      <c r="C107" s="22" t="n"/>
      <c r="D107" s="22" t="n"/>
      <c r="E107" s="23" t="n"/>
      <c r="F107" s="23" t="n"/>
      <c r="G107" s="23" t="n"/>
      <c r="H107" s="24">
        <f>IF(ISNUMBER(G107),EDATE(G107,24),"")</f>
        <v/>
      </c>
      <c r="I107" s="24">
        <f>IF(OR(AND(LEN(F107)&gt;0,ISNUMBER(F107)=FALSE),AND(LEN(G107)&gt;0,ISNUMBER(G107)=FALSE)),"Check date",IF(COUNT(F107,H107)=0,"",MIN(F107,H107)))</f>
        <v/>
      </c>
      <c r="J107" s="25">
        <f>IF(ISNUMBER(I107)=FALSE,"",IF(AND(ISNUMBER(H107),I107=H107),"24-month work rule","Registry expiry"))</f>
        <v/>
      </c>
      <c r="K107" s="26" t="n"/>
      <c r="L107" s="24">
        <f>IF(ISNUMBER(I107),I107-IF(ISNUMBER(K107),K107,30),"")</f>
        <v/>
      </c>
      <c r="M107" s="27">
        <f>IF(I107="","",IF(ISNUMBER(I107),I107-TODAY(),"Check date"))</f>
        <v/>
      </c>
      <c r="N107" s="28">
        <f>IF(M107="","",IF(ISNUMBER(M107),IF(M107&lt;0,"Expired",IF(M107&lt;=30,"Due ≤30 days",IF(M107&lt;=90,"Due ≤90 days","OK"))),"Check date"))</f>
        <v/>
      </c>
      <c r="O107" s="24">
        <f>IF(ISNUMBER(E107),EDATE(E107,12*(IFERROR(DATEDIF(E107,TODAY(),"y"),0)+1)),"")</f>
        <v/>
      </c>
      <c r="P107" s="26" t="n"/>
      <c r="Q107" s="26" t="n"/>
      <c r="R107" s="27">
        <f>IF(LEN(A107)=0,"",MAX(0,IF(ISNUMBER(Q107),Q107,12)-N(P107)))</f>
        <v/>
      </c>
      <c r="S107" s="23" t="n"/>
      <c r="T107" s="27">
        <f>IF(S107="","",IF(ISNUMBER(S107),S107-TODAY(),"Check date"))</f>
        <v/>
      </c>
      <c r="U107" s="22" t="n"/>
      <c r="V107" s="22" t="n"/>
      <c r="W107" s="22" t="n"/>
      <c r="X107" s="22" t="n"/>
    </row>
    <row r="108">
      <c r="A108" s="22" t="n"/>
      <c r="B108" s="22" t="n"/>
      <c r="C108" s="22" t="n"/>
      <c r="D108" s="22" t="n"/>
      <c r="E108" s="23" t="n"/>
      <c r="F108" s="23" t="n"/>
      <c r="G108" s="23" t="n"/>
      <c r="H108" s="24">
        <f>IF(ISNUMBER(G108),EDATE(G108,24),"")</f>
        <v/>
      </c>
      <c r="I108" s="24">
        <f>IF(OR(AND(LEN(F108)&gt;0,ISNUMBER(F108)=FALSE),AND(LEN(G108)&gt;0,ISNUMBER(G108)=FALSE)),"Check date",IF(COUNT(F108,H108)=0,"",MIN(F108,H108)))</f>
        <v/>
      </c>
      <c r="J108" s="25">
        <f>IF(ISNUMBER(I108)=FALSE,"",IF(AND(ISNUMBER(H108),I108=H108),"24-month work rule","Registry expiry"))</f>
        <v/>
      </c>
      <c r="K108" s="26" t="n"/>
      <c r="L108" s="24">
        <f>IF(ISNUMBER(I108),I108-IF(ISNUMBER(K108),K108,30),"")</f>
        <v/>
      </c>
      <c r="M108" s="27">
        <f>IF(I108="","",IF(ISNUMBER(I108),I108-TODAY(),"Check date"))</f>
        <v/>
      </c>
      <c r="N108" s="28">
        <f>IF(M108="","",IF(ISNUMBER(M108),IF(M108&lt;0,"Expired",IF(M108&lt;=30,"Due ≤30 days",IF(M108&lt;=90,"Due ≤90 days","OK"))),"Check date"))</f>
        <v/>
      </c>
      <c r="O108" s="24">
        <f>IF(ISNUMBER(E108),EDATE(E108,12*(IFERROR(DATEDIF(E108,TODAY(),"y"),0)+1)),"")</f>
        <v/>
      </c>
      <c r="P108" s="26" t="n"/>
      <c r="Q108" s="26" t="n"/>
      <c r="R108" s="27">
        <f>IF(LEN(A108)=0,"",MAX(0,IF(ISNUMBER(Q108),Q108,12)-N(P108)))</f>
        <v/>
      </c>
      <c r="S108" s="23" t="n"/>
      <c r="T108" s="27">
        <f>IF(S108="","",IF(ISNUMBER(S108),S108-TODAY(),"Check date"))</f>
        <v/>
      </c>
      <c r="U108" s="22" t="n"/>
      <c r="V108" s="22" t="n"/>
      <c r="W108" s="22" t="n"/>
      <c r="X108" s="22" t="n"/>
    </row>
    <row r="109">
      <c r="A109" s="22" t="n"/>
      <c r="B109" s="22" t="n"/>
      <c r="C109" s="22" t="n"/>
      <c r="D109" s="22" t="n"/>
      <c r="E109" s="23" t="n"/>
      <c r="F109" s="23" t="n"/>
      <c r="G109" s="23" t="n"/>
      <c r="H109" s="24">
        <f>IF(ISNUMBER(G109),EDATE(G109,24),"")</f>
        <v/>
      </c>
      <c r="I109" s="24">
        <f>IF(OR(AND(LEN(F109)&gt;0,ISNUMBER(F109)=FALSE),AND(LEN(G109)&gt;0,ISNUMBER(G109)=FALSE)),"Check date",IF(COUNT(F109,H109)=0,"",MIN(F109,H109)))</f>
        <v/>
      </c>
      <c r="J109" s="25">
        <f>IF(ISNUMBER(I109)=FALSE,"",IF(AND(ISNUMBER(H109),I109=H109),"24-month work rule","Registry expiry"))</f>
        <v/>
      </c>
      <c r="K109" s="26" t="n"/>
      <c r="L109" s="24">
        <f>IF(ISNUMBER(I109),I109-IF(ISNUMBER(K109),K109,30),"")</f>
        <v/>
      </c>
      <c r="M109" s="27">
        <f>IF(I109="","",IF(ISNUMBER(I109),I109-TODAY(),"Check date"))</f>
        <v/>
      </c>
      <c r="N109" s="28">
        <f>IF(M109="","",IF(ISNUMBER(M109),IF(M109&lt;0,"Expired",IF(M109&lt;=30,"Due ≤30 days",IF(M109&lt;=90,"Due ≤90 days","OK"))),"Check date"))</f>
        <v/>
      </c>
      <c r="O109" s="24">
        <f>IF(ISNUMBER(E109),EDATE(E109,12*(IFERROR(DATEDIF(E109,TODAY(),"y"),0)+1)),"")</f>
        <v/>
      </c>
      <c r="P109" s="26" t="n"/>
      <c r="Q109" s="26" t="n"/>
      <c r="R109" s="27">
        <f>IF(LEN(A109)=0,"",MAX(0,IF(ISNUMBER(Q109),Q109,12)-N(P109)))</f>
        <v/>
      </c>
      <c r="S109" s="23" t="n"/>
      <c r="T109" s="27">
        <f>IF(S109="","",IF(ISNUMBER(S109),S109-TODAY(),"Check date"))</f>
        <v/>
      </c>
      <c r="U109" s="22" t="n"/>
      <c r="V109" s="22" t="n"/>
      <c r="W109" s="22" t="n"/>
      <c r="X109" s="22" t="n"/>
    </row>
    <row r="110">
      <c r="A110" s="22" t="n"/>
      <c r="B110" s="22" t="n"/>
      <c r="C110" s="22" t="n"/>
      <c r="D110" s="22" t="n"/>
      <c r="E110" s="23" t="n"/>
      <c r="F110" s="23" t="n"/>
      <c r="G110" s="23" t="n"/>
      <c r="H110" s="24">
        <f>IF(ISNUMBER(G110),EDATE(G110,24),"")</f>
        <v/>
      </c>
      <c r="I110" s="24">
        <f>IF(OR(AND(LEN(F110)&gt;0,ISNUMBER(F110)=FALSE),AND(LEN(G110)&gt;0,ISNUMBER(G110)=FALSE)),"Check date",IF(COUNT(F110,H110)=0,"",MIN(F110,H110)))</f>
        <v/>
      </c>
      <c r="J110" s="25">
        <f>IF(ISNUMBER(I110)=FALSE,"",IF(AND(ISNUMBER(H110),I110=H110),"24-month work rule","Registry expiry"))</f>
        <v/>
      </c>
      <c r="K110" s="26" t="n"/>
      <c r="L110" s="24">
        <f>IF(ISNUMBER(I110),I110-IF(ISNUMBER(K110),K110,30),"")</f>
        <v/>
      </c>
      <c r="M110" s="27">
        <f>IF(I110="","",IF(ISNUMBER(I110),I110-TODAY(),"Check date"))</f>
        <v/>
      </c>
      <c r="N110" s="28">
        <f>IF(M110="","",IF(ISNUMBER(M110),IF(M110&lt;0,"Expired",IF(M110&lt;=30,"Due ≤30 days",IF(M110&lt;=90,"Due ≤90 days","OK"))),"Check date"))</f>
        <v/>
      </c>
      <c r="O110" s="24">
        <f>IF(ISNUMBER(E110),EDATE(E110,12*(IFERROR(DATEDIF(E110,TODAY(),"y"),0)+1)),"")</f>
        <v/>
      </c>
      <c r="P110" s="26" t="n"/>
      <c r="Q110" s="26" t="n"/>
      <c r="R110" s="27">
        <f>IF(LEN(A110)=0,"",MAX(0,IF(ISNUMBER(Q110),Q110,12)-N(P110)))</f>
        <v/>
      </c>
      <c r="S110" s="23" t="n"/>
      <c r="T110" s="27">
        <f>IF(S110="","",IF(ISNUMBER(S110),S110-TODAY(),"Check date"))</f>
        <v/>
      </c>
      <c r="U110" s="22" t="n"/>
      <c r="V110" s="22" t="n"/>
      <c r="W110" s="22" t="n"/>
      <c r="X110" s="22" t="n"/>
    </row>
    <row r="111">
      <c r="A111" s="22" t="n"/>
      <c r="B111" s="22" t="n"/>
      <c r="C111" s="22" t="n"/>
      <c r="D111" s="22" t="n"/>
      <c r="E111" s="23" t="n"/>
      <c r="F111" s="23" t="n"/>
      <c r="G111" s="23" t="n"/>
      <c r="H111" s="24">
        <f>IF(ISNUMBER(G111),EDATE(G111,24),"")</f>
        <v/>
      </c>
      <c r="I111" s="24">
        <f>IF(OR(AND(LEN(F111)&gt;0,ISNUMBER(F111)=FALSE),AND(LEN(G111)&gt;0,ISNUMBER(G111)=FALSE)),"Check date",IF(COUNT(F111,H111)=0,"",MIN(F111,H111)))</f>
        <v/>
      </c>
      <c r="J111" s="25">
        <f>IF(ISNUMBER(I111)=FALSE,"",IF(AND(ISNUMBER(H111),I111=H111),"24-month work rule","Registry expiry"))</f>
        <v/>
      </c>
      <c r="K111" s="26" t="n"/>
      <c r="L111" s="24">
        <f>IF(ISNUMBER(I111),I111-IF(ISNUMBER(K111),K111,30),"")</f>
        <v/>
      </c>
      <c r="M111" s="27">
        <f>IF(I111="","",IF(ISNUMBER(I111),I111-TODAY(),"Check date"))</f>
        <v/>
      </c>
      <c r="N111" s="28">
        <f>IF(M111="","",IF(ISNUMBER(M111),IF(M111&lt;0,"Expired",IF(M111&lt;=30,"Due ≤30 days",IF(M111&lt;=90,"Due ≤90 days","OK"))),"Check date"))</f>
        <v/>
      </c>
      <c r="O111" s="24">
        <f>IF(ISNUMBER(E111),EDATE(E111,12*(IFERROR(DATEDIF(E111,TODAY(),"y"),0)+1)),"")</f>
        <v/>
      </c>
      <c r="P111" s="26" t="n"/>
      <c r="Q111" s="26" t="n"/>
      <c r="R111" s="27">
        <f>IF(LEN(A111)=0,"",MAX(0,IF(ISNUMBER(Q111),Q111,12)-N(P111)))</f>
        <v/>
      </c>
      <c r="S111" s="23" t="n"/>
      <c r="T111" s="27">
        <f>IF(S111="","",IF(ISNUMBER(S111),S111-TODAY(),"Check date"))</f>
        <v/>
      </c>
      <c r="U111" s="22" t="n"/>
      <c r="V111" s="22" t="n"/>
      <c r="W111" s="22" t="n"/>
      <c r="X111" s="22" t="n"/>
    </row>
    <row r="112">
      <c r="A112" s="22" t="n"/>
      <c r="B112" s="22" t="n"/>
      <c r="C112" s="22" t="n"/>
      <c r="D112" s="22" t="n"/>
      <c r="E112" s="23" t="n"/>
      <c r="F112" s="23" t="n"/>
      <c r="G112" s="23" t="n"/>
      <c r="H112" s="24">
        <f>IF(ISNUMBER(G112),EDATE(G112,24),"")</f>
        <v/>
      </c>
      <c r="I112" s="24">
        <f>IF(OR(AND(LEN(F112)&gt;0,ISNUMBER(F112)=FALSE),AND(LEN(G112)&gt;0,ISNUMBER(G112)=FALSE)),"Check date",IF(COUNT(F112,H112)=0,"",MIN(F112,H112)))</f>
        <v/>
      </c>
      <c r="J112" s="25">
        <f>IF(ISNUMBER(I112)=FALSE,"",IF(AND(ISNUMBER(H112),I112=H112),"24-month work rule","Registry expiry"))</f>
        <v/>
      </c>
      <c r="K112" s="26" t="n"/>
      <c r="L112" s="24">
        <f>IF(ISNUMBER(I112),I112-IF(ISNUMBER(K112),K112,30),"")</f>
        <v/>
      </c>
      <c r="M112" s="27">
        <f>IF(I112="","",IF(ISNUMBER(I112),I112-TODAY(),"Check date"))</f>
        <v/>
      </c>
      <c r="N112" s="28">
        <f>IF(M112="","",IF(ISNUMBER(M112),IF(M112&lt;0,"Expired",IF(M112&lt;=30,"Due ≤30 days",IF(M112&lt;=90,"Due ≤90 days","OK"))),"Check date"))</f>
        <v/>
      </c>
      <c r="O112" s="24">
        <f>IF(ISNUMBER(E112),EDATE(E112,12*(IFERROR(DATEDIF(E112,TODAY(),"y"),0)+1)),"")</f>
        <v/>
      </c>
      <c r="P112" s="26" t="n"/>
      <c r="Q112" s="26" t="n"/>
      <c r="R112" s="27">
        <f>IF(LEN(A112)=0,"",MAX(0,IF(ISNUMBER(Q112),Q112,12)-N(P112)))</f>
        <v/>
      </c>
      <c r="S112" s="23" t="n"/>
      <c r="T112" s="27">
        <f>IF(S112="","",IF(ISNUMBER(S112),S112-TODAY(),"Check date"))</f>
        <v/>
      </c>
      <c r="U112" s="22" t="n"/>
      <c r="V112" s="22" t="n"/>
      <c r="W112" s="22" t="n"/>
      <c r="X112" s="22" t="n"/>
    </row>
    <row r="113">
      <c r="A113" s="22" t="n"/>
      <c r="B113" s="22" t="n"/>
      <c r="C113" s="22" t="n"/>
      <c r="D113" s="22" t="n"/>
      <c r="E113" s="23" t="n"/>
      <c r="F113" s="23" t="n"/>
      <c r="G113" s="23" t="n"/>
      <c r="H113" s="24">
        <f>IF(ISNUMBER(G113),EDATE(G113,24),"")</f>
        <v/>
      </c>
      <c r="I113" s="24">
        <f>IF(OR(AND(LEN(F113)&gt;0,ISNUMBER(F113)=FALSE),AND(LEN(G113)&gt;0,ISNUMBER(G113)=FALSE)),"Check date",IF(COUNT(F113,H113)=0,"",MIN(F113,H113)))</f>
        <v/>
      </c>
      <c r="J113" s="25">
        <f>IF(ISNUMBER(I113)=FALSE,"",IF(AND(ISNUMBER(H113),I113=H113),"24-month work rule","Registry expiry"))</f>
        <v/>
      </c>
      <c r="K113" s="26" t="n"/>
      <c r="L113" s="24">
        <f>IF(ISNUMBER(I113),I113-IF(ISNUMBER(K113),K113,30),"")</f>
        <v/>
      </c>
      <c r="M113" s="27">
        <f>IF(I113="","",IF(ISNUMBER(I113),I113-TODAY(),"Check date"))</f>
        <v/>
      </c>
      <c r="N113" s="28">
        <f>IF(M113="","",IF(ISNUMBER(M113),IF(M113&lt;0,"Expired",IF(M113&lt;=30,"Due ≤30 days",IF(M113&lt;=90,"Due ≤90 days","OK"))),"Check date"))</f>
        <v/>
      </c>
      <c r="O113" s="24">
        <f>IF(ISNUMBER(E113),EDATE(E113,12*(IFERROR(DATEDIF(E113,TODAY(),"y"),0)+1)),"")</f>
        <v/>
      </c>
      <c r="P113" s="26" t="n"/>
      <c r="Q113" s="26" t="n"/>
      <c r="R113" s="27">
        <f>IF(LEN(A113)=0,"",MAX(0,IF(ISNUMBER(Q113),Q113,12)-N(P113)))</f>
        <v/>
      </c>
      <c r="S113" s="23" t="n"/>
      <c r="T113" s="27">
        <f>IF(S113="","",IF(ISNUMBER(S113),S113-TODAY(),"Check date"))</f>
        <v/>
      </c>
      <c r="U113" s="22" t="n"/>
      <c r="V113" s="22" t="n"/>
      <c r="W113" s="22" t="n"/>
      <c r="X113" s="22" t="n"/>
    </row>
    <row r="114">
      <c r="A114" s="22" t="n"/>
      <c r="B114" s="22" t="n"/>
      <c r="C114" s="22" t="n"/>
      <c r="D114" s="22" t="n"/>
      <c r="E114" s="23" t="n"/>
      <c r="F114" s="23" t="n"/>
      <c r="G114" s="23" t="n"/>
      <c r="H114" s="24">
        <f>IF(ISNUMBER(G114),EDATE(G114,24),"")</f>
        <v/>
      </c>
      <c r="I114" s="24">
        <f>IF(OR(AND(LEN(F114)&gt;0,ISNUMBER(F114)=FALSE),AND(LEN(G114)&gt;0,ISNUMBER(G114)=FALSE)),"Check date",IF(COUNT(F114,H114)=0,"",MIN(F114,H114)))</f>
        <v/>
      </c>
      <c r="J114" s="25">
        <f>IF(ISNUMBER(I114)=FALSE,"",IF(AND(ISNUMBER(H114),I114=H114),"24-month work rule","Registry expiry"))</f>
        <v/>
      </c>
      <c r="K114" s="26" t="n"/>
      <c r="L114" s="24">
        <f>IF(ISNUMBER(I114),I114-IF(ISNUMBER(K114),K114,30),"")</f>
        <v/>
      </c>
      <c r="M114" s="27">
        <f>IF(I114="","",IF(ISNUMBER(I114),I114-TODAY(),"Check date"))</f>
        <v/>
      </c>
      <c r="N114" s="28">
        <f>IF(M114="","",IF(ISNUMBER(M114),IF(M114&lt;0,"Expired",IF(M114&lt;=30,"Due ≤30 days",IF(M114&lt;=90,"Due ≤90 days","OK"))),"Check date"))</f>
        <v/>
      </c>
      <c r="O114" s="24">
        <f>IF(ISNUMBER(E114),EDATE(E114,12*(IFERROR(DATEDIF(E114,TODAY(),"y"),0)+1)),"")</f>
        <v/>
      </c>
      <c r="P114" s="26" t="n"/>
      <c r="Q114" s="26" t="n"/>
      <c r="R114" s="27">
        <f>IF(LEN(A114)=0,"",MAX(0,IF(ISNUMBER(Q114),Q114,12)-N(P114)))</f>
        <v/>
      </c>
      <c r="S114" s="23" t="n"/>
      <c r="T114" s="27">
        <f>IF(S114="","",IF(ISNUMBER(S114),S114-TODAY(),"Check date"))</f>
        <v/>
      </c>
      <c r="U114" s="22" t="n"/>
      <c r="V114" s="22" t="n"/>
      <c r="W114" s="22" t="n"/>
      <c r="X114" s="22" t="n"/>
    </row>
    <row r="115">
      <c r="A115" s="22" t="n"/>
      <c r="B115" s="22" t="n"/>
      <c r="C115" s="22" t="n"/>
      <c r="D115" s="22" t="n"/>
      <c r="E115" s="23" t="n"/>
      <c r="F115" s="23" t="n"/>
      <c r="G115" s="23" t="n"/>
      <c r="H115" s="24">
        <f>IF(ISNUMBER(G115),EDATE(G115,24),"")</f>
        <v/>
      </c>
      <c r="I115" s="24">
        <f>IF(OR(AND(LEN(F115)&gt;0,ISNUMBER(F115)=FALSE),AND(LEN(G115)&gt;0,ISNUMBER(G115)=FALSE)),"Check date",IF(COUNT(F115,H115)=0,"",MIN(F115,H115)))</f>
        <v/>
      </c>
      <c r="J115" s="25">
        <f>IF(ISNUMBER(I115)=FALSE,"",IF(AND(ISNUMBER(H115),I115=H115),"24-month work rule","Registry expiry"))</f>
        <v/>
      </c>
      <c r="K115" s="26" t="n"/>
      <c r="L115" s="24">
        <f>IF(ISNUMBER(I115),I115-IF(ISNUMBER(K115),K115,30),"")</f>
        <v/>
      </c>
      <c r="M115" s="27">
        <f>IF(I115="","",IF(ISNUMBER(I115),I115-TODAY(),"Check date"))</f>
        <v/>
      </c>
      <c r="N115" s="28">
        <f>IF(M115="","",IF(ISNUMBER(M115),IF(M115&lt;0,"Expired",IF(M115&lt;=30,"Due ≤30 days",IF(M115&lt;=90,"Due ≤90 days","OK"))),"Check date"))</f>
        <v/>
      </c>
      <c r="O115" s="24">
        <f>IF(ISNUMBER(E115),EDATE(E115,12*(IFERROR(DATEDIF(E115,TODAY(),"y"),0)+1)),"")</f>
        <v/>
      </c>
      <c r="P115" s="26" t="n"/>
      <c r="Q115" s="26" t="n"/>
      <c r="R115" s="27">
        <f>IF(LEN(A115)=0,"",MAX(0,IF(ISNUMBER(Q115),Q115,12)-N(P115)))</f>
        <v/>
      </c>
      <c r="S115" s="23" t="n"/>
      <c r="T115" s="27">
        <f>IF(S115="","",IF(ISNUMBER(S115),S115-TODAY(),"Check date"))</f>
        <v/>
      </c>
      <c r="U115" s="22" t="n"/>
      <c r="V115" s="22" t="n"/>
      <c r="W115" s="22" t="n"/>
      <c r="X115" s="22" t="n"/>
    </row>
    <row r="116">
      <c r="A116" s="22" t="n"/>
      <c r="B116" s="22" t="n"/>
      <c r="C116" s="22" t="n"/>
      <c r="D116" s="22" t="n"/>
      <c r="E116" s="23" t="n"/>
      <c r="F116" s="23" t="n"/>
      <c r="G116" s="23" t="n"/>
      <c r="H116" s="24">
        <f>IF(ISNUMBER(G116),EDATE(G116,24),"")</f>
        <v/>
      </c>
      <c r="I116" s="24">
        <f>IF(OR(AND(LEN(F116)&gt;0,ISNUMBER(F116)=FALSE),AND(LEN(G116)&gt;0,ISNUMBER(G116)=FALSE)),"Check date",IF(COUNT(F116,H116)=0,"",MIN(F116,H116)))</f>
        <v/>
      </c>
      <c r="J116" s="25">
        <f>IF(ISNUMBER(I116)=FALSE,"",IF(AND(ISNUMBER(H116),I116=H116),"24-month work rule","Registry expiry"))</f>
        <v/>
      </c>
      <c r="K116" s="26" t="n"/>
      <c r="L116" s="24">
        <f>IF(ISNUMBER(I116),I116-IF(ISNUMBER(K116),K116,30),"")</f>
        <v/>
      </c>
      <c r="M116" s="27">
        <f>IF(I116="","",IF(ISNUMBER(I116),I116-TODAY(),"Check date"))</f>
        <v/>
      </c>
      <c r="N116" s="28">
        <f>IF(M116="","",IF(ISNUMBER(M116),IF(M116&lt;0,"Expired",IF(M116&lt;=30,"Due ≤30 days",IF(M116&lt;=90,"Due ≤90 days","OK"))),"Check date"))</f>
        <v/>
      </c>
      <c r="O116" s="24">
        <f>IF(ISNUMBER(E116),EDATE(E116,12*(IFERROR(DATEDIF(E116,TODAY(),"y"),0)+1)),"")</f>
        <v/>
      </c>
      <c r="P116" s="26" t="n"/>
      <c r="Q116" s="26" t="n"/>
      <c r="R116" s="27">
        <f>IF(LEN(A116)=0,"",MAX(0,IF(ISNUMBER(Q116),Q116,12)-N(P116)))</f>
        <v/>
      </c>
      <c r="S116" s="23" t="n"/>
      <c r="T116" s="27">
        <f>IF(S116="","",IF(ISNUMBER(S116),S116-TODAY(),"Check date"))</f>
        <v/>
      </c>
      <c r="U116" s="22" t="n"/>
      <c r="V116" s="22" t="n"/>
      <c r="W116" s="22" t="n"/>
      <c r="X116" s="22" t="n"/>
    </row>
    <row r="117">
      <c r="A117" s="22" t="n"/>
      <c r="B117" s="22" t="n"/>
      <c r="C117" s="22" t="n"/>
      <c r="D117" s="22" t="n"/>
      <c r="E117" s="23" t="n"/>
      <c r="F117" s="23" t="n"/>
      <c r="G117" s="23" t="n"/>
      <c r="H117" s="24">
        <f>IF(ISNUMBER(G117),EDATE(G117,24),"")</f>
        <v/>
      </c>
      <c r="I117" s="24">
        <f>IF(OR(AND(LEN(F117)&gt;0,ISNUMBER(F117)=FALSE),AND(LEN(G117)&gt;0,ISNUMBER(G117)=FALSE)),"Check date",IF(COUNT(F117,H117)=0,"",MIN(F117,H117)))</f>
        <v/>
      </c>
      <c r="J117" s="25">
        <f>IF(ISNUMBER(I117)=FALSE,"",IF(AND(ISNUMBER(H117),I117=H117),"24-month work rule","Registry expiry"))</f>
        <v/>
      </c>
      <c r="K117" s="26" t="n"/>
      <c r="L117" s="24">
        <f>IF(ISNUMBER(I117),I117-IF(ISNUMBER(K117),K117,30),"")</f>
        <v/>
      </c>
      <c r="M117" s="27">
        <f>IF(I117="","",IF(ISNUMBER(I117),I117-TODAY(),"Check date"))</f>
        <v/>
      </c>
      <c r="N117" s="28">
        <f>IF(M117="","",IF(ISNUMBER(M117),IF(M117&lt;0,"Expired",IF(M117&lt;=30,"Due ≤30 days",IF(M117&lt;=90,"Due ≤90 days","OK"))),"Check date"))</f>
        <v/>
      </c>
      <c r="O117" s="24">
        <f>IF(ISNUMBER(E117),EDATE(E117,12*(IFERROR(DATEDIF(E117,TODAY(),"y"),0)+1)),"")</f>
        <v/>
      </c>
      <c r="P117" s="26" t="n"/>
      <c r="Q117" s="26" t="n"/>
      <c r="R117" s="27">
        <f>IF(LEN(A117)=0,"",MAX(0,IF(ISNUMBER(Q117),Q117,12)-N(P117)))</f>
        <v/>
      </c>
      <c r="S117" s="23" t="n"/>
      <c r="T117" s="27">
        <f>IF(S117="","",IF(ISNUMBER(S117),S117-TODAY(),"Check date"))</f>
        <v/>
      </c>
      <c r="U117" s="22" t="n"/>
      <c r="V117" s="22" t="n"/>
      <c r="W117" s="22" t="n"/>
      <c r="X117" s="22" t="n"/>
    </row>
    <row r="118">
      <c r="A118" s="22" t="n"/>
      <c r="B118" s="22" t="n"/>
      <c r="C118" s="22" t="n"/>
      <c r="D118" s="22" t="n"/>
      <c r="E118" s="23" t="n"/>
      <c r="F118" s="23" t="n"/>
      <c r="G118" s="23" t="n"/>
      <c r="H118" s="24">
        <f>IF(ISNUMBER(G118),EDATE(G118,24),"")</f>
        <v/>
      </c>
      <c r="I118" s="24">
        <f>IF(OR(AND(LEN(F118)&gt;0,ISNUMBER(F118)=FALSE),AND(LEN(G118)&gt;0,ISNUMBER(G118)=FALSE)),"Check date",IF(COUNT(F118,H118)=0,"",MIN(F118,H118)))</f>
        <v/>
      </c>
      <c r="J118" s="25">
        <f>IF(ISNUMBER(I118)=FALSE,"",IF(AND(ISNUMBER(H118),I118=H118),"24-month work rule","Registry expiry"))</f>
        <v/>
      </c>
      <c r="K118" s="26" t="n"/>
      <c r="L118" s="24">
        <f>IF(ISNUMBER(I118),I118-IF(ISNUMBER(K118),K118,30),"")</f>
        <v/>
      </c>
      <c r="M118" s="27">
        <f>IF(I118="","",IF(ISNUMBER(I118),I118-TODAY(),"Check date"))</f>
        <v/>
      </c>
      <c r="N118" s="28">
        <f>IF(M118="","",IF(ISNUMBER(M118),IF(M118&lt;0,"Expired",IF(M118&lt;=30,"Due ≤30 days",IF(M118&lt;=90,"Due ≤90 days","OK"))),"Check date"))</f>
        <v/>
      </c>
      <c r="O118" s="24">
        <f>IF(ISNUMBER(E118),EDATE(E118,12*(IFERROR(DATEDIF(E118,TODAY(),"y"),0)+1)),"")</f>
        <v/>
      </c>
      <c r="P118" s="26" t="n"/>
      <c r="Q118" s="26" t="n"/>
      <c r="R118" s="27">
        <f>IF(LEN(A118)=0,"",MAX(0,IF(ISNUMBER(Q118),Q118,12)-N(P118)))</f>
        <v/>
      </c>
      <c r="S118" s="23" t="n"/>
      <c r="T118" s="27">
        <f>IF(S118="","",IF(ISNUMBER(S118),S118-TODAY(),"Check date"))</f>
        <v/>
      </c>
      <c r="U118" s="22" t="n"/>
      <c r="V118" s="22" t="n"/>
      <c r="W118" s="22" t="n"/>
      <c r="X118" s="22" t="n"/>
    </row>
    <row r="119">
      <c r="A119" s="22" t="n"/>
      <c r="B119" s="22" t="n"/>
      <c r="C119" s="22" t="n"/>
      <c r="D119" s="22" t="n"/>
      <c r="E119" s="23" t="n"/>
      <c r="F119" s="23" t="n"/>
      <c r="G119" s="23" t="n"/>
      <c r="H119" s="24">
        <f>IF(ISNUMBER(G119),EDATE(G119,24),"")</f>
        <v/>
      </c>
      <c r="I119" s="24">
        <f>IF(OR(AND(LEN(F119)&gt;0,ISNUMBER(F119)=FALSE),AND(LEN(G119)&gt;0,ISNUMBER(G119)=FALSE)),"Check date",IF(COUNT(F119,H119)=0,"",MIN(F119,H119)))</f>
        <v/>
      </c>
      <c r="J119" s="25">
        <f>IF(ISNUMBER(I119)=FALSE,"",IF(AND(ISNUMBER(H119),I119=H119),"24-month work rule","Registry expiry"))</f>
        <v/>
      </c>
      <c r="K119" s="26" t="n"/>
      <c r="L119" s="24">
        <f>IF(ISNUMBER(I119),I119-IF(ISNUMBER(K119),K119,30),"")</f>
        <v/>
      </c>
      <c r="M119" s="27">
        <f>IF(I119="","",IF(ISNUMBER(I119),I119-TODAY(),"Check date"))</f>
        <v/>
      </c>
      <c r="N119" s="28">
        <f>IF(M119="","",IF(ISNUMBER(M119),IF(M119&lt;0,"Expired",IF(M119&lt;=30,"Due ≤30 days",IF(M119&lt;=90,"Due ≤90 days","OK"))),"Check date"))</f>
        <v/>
      </c>
      <c r="O119" s="24">
        <f>IF(ISNUMBER(E119),EDATE(E119,12*(IFERROR(DATEDIF(E119,TODAY(),"y"),0)+1)),"")</f>
        <v/>
      </c>
      <c r="P119" s="26" t="n"/>
      <c r="Q119" s="26" t="n"/>
      <c r="R119" s="27">
        <f>IF(LEN(A119)=0,"",MAX(0,IF(ISNUMBER(Q119),Q119,12)-N(P119)))</f>
        <v/>
      </c>
      <c r="S119" s="23" t="n"/>
      <c r="T119" s="27">
        <f>IF(S119="","",IF(ISNUMBER(S119),S119-TODAY(),"Check date"))</f>
        <v/>
      </c>
      <c r="U119" s="22" t="n"/>
      <c r="V119" s="22" t="n"/>
      <c r="W119" s="22" t="n"/>
      <c r="X119" s="22" t="n"/>
    </row>
    <row r="120">
      <c r="A120" s="22" t="n"/>
      <c r="B120" s="22" t="n"/>
      <c r="C120" s="22" t="n"/>
      <c r="D120" s="22" t="n"/>
      <c r="E120" s="23" t="n"/>
      <c r="F120" s="23" t="n"/>
      <c r="G120" s="23" t="n"/>
      <c r="H120" s="24">
        <f>IF(ISNUMBER(G120),EDATE(G120,24),"")</f>
        <v/>
      </c>
      <c r="I120" s="24">
        <f>IF(OR(AND(LEN(F120)&gt;0,ISNUMBER(F120)=FALSE),AND(LEN(G120)&gt;0,ISNUMBER(G120)=FALSE)),"Check date",IF(COUNT(F120,H120)=0,"",MIN(F120,H120)))</f>
        <v/>
      </c>
      <c r="J120" s="25">
        <f>IF(ISNUMBER(I120)=FALSE,"",IF(AND(ISNUMBER(H120),I120=H120),"24-month work rule","Registry expiry"))</f>
        <v/>
      </c>
      <c r="K120" s="26" t="n"/>
      <c r="L120" s="24">
        <f>IF(ISNUMBER(I120),I120-IF(ISNUMBER(K120),K120,30),"")</f>
        <v/>
      </c>
      <c r="M120" s="27">
        <f>IF(I120="","",IF(ISNUMBER(I120),I120-TODAY(),"Check date"))</f>
        <v/>
      </c>
      <c r="N120" s="28">
        <f>IF(M120="","",IF(ISNUMBER(M120),IF(M120&lt;0,"Expired",IF(M120&lt;=30,"Due ≤30 days",IF(M120&lt;=90,"Due ≤90 days","OK"))),"Check date"))</f>
        <v/>
      </c>
      <c r="O120" s="24">
        <f>IF(ISNUMBER(E120),EDATE(E120,12*(IFERROR(DATEDIF(E120,TODAY(),"y"),0)+1)),"")</f>
        <v/>
      </c>
      <c r="P120" s="26" t="n"/>
      <c r="Q120" s="26" t="n"/>
      <c r="R120" s="27">
        <f>IF(LEN(A120)=0,"",MAX(0,IF(ISNUMBER(Q120),Q120,12)-N(P120)))</f>
        <v/>
      </c>
      <c r="S120" s="23" t="n"/>
      <c r="T120" s="27">
        <f>IF(S120="","",IF(ISNUMBER(S120),S120-TODAY(),"Check date"))</f>
        <v/>
      </c>
      <c r="U120" s="22" t="n"/>
      <c r="V120" s="22" t="n"/>
      <c r="W120" s="22" t="n"/>
      <c r="X120" s="22" t="n"/>
    </row>
    <row r="121">
      <c r="A121" s="22" t="n"/>
      <c r="B121" s="22" t="n"/>
      <c r="C121" s="22" t="n"/>
      <c r="D121" s="22" t="n"/>
      <c r="E121" s="23" t="n"/>
      <c r="F121" s="23" t="n"/>
      <c r="G121" s="23" t="n"/>
      <c r="H121" s="24">
        <f>IF(ISNUMBER(G121),EDATE(G121,24),"")</f>
        <v/>
      </c>
      <c r="I121" s="24">
        <f>IF(OR(AND(LEN(F121)&gt;0,ISNUMBER(F121)=FALSE),AND(LEN(G121)&gt;0,ISNUMBER(G121)=FALSE)),"Check date",IF(COUNT(F121,H121)=0,"",MIN(F121,H121)))</f>
        <v/>
      </c>
      <c r="J121" s="25">
        <f>IF(ISNUMBER(I121)=FALSE,"",IF(AND(ISNUMBER(H121),I121=H121),"24-month work rule","Registry expiry"))</f>
        <v/>
      </c>
      <c r="K121" s="26" t="n"/>
      <c r="L121" s="24">
        <f>IF(ISNUMBER(I121),I121-IF(ISNUMBER(K121),K121,30),"")</f>
        <v/>
      </c>
      <c r="M121" s="27">
        <f>IF(I121="","",IF(ISNUMBER(I121),I121-TODAY(),"Check date"))</f>
        <v/>
      </c>
      <c r="N121" s="28">
        <f>IF(M121="","",IF(ISNUMBER(M121),IF(M121&lt;0,"Expired",IF(M121&lt;=30,"Due ≤30 days",IF(M121&lt;=90,"Due ≤90 days","OK"))),"Check date"))</f>
        <v/>
      </c>
      <c r="O121" s="24">
        <f>IF(ISNUMBER(E121),EDATE(E121,12*(IFERROR(DATEDIF(E121,TODAY(),"y"),0)+1)),"")</f>
        <v/>
      </c>
      <c r="P121" s="26" t="n"/>
      <c r="Q121" s="26" t="n"/>
      <c r="R121" s="27">
        <f>IF(LEN(A121)=0,"",MAX(0,IF(ISNUMBER(Q121),Q121,12)-N(P121)))</f>
        <v/>
      </c>
      <c r="S121" s="23" t="n"/>
      <c r="T121" s="27">
        <f>IF(S121="","",IF(ISNUMBER(S121),S121-TODAY(),"Check date"))</f>
        <v/>
      </c>
      <c r="U121" s="22" t="n"/>
      <c r="V121" s="22" t="n"/>
      <c r="W121" s="22" t="n"/>
      <c r="X121" s="22" t="n"/>
    </row>
    <row r="122">
      <c r="A122" s="22" t="n"/>
      <c r="B122" s="22" t="n"/>
      <c r="C122" s="22" t="n"/>
      <c r="D122" s="22" t="n"/>
      <c r="E122" s="23" t="n"/>
      <c r="F122" s="23" t="n"/>
      <c r="G122" s="23" t="n"/>
      <c r="H122" s="24">
        <f>IF(ISNUMBER(G122),EDATE(G122,24),"")</f>
        <v/>
      </c>
      <c r="I122" s="24">
        <f>IF(OR(AND(LEN(F122)&gt;0,ISNUMBER(F122)=FALSE),AND(LEN(G122)&gt;0,ISNUMBER(G122)=FALSE)),"Check date",IF(COUNT(F122,H122)=0,"",MIN(F122,H122)))</f>
        <v/>
      </c>
      <c r="J122" s="25">
        <f>IF(ISNUMBER(I122)=FALSE,"",IF(AND(ISNUMBER(H122),I122=H122),"24-month work rule","Registry expiry"))</f>
        <v/>
      </c>
      <c r="K122" s="26" t="n"/>
      <c r="L122" s="24">
        <f>IF(ISNUMBER(I122),I122-IF(ISNUMBER(K122),K122,30),"")</f>
        <v/>
      </c>
      <c r="M122" s="27">
        <f>IF(I122="","",IF(ISNUMBER(I122),I122-TODAY(),"Check date"))</f>
        <v/>
      </c>
      <c r="N122" s="28">
        <f>IF(M122="","",IF(ISNUMBER(M122),IF(M122&lt;0,"Expired",IF(M122&lt;=30,"Due ≤30 days",IF(M122&lt;=90,"Due ≤90 days","OK"))),"Check date"))</f>
        <v/>
      </c>
      <c r="O122" s="24">
        <f>IF(ISNUMBER(E122),EDATE(E122,12*(IFERROR(DATEDIF(E122,TODAY(),"y"),0)+1)),"")</f>
        <v/>
      </c>
      <c r="P122" s="26" t="n"/>
      <c r="Q122" s="26" t="n"/>
      <c r="R122" s="27">
        <f>IF(LEN(A122)=0,"",MAX(0,IF(ISNUMBER(Q122),Q122,12)-N(P122)))</f>
        <v/>
      </c>
      <c r="S122" s="23" t="n"/>
      <c r="T122" s="27">
        <f>IF(S122="","",IF(ISNUMBER(S122),S122-TODAY(),"Check date"))</f>
        <v/>
      </c>
      <c r="U122" s="22" t="n"/>
      <c r="V122" s="22" t="n"/>
      <c r="W122" s="22" t="n"/>
      <c r="X122" s="22" t="n"/>
    </row>
    <row r="123">
      <c r="A123" s="22" t="n"/>
      <c r="B123" s="22" t="n"/>
      <c r="C123" s="22" t="n"/>
      <c r="D123" s="22" t="n"/>
      <c r="E123" s="23" t="n"/>
      <c r="F123" s="23" t="n"/>
      <c r="G123" s="23" t="n"/>
      <c r="H123" s="24">
        <f>IF(ISNUMBER(G123),EDATE(G123,24),"")</f>
        <v/>
      </c>
      <c r="I123" s="24">
        <f>IF(OR(AND(LEN(F123)&gt;0,ISNUMBER(F123)=FALSE),AND(LEN(G123)&gt;0,ISNUMBER(G123)=FALSE)),"Check date",IF(COUNT(F123,H123)=0,"",MIN(F123,H123)))</f>
        <v/>
      </c>
      <c r="J123" s="25">
        <f>IF(ISNUMBER(I123)=FALSE,"",IF(AND(ISNUMBER(H123),I123=H123),"24-month work rule","Registry expiry"))</f>
        <v/>
      </c>
      <c r="K123" s="26" t="n"/>
      <c r="L123" s="24">
        <f>IF(ISNUMBER(I123),I123-IF(ISNUMBER(K123),K123,30),"")</f>
        <v/>
      </c>
      <c r="M123" s="27">
        <f>IF(I123="","",IF(ISNUMBER(I123),I123-TODAY(),"Check date"))</f>
        <v/>
      </c>
      <c r="N123" s="28">
        <f>IF(M123="","",IF(ISNUMBER(M123),IF(M123&lt;0,"Expired",IF(M123&lt;=30,"Due ≤30 days",IF(M123&lt;=90,"Due ≤90 days","OK"))),"Check date"))</f>
        <v/>
      </c>
      <c r="O123" s="24">
        <f>IF(ISNUMBER(E123),EDATE(E123,12*(IFERROR(DATEDIF(E123,TODAY(),"y"),0)+1)),"")</f>
        <v/>
      </c>
      <c r="P123" s="26" t="n"/>
      <c r="Q123" s="26" t="n"/>
      <c r="R123" s="27">
        <f>IF(LEN(A123)=0,"",MAX(0,IF(ISNUMBER(Q123),Q123,12)-N(P123)))</f>
        <v/>
      </c>
      <c r="S123" s="23" t="n"/>
      <c r="T123" s="27">
        <f>IF(S123="","",IF(ISNUMBER(S123),S123-TODAY(),"Check date"))</f>
        <v/>
      </c>
      <c r="U123" s="22" t="n"/>
      <c r="V123" s="22" t="n"/>
      <c r="W123" s="22" t="n"/>
      <c r="X123" s="22" t="n"/>
    </row>
    <row r="124">
      <c r="A124" s="22" t="n"/>
      <c r="B124" s="22" t="n"/>
      <c r="C124" s="22" t="n"/>
      <c r="D124" s="22" t="n"/>
      <c r="E124" s="23" t="n"/>
      <c r="F124" s="23" t="n"/>
      <c r="G124" s="23" t="n"/>
      <c r="H124" s="24">
        <f>IF(ISNUMBER(G124),EDATE(G124,24),"")</f>
        <v/>
      </c>
      <c r="I124" s="24">
        <f>IF(OR(AND(LEN(F124)&gt;0,ISNUMBER(F124)=FALSE),AND(LEN(G124)&gt;0,ISNUMBER(G124)=FALSE)),"Check date",IF(COUNT(F124,H124)=0,"",MIN(F124,H124)))</f>
        <v/>
      </c>
      <c r="J124" s="25">
        <f>IF(ISNUMBER(I124)=FALSE,"",IF(AND(ISNUMBER(H124),I124=H124),"24-month work rule","Registry expiry"))</f>
        <v/>
      </c>
      <c r="K124" s="26" t="n"/>
      <c r="L124" s="24">
        <f>IF(ISNUMBER(I124),I124-IF(ISNUMBER(K124),K124,30),"")</f>
        <v/>
      </c>
      <c r="M124" s="27">
        <f>IF(I124="","",IF(ISNUMBER(I124),I124-TODAY(),"Check date"))</f>
        <v/>
      </c>
      <c r="N124" s="28">
        <f>IF(M124="","",IF(ISNUMBER(M124),IF(M124&lt;0,"Expired",IF(M124&lt;=30,"Due ≤30 days",IF(M124&lt;=90,"Due ≤90 days","OK"))),"Check date"))</f>
        <v/>
      </c>
      <c r="O124" s="24">
        <f>IF(ISNUMBER(E124),EDATE(E124,12*(IFERROR(DATEDIF(E124,TODAY(),"y"),0)+1)),"")</f>
        <v/>
      </c>
      <c r="P124" s="26" t="n"/>
      <c r="Q124" s="26" t="n"/>
      <c r="R124" s="27">
        <f>IF(LEN(A124)=0,"",MAX(0,IF(ISNUMBER(Q124),Q124,12)-N(P124)))</f>
        <v/>
      </c>
      <c r="S124" s="23" t="n"/>
      <c r="T124" s="27">
        <f>IF(S124="","",IF(ISNUMBER(S124),S124-TODAY(),"Check date"))</f>
        <v/>
      </c>
      <c r="U124" s="22" t="n"/>
      <c r="V124" s="22" t="n"/>
      <c r="W124" s="22" t="n"/>
      <c r="X124" s="22" t="n"/>
    </row>
    <row r="125">
      <c r="A125" s="22" t="n"/>
      <c r="B125" s="22" t="n"/>
      <c r="C125" s="22" t="n"/>
      <c r="D125" s="22" t="n"/>
      <c r="E125" s="23" t="n"/>
      <c r="F125" s="23" t="n"/>
      <c r="G125" s="23" t="n"/>
      <c r="H125" s="24">
        <f>IF(ISNUMBER(G125),EDATE(G125,24),"")</f>
        <v/>
      </c>
      <c r="I125" s="24">
        <f>IF(OR(AND(LEN(F125)&gt;0,ISNUMBER(F125)=FALSE),AND(LEN(G125)&gt;0,ISNUMBER(G125)=FALSE)),"Check date",IF(COUNT(F125,H125)=0,"",MIN(F125,H125)))</f>
        <v/>
      </c>
      <c r="J125" s="25">
        <f>IF(ISNUMBER(I125)=FALSE,"",IF(AND(ISNUMBER(H125),I125=H125),"24-month work rule","Registry expiry"))</f>
        <v/>
      </c>
      <c r="K125" s="26" t="n"/>
      <c r="L125" s="24">
        <f>IF(ISNUMBER(I125),I125-IF(ISNUMBER(K125),K125,30),"")</f>
        <v/>
      </c>
      <c r="M125" s="27">
        <f>IF(I125="","",IF(ISNUMBER(I125),I125-TODAY(),"Check date"))</f>
        <v/>
      </c>
      <c r="N125" s="28">
        <f>IF(M125="","",IF(ISNUMBER(M125),IF(M125&lt;0,"Expired",IF(M125&lt;=30,"Due ≤30 days",IF(M125&lt;=90,"Due ≤90 days","OK"))),"Check date"))</f>
        <v/>
      </c>
      <c r="O125" s="24">
        <f>IF(ISNUMBER(E125),EDATE(E125,12*(IFERROR(DATEDIF(E125,TODAY(),"y"),0)+1)),"")</f>
        <v/>
      </c>
      <c r="P125" s="26" t="n"/>
      <c r="Q125" s="26" t="n"/>
      <c r="R125" s="27">
        <f>IF(LEN(A125)=0,"",MAX(0,IF(ISNUMBER(Q125),Q125,12)-N(P125)))</f>
        <v/>
      </c>
      <c r="S125" s="23" t="n"/>
      <c r="T125" s="27">
        <f>IF(S125="","",IF(ISNUMBER(S125),S125-TODAY(),"Check date"))</f>
        <v/>
      </c>
      <c r="U125" s="22" t="n"/>
      <c r="V125" s="22" t="n"/>
      <c r="W125" s="22" t="n"/>
      <c r="X125" s="22" t="n"/>
    </row>
    <row r="126">
      <c r="A126" s="22" t="n"/>
      <c r="B126" s="22" t="n"/>
      <c r="C126" s="22" t="n"/>
      <c r="D126" s="22" t="n"/>
      <c r="E126" s="23" t="n"/>
      <c r="F126" s="23" t="n"/>
      <c r="G126" s="23" t="n"/>
      <c r="H126" s="24">
        <f>IF(ISNUMBER(G126),EDATE(G126,24),"")</f>
        <v/>
      </c>
      <c r="I126" s="24">
        <f>IF(OR(AND(LEN(F126)&gt;0,ISNUMBER(F126)=FALSE),AND(LEN(G126)&gt;0,ISNUMBER(G126)=FALSE)),"Check date",IF(COUNT(F126,H126)=0,"",MIN(F126,H126)))</f>
        <v/>
      </c>
      <c r="J126" s="25">
        <f>IF(ISNUMBER(I126)=FALSE,"",IF(AND(ISNUMBER(H126),I126=H126),"24-month work rule","Registry expiry"))</f>
        <v/>
      </c>
      <c r="K126" s="26" t="n"/>
      <c r="L126" s="24">
        <f>IF(ISNUMBER(I126),I126-IF(ISNUMBER(K126),K126,30),"")</f>
        <v/>
      </c>
      <c r="M126" s="27">
        <f>IF(I126="","",IF(ISNUMBER(I126),I126-TODAY(),"Check date"))</f>
        <v/>
      </c>
      <c r="N126" s="28">
        <f>IF(M126="","",IF(ISNUMBER(M126),IF(M126&lt;0,"Expired",IF(M126&lt;=30,"Due ≤30 days",IF(M126&lt;=90,"Due ≤90 days","OK"))),"Check date"))</f>
        <v/>
      </c>
      <c r="O126" s="24">
        <f>IF(ISNUMBER(E126),EDATE(E126,12*(IFERROR(DATEDIF(E126,TODAY(),"y"),0)+1)),"")</f>
        <v/>
      </c>
      <c r="P126" s="26" t="n"/>
      <c r="Q126" s="26" t="n"/>
      <c r="R126" s="27">
        <f>IF(LEN(A126)=0,"",MAX(0,IF(ISNUMBER(Q126),Q126,12)-N(P126)))</f>
        <v/>
      </c>
      <c r="S126" s="23" t="n"/>
      <c r="T126" s="27">
        <f>IF(S126="","",IF(ISNUMBER(S126),S126-TODAY(),"Check date"))</f>
        <v/>
      </c>
      <c r="U126" s="22" t="n"/>
      <c r="V126" s="22" t="n"/>
      <c r="W126" s="22" t="n"/>
      <c r="X126" s="22" t="n"/>
    </row>
    <row r="127">
      <c r="A127" s="22" t="n"/>
      <c r="B127" s="22" t="n"/>
      <c r="C127" s="22" t="n"/>
      <c r="D127" s="22" t="n"/>
      <c r="E127" s="23" t="n"/>
      <c r="F127" s="23" t="n"/>
      <c r="G127" s="23" t="n"/>
      <c r="H127" s="24">
        <f>IF(ISNUMBER(G127),EDATE(G127,24),"")</f>
        <v/>
      </c>
      <c r="I127" s="24">
        <f>IF(OR(AND(LEN(F127)&gt;0,ISNUMBER(F127)=FALSE),AND(LEN(G127)&gt;0,ISNUMBER(G127)=FALSE)),"Check date",IF(COUNT(F127,H127)=0,"",MIN(F127,H127)))</f>
        <v/>
      </c>
      <c r="J127" s="25">
        <f>IF(ISNUMBER(I127)=FALSE,"",IF(AND(ISNUMBER(H127),I127=H127),"24-month work rule","Registry expiry"))</f>
        <v/>
      </c>
      <c r="K127" s="26" t="n"/>
      <c r="L127" s="24">
        <f>IF(ISNUMBER(I127),I127-IF(ISNUMBER(K127),K127,30),"")</f>
        <v/>
      </c>
      <c r="M127" s="27">
        <f>IF(I127="","",IF(ISNUMBER(I127),I127-TODAY(),"Check date"))</f>
        <v/>
      </c>
      <c r="N127" s="28">
        <f>IF(M127="","",IF(ISNUMBER(M127),IF(M127&lt;0,"Expired",IF(M127&lt;=30,"Due ≤30 days",IF(M127&lt;=90,"Due ≤90 days","OK"))),"Check date"))</f>
        <v/>
      </c>
      <c r="O127" s="24">
        <f>IF(ISNUMBER(E127),EDATE(E127,12*(IFERROR(DATEDIF(E127,TODAY(),"y"),0)+1)),"")</f>
        <v/>
      </c>
      <c r="P127" s="26" t="n"/>
      <c r="Q127" s="26" t="n"/>
      <c r="R127" s="27">
        <f>IF(LEN(A127)=0,"",MAX(0,IF(ISNUMBER(Q127),Q127,12)-N(P127)))</f>
        <v/>
      </c>
      <c r="S127" s="23" t="n"/>
      <c r="T127" s="27">
        <f>IF(S127="","",IF(ISNUMBER(S127),S127-TODAY(),"Check date"))</f>
        <v/>
      </c>
      <c r="U127" s="22" t="n"/>
      <c r="V127" s="22" t="n"/>
      <c r="W127" s="22" t="n"/>
      <c r="X127" s="22" t="n"/>
    </row>
    <row r="128">
      <c r="A128" s="22" t="n"/>
      <c r="B128" s="22" t="n"/>
      <c r="C128" s="22" t="n"/>
      <c r="D128" s="22" t="n"/>
      <c r="E128" s="23" t="n"/>
      <c r="F128" s="23" t="n"/>
      <c r="G128" s="23" t="n"/>
      <c r="H128" s="24">
        <f>IF(ISNUMBER(G128),EDATE(G128,24),"")</f>
        <v/>
      </c>
      <c r="I128" s="24">
        <f>IF(OR(AND(LEN(F128)&gt;0,ISNUMBER(F128)=FALSE),AND(LEN(G128)&gt;0,ISNUMBER(G128)=FALSE)),"Check date",IF(COUNT(F128,H128)=0,"",MIN(F128,H128)))</f>
        <v/>
      </c>
      <c r="J128" s="25">
        <f>IF(ISNUMBER(I128)=FALSE,"",IF(AND(ISNUMBER(H128),I128=H128),"24-month work rule","Registry expiry"))</f>
        <v/>
      </c>
      <c r="K128" s="26" t="n"/>
      <c r="L128" s="24">
        <f>IF(ISNUMBER(I128),I128-IF(ISNUMBER(K128),K128,30),"")</f>
        <v/>
      </c>
      <c r="M128" s="27">
        <f>IF(I128="","",IF(ISNUMBER(I128),I128-TODAY(),"Check date"))</f>
        <v/>
      </c>
      <c r="N128" s="28">
        <f>IF(M128="","",IF(ISNUMBER(M128),IF(M128&lt;0,"Expired",IF(M128&lt;=30,"Due ≤30 days",IF(M128&lt;=90,"Due ≤90 days","OK"))),"Check date"))</f>
        <v/>
      </c>
      <c r="O128" s="24">
        <f>IF(ISNUMBER(E128),EDATE(E128,12*(IFERROR(DATEDIF(E128,TODAY(),"y"),0)+1)),"")</f>
        <v/>
      </c>
      <c r="P128" s="26" t="n"/>
      <c r="Q128" s="26" t="n"/>
      <c r="R128" s="27">
        <f>IF(LEN(A128)=0,"",MAX(0,IF(ISNUMBER(Q128),Q128,12)-N(P128)))</f>
        <v/>
      </c>
      <c r="S128" s="23" t="n"/>
      <c r="T128" s="27">
        <f>IF(S128="","",IF(ISNUMBER(S128),S128-TODAY(),"Check date"))</f>
        <v/>
      </c>
      <c r="U128" s="22" t="n"/>
      <c r="V128" s="22" t="n"/>
      <c r="W128" s="22" t="n"/>
      <c r="X128" s="22" t="n"/>
    </row>
    <row r="129">
      <c r="A129" s="22" t="n"/>
      <c r="B129" s="22" t="n"/>
      <c r="C129" s="22" t="n"/>
      <c r="D129" s="22" t="n"/>
      <c r="E129" s="23" t="n"/>
      <c r="F129" s="23" t="n"/>
      <c r="G129" s="23" t="n"/>
      <c r="H129" s="24">
        <f>IF(ISNUMBER(G129),EDATE(G129,24),"")</f>
        <v/>
      </c>
      <c r="I129" s="24">
        <f>IF(OR(AND(LEN(F129)&gt;0,ISNUMBER(F129)=FALSE),AND(LEN(G129)&gt;0,ISNUMBER(G129)=FALSE)),"Check date",IF(COUNT(F129,H129)=0,"",MIN(F129,H129)))</f>
        <v/>
      </c>
      <c r="J129" s="25">
        <f>IF(ISNUMBER(I129)=FALSE,"",IF(AND(ISNUMBER(H129),I129=H129),"24-month work rule","Registry expiry"))</f>
        <v/>
      </c>
      <c r="K129" s="26" t="n"/>
      <c r="L129" s="24">
        <f>IF(ISNUMBER(I129),I129-IF(ISNUMBER(K129),K129,30),"")</f>
        <v/>
      </c>
      <c r="M129" s="27">
        <f>IF(I129="","",IF(ISNUMBER(I129),I129-TODAY(),"Check date"))</f>
        <v/>
      </c>
      <c r="N129" s="28">
        <f>IF(M129="","",IF(ISNUMBER(M129),IF(M129&lt;0,"Expired",IF(M129&lt;=30,"Due ≤30 days",IF(M129&lt;=90,"Due ≤90 days","OK"))),"Check date"))</f>
        <v/>
      </c>
      <c r="O129" s="24">
        <f>IF(ISNUMBER(E129),EDATE(E129,12*(IFERROR(DATEDIF(E129,TODAY(),"y"),0)+1)),"")</f>
        <v/>
      </c>
      <c r="P129" s="26" t="n"/>
      <c r="Q129" s="26" t="n"/>
      <c r="R129" s="27">
        <f>IF(LEN(A129)=0,"",MAX(0,IF(ISNUMBER(Q129),Q129,12)-N(P129)))</f>
        <v/>
      </c>
      <c r="S129" s="23" t="n"/>
      <c r="T129" s="27">
        <f>IF(S129="","",IF(ISNUMBER(S129),S129-TODAY(),"Check date"))</f>
        <v/>
      </c>
      <c r="U129" s="22" t="n"/>
      <c r="V129" s="22" t="n"/>
      <c r="W129" s="22" t="n"/>
      <c r="X129" s="22" t="n"/>
    </row>
    <row r="130">
      <c r="A130" s="22" t="n"/>
      <c r="B130" s="22" t="n"/>
      <c r="C130" s="22" t="n"/>
      <c r="D130" s="22" t="n"/>
      <c r="E130" s="23" t="n"/>
      <c r="F130" s="23" t="n"/>
      <c r="G130" s="23" t="n"/>
      <c r="H130" s="24">
        <f>IF(ISNUMBER(G130),EDATE(G130,24),"")</f>
        <v/>
      </c>
      <c r="I130" s="24">
        <f>IF(OR(AND(LEN(F130)&gt;0,ISNUMBER(F130)=FALSE),AND(LEN(G130)&gt;0,ISNUMBER(G130)=FALSE)),"Check date",IF(COUNT(F130,H130)=0,"",MIN(F130,H130)))</f>
        <v/>
      </c>
      <c r="J130" s="25">
        <f>IF(ISNUMBER(I130)=FALSE,"",IF(AND(ISNUMBER(H130),I130=H130),"24-month work rule","Registry expiry"))</f>
        <v/>
      </c>
      <c r="K130" s="26" t="n"/>
      <c r="L130" s="24">
        <f>IF(ISNUMBER(I130),I130-IF(ISNUMBER(K130),K130,30),"")</f>
        <v/>
      </c>
      <c r="M130" s="27">
        <f>IF(I130="","",IF(ISNUMBER(I130),I130-TODAY(),"Check date"))</f>
        <v/>
      </c>
      <c r="N130" s="28">
        <f>IF(M130="","",IF(ISNUMBER(M130),IF(M130&lt;0,"Expired",IF(M130&lt;=30,"Due ≤30 days",IF(M130&lt;=90,"Due ≤90 days","OK"))),"Check date"))</f>
        <v/>
      </c>
      <c r="O130" s="24">
        <f>IF(ISNUMBER(E130),EDATE(E130,12*(IFERROR(DATEDIF(E130,TODAY(),"y"),0)+1)),"")</f>
        <v/>
      </c>
      <c r="P130" s="26" t="n"/>
      <c r="Q130" s="26" t="n"/>
      <c r="R130" s="27">
        <f>IF(LEN(A130)=0,"",MAX(0,IF(ISNUMBER(Q130),Q130,12)-N(P130)))</f>
        <v/>
      </c>
      <c r="S130" s="23" t="n"/>
      <c r="T130" s="27">
        <f>IF(S130="","",IF(ISNUMBER(S130),S130-TODAY(),"Check date"))</f>
        <v/>
      </c>
      <c r="U130" s="22" t="n"/>
      <c r="V130" s="22" t="n"/>
      <c r="W130" s="22" t="n"/>
      <c r="X130" s="22" t="n"/>
    </row>
    <row r="131">
      <c r="A131" s="22" t="n"/>
      <c r="B131" s="22" t="n"/>
      <c r="C131" s="22" t="n"/>
      <c r="D131" s="22" t="n"/>
      <c r="E131" s="23" t="n"/>
      <c r="F131" s="23" t="n"/>
      <c r="G131" s="23" t="n"/>
      <c r="H131" s="24">
        <f>IF(ISNUMBER(G131),EDATE(G131,24),"")</f>
        <v/>
      </c>
      <c r="I131" s="24">
        <f>IF(OR(AND(LEN(F131)&gt;0,ISNUMBER(F131)=FALSE),AND(LEN(G131)&gt;0,ISNUMBER(G131)=FALSE)),"Check date",IF(COUNT(F131,H131)=0,"",MIN(F131,H131)))</f>
        <v/>
      </c>
      <c r="J131" s="25">
        <f>IF(ISNUMBER(I131)=FALSE,"",IF(AND(ISNUMBER(H131),I131=H131),"24-month work rule","Registry expiry"))</f>
        <v/>
      </c>
      <c r="K131" s="26" t="n"/>
      <c r="L131" s="24">
        <f>IF(ISNUMBER(I131),I131-IF(ISNUMBER(K131),K131,30),"")</f>
        <v/>
      </c>
      <c r="M131" s="27">
        <f>IF(I131="","",IF(ISNUMBER(I131),I131-TODAY(),"Check date"))</f>
        <v/>
      </c>
      <c r="N131" s="28">
        <f>IF(M131="","",IF(ISNUMBER(M131),IF(M131&lt;0,"Expired",IF(M131&lt;=30,"Due ≤30 days",IF(M131&lt;=90,"Due ≤90 days","OK"))),"Check date"))</f>
        <v/>
      </c>
      <c r="O131" s="24">
        <f>IF(ISNUMBER(E131),EDATE(E131,12*(IFERROR(DATEDIF(E131,TODAY(),"y"),0)+1)),"")</f>
        <v/>
      </c>
      <c r="P131" s="26" t="n"/>
      <c r="Q131" s="26" t="n"/>
      <c r="R131" s="27">
        <f>IF(LEN(A131)=0,"",MAX(0,IF(ISNUMBER(Q131),Q131,12)-N(P131)))</f>
        <v/>
      </c>
      <c r="S131" s="23" t="n"/>
      <c r="T131" s="27">
        <f>IF(S131="","",IF(ISNUMBER(S131),S131-TODAY(),"Check date"))</f>
        <v/>
      </c>
      <c r="U131" s="22" t="n"/>
      <c r="V131" s="22" t="n"/>
      <c r="W131" s="22" t="n"/>
      <c r="X131" s="22" t="n"/>
    </row>
    <row r="132">
      <c r="A132" s="22" t="n"/>
      <c r="B132" s="22" t="n"/>
      <c r="C132" s="22" t="n"/>
      <c r="D132" s="22" t="n"/>
      <c r="E132" s="23" t="n"/>
      <c r="F132" s="23" t="n"/>
      <c r="G132" s="23" t="n"/>
      <c r="H132" s="24">
        <f>IF(ISNUMBER(G132),EDATE(G132,24),"")</f>
        <v/>
      </c>
      <c r="I132" s="24">
        <f>IF(OR(AND(LEN(F132)&gt;0,ISNUMBER(F132)=FALSE),AND(LEN(G132)&gt;0,ISNUMBER(G132)=FALSE)),"Check date",IF(COUNT(F132,H132)=0,"",MIN(F132,H132)))</f>
        <v/>
      </c>
      <c r="J132" s="25">
        <f>IF(ISNUMBER(I132)=FALSE,"",IF(AND(ISNUMBER(H132),I132=H132),"24-month work rule","Registry expiry"))</f>
        <v/>
      </c>
      <c r="K132" s="26" t="n"/>
      <c r="L132" s="24">
        <f>IF(ISNUMBER(I132),I132-IF(ISNUMBER(K132),K132,30),"")</f>
        <v/>
      </c>
      <c r="M132" s="27">
        <f>IF(I132="","",IF(ISNUMBER(I132),I132-TODAY(),"Check date"))</f>
        <v/>
      </c>
      <c r="N132" s="28">
        <f>IF(M132="","",IF(ISNUMBER(M132),IF(M132&lt;0,"Expired",IF(M132&lt;=30,"Due ≤30 days",IF(M132&lt;=90,"Due ≤90 days","OK"))),"Check date"))</f>
        <v/>
      </c>
      <c r="O132" s="24">
        <f>IF(ISNUMBER(E132),EDATE(E132,12*(IFERROR(DATEDIF(E132,TODAY(),"y"),0)+1)),"")</f>
        <v/>
      </c>
      <c r="P132" s="26" t="n"/>
      <c r="Q132" s="26" t="n"/>
      <c r="R132" s="27">
        <f>IF(LEN(A132)=0,"",MAX(0,IF(ISNUMBER(Q132),Q132,12)-N(P132)))</f>
        <v/>
      </c>
      <c r="S132" s="23" t="n"/>
      <c r="T132" s="27">
        <f>IF(S132="","",IF(ISNUMBER(S132),S132-TODAY(),"Check date"))</f>
        <v/>
      </c>
      <c r="U132" s="22" t="n"/>
      <c r="V132" s="22" t="n"/>
      <c r="W132" s="22" t="n"/>
      <c r="X132" s="22" t="n"/>
    </row>
    <row r="133">
      <c r="A133" s="22" t="n"/>
      <c r="B133" s="22" t="n"/>
      <c r="C133" s="22" t="n"/>
      <c r="D133" s="22" t="n"/>
      <c r="E133" s="23" t="n"/>
      <c r="F133" s="23" t="n"/>
      <c r="G133" s="23" t="n"/>
      <c r="H133" s="24">
        <f>IF(ISNUMBER(G133),EDATE(G133,24),"")</f>
        <v/>
      </c>
      <c r="I133" s="24">
        <f>IF(OR(AND(LEN(F133)&gt;0,ISNUMBER(F133)=FALSE),AND(LEN(G133)&gt;0,ISNUMBER(G133)=FALSE)),"Check date",IF(COUNT(F133,H133)=0,"",MIN(F133,H133)))</f>
        <v/>
      </c>
      <c r="J133" s="25">
        <f>IF(ISNUMBER(I133)=FALSE,"",IF(AND(ISNUMBER(H133),I133=H133),"24-month work rule","Registry expiry"))</f>
        <v/>
      </c>
      <c r="K133" s="26" t="n"/>
      <c r="L133" s="24">
        <f>IF(ISNUMBER(I133),I133-IF(ISNUMBER(K133),K133,30),"")</f>
        <v/>
      </c>
      <c r="M133" s="27">
        <f>IF(I133="","",IF(ISNUMBER(I133),I133-TODAY(),"Check date"))</f>
        <v/>
      </c>
      <c r="N133" s="28">
        <f>IF(M133="","",IF(ISNUMBER(M133),IF(M133&lt;0,"Expired",IF(M133&lt;=30,"Due ≤30 days",IF(M133&lt;=90,"Due ≤90 days","OK"))),"Check date"))</f>
        <v/>
      </c>
      <c r="O133" s="24">
        <f>IF(ISNUMBER(E133),EDATE(E133,12*(IFERROR(DATEDIF(E133,TODAY(),"y"),0)+1)),"")</f>
        <v/>
      </c>
      <c r="P133" s="26" t="n"/>
      <c r="Q133" s="26" t="n"/>
      <c r="R133" s="27">
        <f>IF(LEN(A133)=0,"",MAX(0,IF(ISNUMBER(Q133),Q133,12)-N(P133)))</f>
        <v/>
      </c>
      <c r="S133" s="23" t="n"/>
      <c r="T133" s="27">
        <f>IF(S133="","",IF(ISNUMBER(S133),S133-TODAY(),"Check date"))</f>
        <v/>
      </c>
      <c r="U133" s="22" t="n"/>
      <c r="V133" s="22" t="n"/>
      <c r="W133" s="22" t="n"/>
      <c r="X133" s="22" t="n"/>
    </row>
    <row r="134">
      <c r="A134" s="22" t="n"/>
      <c r="B134" s="22" t="n"/>
      <c r="C134" s="22" t="n"/>
      <c r="D134" s="22" t="n"/>
      <c r="E134" s="23" t="n"/>
      <c r="F134" s="23" t="n"/>
      <c r="G134" s="23" t="n"/>
      <c r="H134" s="24">
        <f>IF(ISNUMBER(G134),EDATE(G134,24),"")</f>
        <v/>
      </c>
      <c r="I134" s="24">
        <f>IF(OR(AND(LEN(F134)&gt;0,ISNUMBER(F134)=FALSE),AND(LEN(G134)&gt;0,ISNUMBER(G134)=FALSE)),"Check date",IF(COUNT(F134,H134)=0,"",MIN(F134,H134)))</f>
        <v/>
      </c>
      <c r="J134" s="25">
        <f>IF(ISNUMBER(I134)=FALSE,"",IF(AND(ISNUMBER(H134),I134=H134),"24-month work rule","Registry expiry"))</f>
        <v/>
      </c>
      <c r="K134" s="26" t="n"/>
      <c r="L134" s="24">
        <f>IF(ISNUMBER(I134),I134-IF(ISNUMBER(K134),K134,30),"")</f>
        <v/>
      </c>
      <c r="M134" s="27">
        <f>IF(I134="","",IF(ISNUMBER(I134),I134-TODAY(),"Check date"))</f>
        <v/>
      </c>
      <c r="N134" s="28">
        <f>IF(M134="","",IF(ISNUMBER(M134),IF(M134&lt;0,"Expired",IF(M134&lt;=30,"Due ≤30 days",IF(M134&lt;=90,"Due ≤90 days","OK"))),"Check date"))</f>
        <v/>
      </c>
      <c r="O134" s="24">
        <f>IF(ISNUMBER(E134),EDATE(E134,12*(IFERROR(DATEDIF(E134,TODAY(),"y"),0)+1)),"")</f>
        <v/>
      </c>
      <c r="P134" s="26" t="n"/>
      <c r="Q134" s="26" t="n"/>
      <c r="R134" s="27">
        <f>IF(LEN(A134)=0,"",MAX(0,IF(ISNUMBER(Q134),Q134,12)-N(P134)))</f>
        <v/>
      </c>
      <c r="S134" s="23" t="n"/>
      <c r="T134" s="27">
        <f>IF(S134="","",IF(ISNUMBER(S134),S134-TODAY(),"Check date"))</f>
        <v/>
      </c>
      <c r="U134" s="22" t="n"/>
      <c r="V134" s="22" t="n"/>
      <c r="W134" s="22" t="n"/>
      <c r="X134" s="22" t="n"/>
    </row>
    <row r="135">
      <c r="A135" s="22" t="n"/>
      <c r="B135" s="22" t="n"/>
      <c r="C135" s="22" t="n"/>
      <c r="D135" s="22" t="n"/>
      <c r="E135" s="23" t="n"/>
      <c r="F135" s="23" t="n"/>
      <c r="G135" s="23" t="n"/>
      <c r="H135" s="24">
        <f>IF(ISNUMBER(G135),EDATE(G135,24),"")</f>
        <v/>
      </c>
      <c r="I135" s="24">
        <f>IF(OR(AND(LEN(F135)&gt;0,ISNUMBER(F135)=FALSE),AND(LEN(G135)&gt;0,ISNUMBER(G135)=FALSE)),"Check date",IF(COUNT(F135,H135)=0,"",MIN(F135,H135)))</f>
        <v/>
      </c>
      <c r="J135" s="25">
        <f>IF(ISNUMBER(I135)=FALSE,"",IF(AND(ISNUMBER(H135),I135=H135),"24-month work rule","Registry expiry"))</f>
        <v/>
      </c>
      <c r="K135" s="26" t="n"/>
      <c r="L135" s="24">
        <f>IF(ISNUMBER(I135),I135-IF(ISNUMBER(K135),K135,30),"")</f>
        <v/>
      </c>
      <c r="M135" s="27">
        <f>IF(I135="","",IF(ISNUMBER(I135),I135-TODAY(),"Check date"))</f>
        <v/>
      </c>
      <c r="N135" s="28">
        <f>IF(M135="","",IF(ISNUMBER(M135),IF(M135&lt;0,"Expired",IF(M135&lt;=30,"Due ≤30 days",IF(M135&lt;=90,"Due ≤90 days","OK"))),"Check date"))</f>
        <v/>
      </c>
      <c r="O135" s="24">
        <f>IF(ISNUMBER(E135),EDATE(E135,12*(IFERROR(DATEDIF(E135,TODAY(),"y"),0)+1)),"")</f>
        <v/>
      </c>
      <c r="P135" s="26" t="n"/>
      <c r="Q135" s="26" t="n"/>
      <c r="R135" s="27">
        <f>IF(LEN(A135)=0,"",MAX(0,IF(ISNUMBER(Q135),Q135,12)-N(P135)))</f>
        <v/>
      </c>
      <c r="S135" s="23" t="n"/>
      <c r="T135" s="27">
        <f>IF(S135="","",IF(ISNUMBER(S135),S135-TODAY(),"Check date"))</f>
        <v/>
      </c>
      <c r="U135" s="22" t="n"/>
      <c r="V135" s="22" t="n"/>
      <c r="W135" s="22" t="n"/>
      <c r="X135" s="22" t="n"/>
    </row>
    <row r="136">
      <c r="A136" s="22" t="n"/>
      <c r="B136" s="22" t="n"/>
      <c r="C136" s="22" t="n"/>
      <c r="D136" s="22" t="n"/>
      <c r="E136" s="23" t="n"/>
      <c r="F136" s="23" t="n"/>
      <c r="G136" s="23" t="n"/>
      <c r="H136" s="24">
        <f>IF(ISNUMBER(G136),EDATE(G136,24),"")</f>
        <v/>
      </c>
      <c r="I136" s="24">
        <f>IF(OR(AND(LEN(F136)&gt;0,ISNUMBER(F136)=FALSE),AND(LEN(G136)&gt;0,ISNUMBER(G136)=FALSE)),"Check date",IF(COUNT(F136,H136)=0,"",MIN(F136,H136)))</f>
        <v/>
      </c>
      <c r="J136" s="25">
        <f>IF(ISNUMBER(I136)=FALSE,"",IF(AND(ISNUMBER(H136),I136=H136),"24-month work rule","Registry expiry"))</f>
        <v/>
      </c>
      <c r="K136" s="26" t="n"/>
      <c r="L136" s="24">
        <f>IF(ISNUMBER(I136),I136-IF(ISNUMBER(K136),K136,30),"")</f>
        <v/>
      </c>
      <c r="M136" s="27">
        <f>IF(I136="","",IF(ISNUMBER(I136),I136-TODAY(),"Check date"))</f>
        <v/>
      </c>
      <c r="N136" s="28">
        <f>IF(M136="","",IF(ISNUMBER(M136),IF(M136&lt;0,"Expired",IF(M136&lt;=30,"Due ≤30 days",IF(M136&lt;=90,"Due ≤90 days","OK"))),"Check date"))</f>
        <v/>
      </c>
      <c r="O136" s="24">
        <f>IF(ISNUMBER(E136),EDATE(E136,12*(IFERROR(DATEDIF(E136,TODAY(),"y"),0)+1)),"")</f>
        <v/>
      </c>
      <c r="P136" s="26" t="n"/>
      <c r="Q136" s="26" t="n"/>
      <c r="R136" s="27">
        <f>IF(LEN(A136)=0,"",MAX(0,IF(ISNUMBER(Q136),Q136,12)-N(P136)))</f>
        <v/>
      </c>
      <c r="S136" s="23" t="n"/>
      <c r="T136" s="27">
        <f>IF(S136="","",IF(ISNUMBER(S136),S136-TODAY(),"Check date"))</f>
        <v/>
      </c>
      <c r="U136" s="22" t="n"/>
      <c r="V136" s="22" t="n"/>
      <c r="W136" s="22" t="n"/>
      <c r="X136" s="22" t="n"/>
    </row>
    <row r="137">
      <c r="A137" s="22" t="n"/>
      <c r="B137" s="22" t="n"/>
      <c r="C137" s="22" t="n"/>
      <c r="D137" s="22" t="n"/>
      <c r="E137" s="23" t="n"/>
      <c r="F137" s="23" t="n"/>
      <c r="G137" s="23" t="n"/>
      <c r="H137" s="24">
        <f>IF(ISNUMBER(G137),EDATE(G137,24),"")</f>
        <v/>
      </c>
      <c r="I137" s="24">
        <f>IF(OR(AND(LEN(F137)&gt;0,ISNUMBER(F137)=FALSE),AND(LEN(G137)&gt;0,ISNUMBER(G137)=FALSE)),"Check date",IF(COUNT(F137,H137)=0,"",MIN(F137,H137)))</f>
        <v/>
      </c>
      <c r="J137" s="25">
        <f>IF(ISNUMBER(I137)=FALSE,"",IF(AND(ISNUMBER(H137),I137=H137),"24-month work rule","Registry expiry"))</f>
        <v/>
      </c>
      <c r="K137" s="26" t="n"/>
      <c r="L137" s="24">
        <f>IF(ISNUMBER(I137),I137-IF(ISNUMBER(K137),K137,30),"")</f>
        <v/>
      </c>
      <c r="M137" s="27">
        <f>IF(I137="","",IF(ISNUMBER(I137),I137-TODAY(),"Check date"))</f>
        <v/>
      </c>
      <c r="N137" s="28">
        <f>IF(M137="","",IF(ISNUMBER(M137),IF(M137&lt;0,"Expired",IF(M137&lt;=30,"Due ≤30 days",IF(M137&lt;=90,"Due ≤90 days","OK"))),"Check date"))</f>
        <v/>
      </c>
      <c r="O137" s="24">
        <f>IF(ISNUMBER(E137),EDATE(E137,12*(IFERROR(DATEDIF(E137,TODAY(),"y"),0)+1)),"")</f>
        <v/>
      </c>
      <c r="P137" s="26" t="n"/>
      <c r="Q137" s="26" t="n"/>
      <c r="R137" s="27">
        <f>IF(LEN(A137)=0,"",MAX(0,IF(ISNUMBER(Q137),Q137,12)-N(P137)))</f>
        <v/>
      </c>
      <c r="S137" s="23" t="n"/>
      <c r="T137" s="27">
        <f>IF(S137="","",IF(ISNUMBER(S137),S137-TODAY(),"Check date"))</f>
        <v/>
      </c>
      <c r="U137" s="22" t="n"/>
      <c r="V137" s="22" t="n"/>
      <c r="W137" s="22" t="n"/>
      <c r="X137" s="22" t="n"/>
    </row>
    <row r="138">
      <c r="A138" s="22" t="n"/>
      <c r="B138" s="22" t="n"/>
      <c r="C138" s="22" t="n"/>
      <c r="D138" s="22" t="n"/>
      <c r="E138" s="23" t="n"/>
      <c r="F138" s="23" t="n"/>
      <c r="G138" s="23" t="n"/>
      <c r="H138" s="24">
        <f>IF(ISNUMBER(G138),EDATE(G138,24),"")</f>
        <v/>
      </c>
      <c r="I138" s="24">
        <f>IF(OR(AND(LEN(F138)&gt;0,ISNUMBER(F138)=FALSE),AND(LEN(G138)&gt;0,ISNUMBER(G138)=FALSE)),"Check date",IF(COUNT(F138,H138)=0,"",MIN(F138,H138)))</f>
        <v/>
      </c>
      <c r="J138" s="25">
        <f>IF(ISNUMBER(I138)=FALSE,"",IF(AND(ISNUMBER(H138),I138=H138),"24-month work rule","Registry expiry"))</f>
        <v/>
      </c>
      <c r="K138" s="26" t="n"/>
      <c r="L138" s="24">
        <f>IF(ISNUMBER(I138),I138-IF(ISNUMBER(K138),K138,30),"")</f>
        <v/>
      </c>
      <c r="M138" s="27">
        <f>IF(I138="","",IF(ISNUMBER(I138),I138-TODAY(),"Check date"))</f>
        <v/>
      </c>
      <c r="N138" s="28">
        <f>IF(M138="","",IF(ISNUMBER(M138),IF(M138&lt;0,"Expired",IF(M138&lt;=30,"Due ≤30 days",IF(M138&lt;=90,"Due ≤90 days","OK"))),"Check date"))</f>
        <v/>
      </c>
      <c r="O138" s="24">
        <f>IF(ISNUMBER(E138),EDATE(E138,12*(IFERROR(DATEDIF(E138,TODAY(),"y"),0)+1)),"")</f>
        <v/>
      </c>
      <c r="P138" s="26" t="n"/>
      <c r="Q138" s="26" t="n"/>
      <c r="R138" s="27">
        <f>IF(LEN(A138)=0,"",MAX(0,IF(ISNUMBER(Q138),Q138,12)-N(P138)))</f>
        <v/>
      </c>
      <c r="S138" s="23" t="n"/>
      <c r="T138" s="27">
        <f>IF(S138="","",IF(ISNUMBER(S138),S138-TODAY(),"Check date"))</f>
        <v/>
      </c>
      <c r="U138" s="22" t="n"/>
      <c r="V138" s="22" t="n"/>
      <c r="W138" s="22" t="n"/>
      <c r="X138" s="22" t="n"/>
    </row>
    <row r="139">
      <c r="A139" s="22" t="n"/>
      <c r="B139" s="22" t="n"/>
      <c r="C139" s="22" t="n"/>
      <c r="D139" s="22" t="n"/>
      <c r="E139" s="23" t="n"/>
      <c r="F139" s="23" t="n"/>
      <c r="G139" s="23" t="n"/>
      <c r="H139" s="24">
        <f>IF(ISNUMBER(G139),EDATE(G139,24),"")</f>
        <v/>
      </c>
      <c r="I139" s="24">
        <f>IF(OR(AND(LEN(F139)&gt;0,ISNUMBER(F139)=FALSE),AND(LEN(G139)&gt;0,ISNUMBER(G139)=FALSE)),"Check date",IF(COUNT(F139,H139)=0,"",MIN(F139,H139)))</f>
        <v/>
      </c>
      <c r="J139" s="25">
        <f>IF(ISNUMBER(I139)=FALSE,"",IF(AND(ISNUMBER(H139),I139=H139),"24-month work rule","Registry expiry"))</f>
        <v/>
      </c>
      <c r="K139" s="26" t="n"/>
      <c r="L139" s="24">
        <f>IF(ISNUMBER(I139),I139-IF(ISNUMBER(K139),K139,30),"")</f>
        <v/>
      </c>
      <c r="M139" s="27">
        <f>IF(I139="","",IF(ISNUMBER(I139),I139-TODAY(),"Check date"))</f>
        <v/>
      </c>
      <c r="N139" s="28">
        <f>IF(M139="","",IF(ISNUMBER(M139),IF(M139&lt;0,"Expired",IF(M139&lt;=30,"Due ≤30 days",IF(M139&lt;=90,"Due ≤90 days","OK"))),"Check date"))</f>
        <v/>
      </c>
      <c r="O139" s="24">
        <f>IF(ISNUMBER(E139),EDATE(E139,12*(IFERROR(DATEDIF(E139,TODAY(),"y"),0)+1)),"")</f>
        <v/>
      </c>
      <c r="P139" s="26" t="n"/>
      <c r="Q139" s="26" t="n"/>
      <c r="R139" s="27">
        <f>IF(LEN(A139)=0,"",MAX(0,IF(ISNUMBER(Q139),Q139,12)-N(P139)))</f>
        <v/>
      </c>
      <c r="S139" s="23" t="n"/>
      <c r="T139" s="27">
        <f>IF(S139="","",IF(ISNUMBER(S139),S139-TODAY(),"Check date"))</f>
        <v/>
      </c>
      <c r="U139" s="22" t="n"/>
      <c r="V139" s="22" t="n"/>
      <c r="W139" s="22" t="n"/>
      <c r="X139" s="22" t="n"/>
    </row>
    <row r="140">
      <c r="A140" s="22" t="n"/>
      <c r="B140" s="22" t="n"/>
      <c r="C140" s="22" t="n"/>
      <c r="D140" s="22" t="n"/>
      <c r="E140" s="23" t="n"/>
      <c r="F140" s="23" t="n"/>
      <c r="G140" s="23" t="n"/>
      <c r="H140" s="24">
        <f>IF(ISNUMBER(G140),EDATE(G140,24),"")</f>
        <v/>
      </c>
      <c r="I140" s="24">
        <f>IF(OR(AND(LEN(F140)&gt;0,ISNUMBER(F140)=FALSE),AND(LEN(G140)&gt;0,ISNUMBER(G140)=FALSE)),"Check date",IF(COUNT(F140,H140)=0,"",MIN(F140,H140)))</f>
        <v/>
      </c>
      <c r="J140" s="25">
        <f>IF(ISNUMBER(I140)=FALSE,"",IF(AND(ISNUMBER(H140),I140=H140),"24-month work rule","Registry expiry"))</f>
        <v/>
      </c>
      <c r="K140" s="26" t="n"/>
      <c r="L140" s="24">
        <f>IF(ISNUMBER(I140),I140-IF(ISNUMBER(K140),K140,30),"")</f>
        <v/>
      </c>
      <c r="M140" s="27">
        <f>IF(I140="","",IF(ISNUMBER(I140),I140-TODAY(),"Check date"))</f>
        <v/>
      </c>
      <c r="N140" s="28">
        <f>IF(M140="","",IF(ISNUMBER(M140),IF(M140&lt;0,"Expired",IF(M140&lt;=30,"Due ≤30 days",IF(M140&lt;=90,"Due ≤90 days","OK"))),"Check date"))</f>
        <v/>
      </c>
      <c r="O140" s="24">
        <f>IF(ISNUMBER(E140),EDATE(E140,12*(IFERROR(DATEDIF(E140,TODAY(),"y"),0)+1)),"")</f>
        <v/>
      </c>
      <c r="P140" s="26" t="n"/>
      <c r="Q140" s="26" t="n"/>
      <c r="R140" s="27">
        <f>IF(LEN(A140)=0,"",MAX(0,IF(ISNUMBER(Q140),Q140,12)-N(P140)))</f>
        <v/>
      </c>
      <c r="S140" s="23" t="n"/>
      <c r="T140" s="27">
        <f>IF(S140="","",IF(ISNUMBER(S140),S140-TODAY(),"Check date"))</f>
        <v/>
      </c>
      <c r="U140" s="22" t="n"/>
      <c r="V140" s="22" t="n"/>
      <c r="W140" s="22" t="n"/>
      <c r="X140" s="22" t="n"/>
    </row>
    <row r="141">
      <c r="A141" s="22" t="n"/>
      <c r="B141" s="22" t="n"/>
      <c r="C141" s="22" t="n"/>
      <c r="D141" s="22" t="n"/>
      <c r="E141" s="23" t="n"/>
      <c r="F141" s="23" t="n"/>
      <c r="G141" s="23" t="n"/>
      <c r="H141" s="24">
        <f>IF(ISNUMBER(G141),EDATE(G141,24),"")</f>
        <v/>
      </c>
      <c r="I141" s="24">
        <f>IF(OR(AND(LEN(F141)&gt;0,ISNUMBER(F141)=FALSE),AND(LEN(G141)&gt;0,ISNUMBER(G141)=FALSE)),"Check date",IF(COUNT(F141,H141)=0,"",MIN(F141,H141)))</f>
        <v/>
      </c>
      <c r="J141" s="25">
        <f>IF(ISNUMBER(I141)=FALSE,"",IF(AND(ISNUMBER(H141),I141=H141),"24-month work rule","Registry expiry"))</f>
        <v/>
      </c>
      <c r="K141" s="26" t="n"/>
      <c r="L141" s="24">
        <f>IF(ISNUMBER(I141),I141-IF(ISNUMBER(K141),K141,30),"")</f>
        <v/>
      </c>
      <c r="M141" s="27">
        <f>IF(I141="","",IF(ISNUMBER(I141),I141-TODAY(),"Check date"))</f>
        <v/>
      </c>
      <c r="N141" s="28">
        <f>IF(M141="","",IF(ISNUMBER(M141),IF(M141&lt;0,"Expired",IF(M141&lt;=30,"Due ≤30 days",IF(M141&lt;=90,"Due ≤90 days","OK"))),"Check date"))</f>
        <v/>
      </c>
      <c r="O141" s="24">
        <f>IF(ISNUMBER(E141),EDATE(E141,12*(IFERROR(DATEDIF(E141,TODAY(),"y"),0)+1)),"")</f>
        <v/>
      </c>
      <c r="P141" s="26" t="n"/>
      <c r="Q141" s="26" t="n"/>
      <c r="R141" s="27">
        <f>IF(LEN(A141)=0,"",MAX(0,IF(ISNUMBER(Q141),Q141,12)-N(P141)))</f>
        <v/>
      </c>
      <c r="S141" s="23" t="n"/>
      <c r="T141" s="27">
        <f>IF(S141="","",IF(ISNUMBER(S141),S141-TODAY(),"Check date"))</f>
        <v/>
      </c>
      <c r="U141" s="22" t="n"/>
      <c r="V141" s="22" t="n"/>
      <c r="W141" s="22" t="n"/>
      <c r="X141" s="22" t="n"/>
    </row>
    <row r="142">
      <c r="A142" s="22" t="n"/>
      <c r="B142" s="22" t="n"/>
      <c r="C142" s="22" t="n"/>
      <c r="D142" s="22" t="n"/>
      <c r="E142" s="23" t="n"/>
      <c r="F142" s="23" t="n"/>
      <c r="G142" s="23" t="n"/>
      <c r="H142" s="24">
        <f>IF(ISNUMBER(G142),EDATE(G142,24),"")</f>
        <v/>
      </c>
      <c r="I142" s="24">
        <f>IF(OR(AND(LEN(F142)&gt;0,ISNUMBER(F142)=FALSE),AND(LEN(G142)&gt;0,ISNUMBER(G142)=FALSE)),"Check date",IF(COUNT(F142,H142)=0,"",MIN(F142,H142)))</f>
        <v/>
      </c>
      <c r="J142" s="25">
        <f>IF(ISNUMBER(I142)=FALSE,"",IF(AND(ISNUMBER(H142),I142=H142),"24-month work rule","Registry expiry"))</f>
        <v/>
      </c>
      <c r="K142" s="26" t="n"/>
      <c r="L142" s="24">
        <f>IF(ISNUMBER(I142),I142-IF(ISNUMBER(K142),K142,30),"")</f>
        <v/>
      </c>
      <c r="M142" s="27">
        <f>IF(I142="","",IF(ISNUMBER(I142),I142-TODAY(),"Check date"))</f>
        <v/>
      </c>
      <c r="N142" s="28">
        <f>IF(M142="","",IF(ISNUMBER(M142),IF(M142&lt;0,"Expired",IF(M142&lt;=30,"Due ≤30 days",IF(M142&lt;=90,"Due ≤90 days","OK"))),"Check date"))</f>
        <v/>
      </c>
      <c r="O142" s="24">
        <f>IF(ISNUMBER(E142),EDATE(E142,12*(IFERROR(DATEDIF(E142,TODAY(),"y"),0)+1)),"")</f>
        <v/>
      </c>
      <c r="P142" s="26" t="n"/>
      <c r="Q142" s="26" t="n"/>
      <c r="R142" s="27">
        <f>IF(LEN(A142)=0,"",MAX(0,IF(ISNUMBER(Q142),Q142,12)-N(P142)))</f>
        <v/>
      </c>
      <c r="S142" s="23" t="n"/>
      <c r="T142" s="27">
        <f>IF(S142="","",IF(ISNUMBER(S142),S142-TODAY(),"Check date"))</f>
        <v/>
      </c>
      <c r="U142" s="22" t="n"/>
      <c r="V142" s="22" t="n"/>
      <c r="W142" s="22" t="n"/>
      <c r="X142" s="22" t="n"/>
    </row>
    <row r="143">
      <c r="A143" s="22" t="n"/>
      <c r="B143" s="22" t="n"/>
      <c r="C143" s="22" t="n"/>
      <c r="D143" s="22" t="n"/>
      <c r="E143" s="23" t="n"/>
      <c r="F143" s="23" t="n"/>
      <c r="G143" s="23" t="n"/>
      <c r="H143" s="24">
        <f>IF(ISNUMBER(G143),EDATE(G143,24),"")</f>
        <v/>
      </c>
      <c r="I143" s="24">
        <f>IF(OR(AND(LEN(F143)&gt;0,ISNUMBER(F143)=FALSE),AND(LEN(G143)&gt;0,ISNUMBER(G143)=FALSE)),"Check date",IF(COUNT(F143,H143)=0,"",MIN(F143,H143)))</f>
        <v/>
      </c>
      <c r="J143" s="25">
        <f>IF(ISNUMBER(I143)=FALSE,"",IF(AND(ISNUMBER(H143),I143=H143),"24-month work rule","Registry expiry"))</f>
        <v/>
      </c>
      <c r="K143" s="26" t="n"/>
      <c r="L143" s="24">
        <f>IF(ISNUMBER(I143),I143-IF(ISNUMBER(K143),K143,30),"")</f>
        <v/>
      </c>
      <c r="M143" s="27">
        <f>IF(I143="","",IF(ISNUMBER(I143),I143-TODAY(),"Check date"))</f>
        <v/>
      </c>
      <c r="N143" s="28">
        <f>IF(M143="","",IF(ISNUMBER(M143),IF(M143&lt;0,"Expired",IF(M143&lt;=30,"Due ≤30 days",IF(M143&lt;=90,"Due ≤90 days","OK"))),"Check date"))</f>
        <v/>
      </c>
      <c r="O143" s="24">
        <f>IF(ISNUMBER(E143),EDATE(E143,12*(IFERROR(DATEDIF(E143,TODAY(),"y"),0)+1)),"")</f>
        <v/>
      </c>
      <c r="P143" s="26" t="n"/>
      <c r="Q143" s="26" t="n"/>
      <c r="R143" s="27">
        <f>IF(LEN(A143)=0,"",MAX(0,IF(ISNUMBER(Q143),Q143,12)-N(P143)))</f>
        <v/>
      </c>
      <c r="S143" s="23" t="n"/>
      <c r="T143" s="27">
        <f>IF(S143="","",IF(ISNUMBER(S143),S143-TODAY(),"Check date"))</f>
        <v/>
      </c>
      <c r="U143" s="22" t="n"/>
      <c r="V143" s="22" t="n"/>
      <c r="W143" s="22" t="n"/>
      <c r="X143" s="22" t="n"/>
    </row>
    <row r="144">
      <c r="A144" s="22" t="n"/>
      <c r="B144" s="22" t="n"/>
      <c r="C144" s="22" t="n"/>
      <c r="D144" s="22" t="n"/>
      <c r="E144" s="23" t="n"/>
      <c r="F144" s="23" t="n"/>
      <c r="G144" s="23" t="n"/>
      <c r="H144" s="24">
        <f>IF(ISNUMBER(G144),EDATE(G144,24),"")</f>
        <v/>
      </c>
      <c r="I144" s="24">
        <f>IF(OR(AND(LEN(F144)&gt;0,ISNUMBER(F144)=FALSE),AND(LEN(G144)&gt;0,ISNUMBER(G144)=FALSE)),"Check date",IF(COUNT(F144,H144)=0,"",MIN(F144,H144)))</f>
        <v/>
      </c>
      <c r="J144" s="25">
        <f>IF(ISNUMBER(I144)=FALSE,"",IF(AND(ISNUMBER(H144),I144=H144),"24-month work rule","Registry expiry"))</f>
        <v/>
      </c>
      <c r="K144" s="26" t="n"/>
      <c r="L144" s="24">
        <f>IF(ISNUMBER(I144),I144-IF(ISNUMBER(K144),K144,30),"")</f>
        <v/>
      </c>
      <c r="M144" s="27">
        <f>IF(I144="","",IF(ISNUMBER(I144),I144-TODAY(),"Check date"))</f>
        <v/>
      </c>
      <c r="N144" s="28">
        <f>IF(M144="","",IF(ISNUMBER(M144),IF(M144&lt;0,"Expired",IF(M144&lt;=30,"Due ≤30 days",IF(M144&lt;=90,"Due ≤90 days","OK"))),"Check date"))</f>
        <v/>
      </c>
      <c r="O144" s="24">
        <f>IF(ISNUMBER(E144),EDATE(E144,12*(IFERROR(DATEDIF(E144,TODAY(),"y"),0)+1)),"")</f>
        <v/>
      </c>
      <c r="P144" s="26" t="n"/>
      <c r="Q144" s="26" t="n"/>
      <c r="R144" s="27">
        <f>IF(LEN(A144)=0,"",MAX(0,IF(ISNUMBER(Q144),Q144,12)-N(P144)))</f>
        <v/>
      </c>
      <c r="S144" s="23" t="n"/>
      <c r="T144" s="27">
        <f>IF(S144="","",IF(ISNUMBER(S144),S144-TODAY(),"Check date"))</f>
        <v/>
      </c>
      <c r="U144" s="22" t="n"/>
      <c r="V144" s="22" t="n"/>
      <c r="W144" s="22" t="n"/>
      <c r="X144" s="22" t="n"/>
    </row>
    <row r="145">
      <c r="A145" s="22" t="n"/>
      <c r="B145" s="22" t="n"/>
      <c r="C145" s="22" t="n"/>
      <c r="D145" s="22" t="n"/>
      <c r="E145" s="23" t="n"/>
      <c r="F145" s="23" t="n"/>
      <c r="G145" s="23" t="n"/>
      <c r="H145" s="24">
        <f>IF(ISNUMBER(G145),EDATE(G145,24),"")</f>
        <v/>
      </c>
      <c r="I145" s="24">
        <f>IF(OR(AND(LEN(F145)&gt;0,ISNUMBER(F145)=FALSE),AND(LEN(G145)&gt;0,ISNUMBER(G145)=FALSE)),"Check date",IF(COUNT(F145,H145)=0,"",MIN(F145,H145)))</f>
        <v/>
      </c>
      <c r="J145" s="25">
        <f>IF(ISNUMBER(I145)=FALSE,"",IF(AND(ISNUMBER(H145),I145=H145),"24-month work rule","Registry expiry"))</f>
        <v/>
      </c>
      <c r="K145" s="26" t="n"/>
      <c r="L145" s="24">
        <f>IF(ISNUMBER(I145),I145-IF(ISNUMBER(K145),K145,30),"")</f>
        <v/>
      </c>
      <c r="M145" s="27">
        <f>IF(I145="","",IF(ISNUMBER(I145),I145-TODAY(),"Check date"))</f>
        <v/>
      </c>
      <c r="N145" s="28">
        <f>IF(M145="","",IF(ISNUMBER(M145),IF(M145&lt;0,"Expired",IF(M145&lt;=30,"Due ≤30 days",IF(M145&lt;=90,"Due ≤90 days","OK"))),"Check date"))</f>
        <v/>
      </c>
      <c r="O145" s="24">
        <f>IF(ISNUMBER(E145),EDATE(E145,12*(IFERROR(DATEDIF(E145,TODAY(),"y"),0)+1)),"")</f>
        <v/>
      </c>
      <c r="P145" s="26" t="n"/>
      <c r="Q145" s="26" t="n"/>
      <c r="R145" s="27">
        <f>IF(LEN(A145)=0,"",MAX(0,IF(ISNUMBER(Q145),Q145,12)-N(P145)))</f>
        <v/>
      </c>
      <c r="S145" s="23" t="n"/>
      <c r="T145" s="27">
        <f>IF(S145="","",IF(ISNUMBER(S145),S145-TODAY(),"Check date"))</f>
        <v/>
      </c>
      <c r="U145" s="22" t="n"/>
      <c r="V145" s="22" t="n"/>
      <c r="W145" s="22" t="n"/>
      <c r="X145" s="22" t="n"/>
    </row>
    <row r="146">
      <c r="A146" s="22" t="n"/>
      <c r="B146" s="22" t="n"/>
      <c r="C146" s="22" t="n"/>
      <c r="D146" s="22" t="n"/>
      <c r="E146" s="23" t="n"/>
      <c r="F146" s="23" t="n"/>
      <c r="G146" s="23" t="n"/>
      <c r="H146" s="24">
        <f>IF(ISNUMBER(G146),EDATE(G146,24),"")</f>
        <v/>
      </c>
      <c r="I146" s="24">
        <f>IF(OR(AND(LEN(F146)&gt;0,ISNUMBER(F146)=FALSE),AND(LEN(G146)&gt;0,ISNUMBER(G146)=FALSE)),"Check date",IF(COUNT(F146,H146)=0,"",MIN(F146,H146)))</f>
        <v/>
      </c>
      <c r="J146" s="25">
        <f>IF(ISNUMBER(I146)=FALSE,"",IF(AND(ISNUMBER(H146),I146=H146),"24-month work rule","Registry expiry"))</f>
        <v/>
      </c>
      <c r="K146" s="26" t="n"/>
      <c r="L146" s="24">
        <f>IF(ISNUMBER(I146),I146-IF(ISNUMBER(K146),K146,30),"")</f>
        <v/>
      </c>
      <c r="M146" s="27">
        <f>IF(I146="","",IF(ISNUMBER(I146),I146-TODAY(),"Check date"))</f>
        <v/>
      </c>
      <c r="N146" s="28">
        <f>IF(M146="","",IF(ISNUMBER(M146),IF(M146&lt;0,"Expired",IF(M146&lt;=30,"Due ≤30 days",IF(M146&lt;=90,"Due ≤90 days","OK"))),"Check date"))</f>
        <v/>
      </c>
      <c r="O146" s="24">
        <f>IF(ISNUMBER(E146),EDATE(E146,12*(IFERROR(DATEDIF(E146,TODAY(),"y"),0)+1)),"")</f>
        <v/>
      </c>
      <c r="P146" s="26" t="n"/>
      <c r="Q146" s="26" t="n"/>
      <c r="R146" s="27">
        <f>IF(LEN(A146)=0,"",MAX(0,IF(ISNUMBER(Q146),Q146,12)-N(P146)))</f>
        <v/>
      </c>
      <c r="S146" s="23" t="n"/>
      <c r="T146" s="27">
        <f>IF(S146="","",IF(ISNUMBER(S146),S146-TODAY(),"Check date"))</f>
        <v/>
      </c>
      <c r="U146" s="22" t="n"/>
      <c r="V146" s="22" t="n"/>
      <c r="W146" s="22" t="n"/>
      <c r="X146" s="22" t="n"/>
    </row>
    <row r="147">
      <c r="A147" s="22" t="n"/>
      <c r="B147" s="22" t="n"/>
      <c r="C147" s="22" t="n"/>
      <c r="D147" s="22" t="n"/>
      <c r="E147" s="23" t="n"/>
      <c r="F147" s="23" t="n"/>
      <c r="G147" s="23" t="n"/>
      <c r="H147" s="24">
        <f>IF(ISNUMBER(G147),EDATE(G147,24),"")</f>
        <v/>
      </c>
      <c r="I147" s="24">
        <f>IF(OR(AND(LEN(F147)&gt;0,ISNUMBER(F147)=FALSE),AND(LEN(G147)&gt;0,ISNUMBER(G147)=FALSE)),"Check date",IF(COUNT(F147,H147)=0,"",MIN(F147,H147)))</f>
        <v/>
      </c>
      <c r="J147" s="25">
        <f>IF(ISNUMBER(I147)=FALSE,"",IF(AND(ISNUMBER(H147),I147=H147),"24-month work rule","Registry expiry"))</f>
        <v/>
      </c>
      <c r="K147" s="26" t="n"/>
      <c r="L147" s="24">
        <f>IF(ISNUMBER(I147),I147-IF(ISNUMBER(K147),K147,30),"")</f>
        <v/>
      </c>
      <c r="M147" s="27">
        <f>IF(I147="","",IF(ISNUMBER(I147),I147-TODAY(),"Check date"))</f>
        <v/>
      </c>
      <c r="N147" s="28">
        <f>IF(M147="","",IF(ISNUMBER(M147),IF(M147&lt;0,"Expired",IF(M147&lt;=30,"Due ≤30 days",IF(M147&lt;=90,"Due ≤90 days","OK"))),"Check date"))</f>
        <v/>
      </c>
      <c r="O147" s="24">
        <f>IF(ISNUMBER(E147),EDATE(E147,12*(IFERROR(DATEDIF(E147,TODAY(),"y"),0)+1)),"")</f>
        <v/>
      </c>
      <c r="P147" s="26" t="n"/>
      <c r="Q147" s="26" t="n"/>
      <c r="R147" s="27">
        <f>IF(LEN(A147)=0,"",MAX(0,IF(ISNUMBER(Q147),Q147,12)-N(P147)))</f>
        <v/>
      </c>
      <c r="S147" s="23" t="n"/>
      <c r="T147" s="27">
        <f>IF(S147="","",IF(ISNUMBER(S147),S147-TODAY(),"Check date"))</f>
        <v/>
      </c>
      <c r="U147" s="22" t="n"/>
      <c r="V147" s="22" t="n"/>
      <c r="W147" s="22" t="n"/>
      <c r="X147" s="22" t="n"/>
    </row>
    <row r="148">
      <c r="A148" s="22" t="n"/>
      <c r="B148" s="22" t="n"/>
      <c r="C148" s="22" t="n"/>
      <c r="D148" s="22" t="n"/>
      <c r="E148" s="23" t="n"/>
      <c r="F148" s="23" t="n"/>
      <c r="G148" s="23" t="n"/>
      <c r="H148" s="24">
        <f>IF(ISNUMBER(G148),EDATE(G148,24),"")</f>
        <v/>
      </c>
      <c r="I148" s="24">
        <f>IF(OR(AND(LEN(F148)&gt;0,ISNUMBER(F148)=FALSE),AND(LEN(G148)&gt;0,ISNUMBER(G148)=FALSE)),"Check date",IF(COUNT(F148,H148)=0,"",MIN(F148,H148)))</f>
        <v/>
      </c>
      <c r="J148" s="25">
        <f>IF(ISNUMBER(I148)=FALSE,"",IF(AND(ISNUMBER(H148),I148=H148),"24-month work rule","Registry expiry"))</f>
        <v/>
      </c>
      <c r="K148" s="26" t="n"/>
      <c r="L148" s="24">
        <f>IF(ISNUMBER(I148),I148-IF(ISNUMBER(K148),K148,30),"")</f>
        <v/>
      </c>
      <c r="M148" s="27">
        <f>IF(I148="","",IF(ISNUMBER(I148),I148-TODAY(),"Check date"))</f>
        <v/>
      </c>
      <c r="N148" s="28">
        <f>IF(M148="","",IF(ISNUMBER(M148),IF(M148&lt;0,"Expired",IF(M148&lt;=30,"Due ≤30 days",IF(M148&lt;=90,"Due ≤90 days","OK"))),"Check date"))</f>
        <v/>
      </c>
      <c r="O148" s="24">
        <f>IF(ISNUMBER(E148),EDATE(E148,12*(IFERROR(DATEDIF(E148,TODAY(),"y"),0)+1)),"")</f>
        <v/>
      </c>
      <c r="P148" s="26" t="n"/>
      <c r="Q148" s="26" t="n"/>
      <c r="R148" s="27">
        <f>IF(LEN(A148)=0,"",MAX(0,IF(ISNUMBER(Q148),Q148,12)-N(P148)))</f>
        <v/>
      </c>
      <c r="S148" s="23" t="n"/>
      <c r="T148" s="27">
        <f>IF(S148="","",IF(ISNUMBER(S148),S148-TODAY(),"Check date"))</f>
        <v/>
      </c>
      <c r="U148" s="22" t="n"/>
      <c r="V148" s="22" t="n"/>
      <c r="W148" s="22" t="n"/>
      <c r="X148" s="22" t="n"/>
    </row>
    <row r="149">
      <c r="A149" s="22" t="n"/>
      <c r="B149" s="22" t="n"/>
      <c r="C149" s="22" t="n"/>
      <c r="D149" s="22" t="n"/>
      <c r="E149" s="23" t="n"/>
      <c r="F149" s="23" t="n"/>
      <c r="G149" s="23" t="n"/>
      <c r="H149" s="24">
        <f>IF(ISNUMBER(G149),EDATE(G149,24),"")</f>
        <v/>
      </c>
      <c r="I149" s="24">
        <f>IF(OR(AND(LEN(F149)&gt;0,ISNUMBER(F149)=FALSE),AND(LEN(G149)&gt;0,ISNUMBER(G149)=FALSE)),"Check date",IF(COUNT(F149,H149)=0,"",MIN(F149,H149)))</f>
        <v/>
      </c>
      <c r="J149" s="25">
        <f>IF(ISNUMBER(I149)=FALSE,"",IF(AND(ISNUMBER(H149),I149=H149),"24-month work rule","Registry expiry"))</f>
        <v/>
      </c>
      <c r="K149" s="26" t="n"/>
      <c r="L149" s="24">
        <f>IF(ISNUMBER(I149),I149-IF(ISNUMBER(K149),K149,30),"")</f>
        <v/>
      </c>
      <c r="M149" s="27">
        <f>IF(I149="","",IF(ISNUMBER(I149),I149-TODAY(),"Check date"))</f>
        <v/>
      </c>
      <c r="N149" s="28">
        <f>IF(M149="","",IF(ISNUMBER(M149),IF(M149&lt;0,"Expired",IF(M149&lt;=30,"Due ≤30 days",IF(M149&lt;=90,"Due ≤90 days","OK"))),"Check date"))</f>
        <v/>
      </c>
      <c r="O149" s="24">
        <f>IF(ISNUMBER(E149),EDATE(E149,12*(IFERROR(DATEDIF(E149,TODAY(),"y"),0)+1)),"")</f>
        <v/>
      </c>
      <c r="P149" s="26" t="n"/>
      <c r="Q149" s="26" t="n"/>
      <c r="R149" s="27">
        <f>IF(LEN(A149)=0,"",MAX(0,IF(ISNUMBER(Q149),Q149,12)-N(P149)))</f>
        <v/>
      </c>
      <c r="S149" s="23" t="n"/>
      <c r="T149" s="27">
        <f>IF(S149="","",IF(ISNUMBER(S149),S149-TODAY(),"Check date"))</f>
        <v/>
      </c>
      <c r="U149" s="22" t="n"/>
      <c r="V149" s="22" t="n"/>
      <c r="W149" s="22" t="n"/>
      <c r="X149" s="22" t="n"/>
    </row>
    <row r="150">
      <c r="A150" s="22" t="n"/>
      <c r="B150" s="22" t="n"/>
      <c r="C150" s="22" t="n"/>
      <c r="D150" s="22" t="n"/>
      <c r="E150" s="23" t="n"/>
      <c r="F150" s="23" t="n"/>
      <c r="G150" s="23" t="n"/>
      <c r="H150" s="24">
        <f>IF(ISNUMBER(G150),EDATE(G150,24),"")</f>
        <v/>
      </c>
      <c r="I150" s="24">
        <f>IF(OR(AND(LEN(F150)&gt;0,ISNUMBER(F150)=FALSE),AND(LEN(G150)&gt;0,ISNUMBER(G150)=FALSE)),"Check date",IF(COUNT(F150,H150)=0,"",MIN(F150,H150)))</f>
        <v/>
      </c>
      <c r="J150" s="25">
        <f>IF(ISNUMBER(I150)=FALSE,"",IF(AND(ISNUMBER(H150),I150=H150),"24-month work rule","Registry expiry"))</f>
        <v/>
      </c>
      <c r="K150" s="26" t="n"/>
      <c r="L150" s="24">
        <f>IF(ISNUMBER(I150),I150-IF(ISNUMBER(K150),K150,30),"")</f>
        <v/>
      </c>
      <c r="M150" s="27">
        <f>IF(I150="","",IF(ISNUMBER(I150),I150-TODAY(),"Check date"))</f>
        <v/>
      </c>
      <c r="N150" s="28">
        <f>IF(M150="","",IF(ISNUMBER(M150),IF(M150&lt;0,"Expired",IF(M150&lt;=30,"Due ≤30 days",IF(M150&lt;=90,"Due ≤90 days","OK"))),"Check date"))</f>
        <v/>
      </c>
      <c r="O150" s="24">
        <f>IF(ISNUMBER(E150),EDATE(E150,12*(IFERROR(DATEDIF(E150,TODAY(),"y"),0)+1)),"")</f>
        <v/>
      </c>
      <c r="P150" s="26" t="n"/>
      <c r="Q150" s="26" t="n"/>
      <c r="R150" s="27">
        <f>IF(LEN(A150)=0,"",MAX(0,IF(ISNUMBER(Q150),Q150,12)-N(P150)))</f>
        <v/>
      </c>
      <c r="S150" s="23" t="n"/>
      <c r="T150" s="27">
        <f>IF(S150="","",IF(ISNUMBER(S150),S150-TODAY(),"Check date"))</f>
        <v/>
      </c>
      <c r="U150" s="22" t="n"/>
      <c r="V150" s="22" t="n"/>
      <c r="W150" s="22" t="n"/>
      <c r="X150" s="22" t="n"/>
    </row>
    <row r="151">
      <c r="A151" s="22" t="n"/>
      <c r="B151" s="22" t="n"/>
      <c r="C151" s="22" t="n"/>
      <c r="D151" s="22" t="n"/>
      <c r="E151" s="23" t="n"/>
      <c r="F151" s="23" t="n"/>
      <c r="G151" s="23" t="n"/>
      <c r="H151" s="24">
        <f>IF(ISNUMBER(G151),EDATE(G151,24),"")</f>
        <v/>
      </c>
      <c r="I151" s="24">
        <f>IF(OR(AND(LEN(F151)&gt;0,ISNUMBER(F151)=FALSE),AND(LEN(G151)&gt;0,ISNUMBER(G151)=FALSE)),"Check date",IF(COUNT(F151,H151)=0,"",MIN(F151,H151)))</f>
        <v/>
      </c>
      <c r="J151" s="25">
        <f>IF(ISNUMBER(I151)=FALSE,"",IF(AND(ISNUMBER(H151),I151=H151),"24-month work rule","Registry expiry"))</f>
        <v/>
      </c>
      <c r="K151" s="26" t="n"/>
      <c r="L151" s="24">
        <f>IF(ISNUMBER(I151),I151-IF(ISNUMBER(K151),K151,30),"")</f>
        <v/>
      </c>
      <c r="M151" s="27">
        <f>IF(I151="","",IF(ISNUMBER(I151),I151-TODAY(),"Check date"))</f>
        <v/>
      </c>
      <c r="N151" s="28">
        <f>IF(M151="","",IF(ISNUMBER(M151),IF(M151&lt;0,"Expired",IF(M151&lt;=30,"Due ≤30 days",IF(M151&lt;=90,"Due ≤90 days","OK"))),"Check date"))</f>
        <v/>
      </c>
      <c r="O151" s="24">
        <f>IF(ISNUMBER(E151),EDATE(E151,12*(IFERROR(DATEDIF(E151,TODAY(),"y"),0)+1)),"")</f>
        <v/>
      </c>
      <c r="P151" s="26" t="n"/>
      <c r="Q151" s="26" t="n"/>
      <c r="R151" s="27">
        <f>IF(LEN(A151)=0,"",MAX(0,IF(ISNUMBER(Q151),Q151,12)-N(P151)))</f>
        <v/>
      </c>
      <c r="S151" s="23" t="n"/>
      <c r="T151" s="27">
        <f>IF(S151="","",IF(ISNUMBER(S151),S151-TODAY(),"Check date"))</f>
        <v/>
      </c>
      <c r="U151" s="22" t="n"/>
      <c r="V151" s="22" t="n"/>
      <c r="W151" s="22" t="n"/>
      <c r="X151" s="22" t="n"/>
    </row>
    <row r="152">
      <c r="A152" s="22" t="n"/>
      <c r="B152" s="22" t="n"/>
      <c r="C152" s="22" t="n"/>
      <c r="D152" s="22" t="n"/>
      <c r="E152" s="23" t="n"/>
      <c r="F152" s="23" t="n"/>
      <c r="G152" s="23" t="n"/>
      <c r="H152" s="24">
        <f>IF(ISNUMBER(G152),EDATE(G152,24),"")</f>
        <v/>
      </c>
      <c r="I152" s="24">
        <f>IF(OR(AND(LEN(F152)&gt;0,ISNUMBER(F152)=FALSE),AND(LEN(G152)&gt;0,ISNUMBER(G152)=FALSE)),"Check date",IF(COUNT(F152,H152)=0,"",MIN(F152,H152)))</f>
        <v/>
      </c>
      <c r="J152" s="25">
        <f>IF(ISNUMBER(I152)=FALSE,"",IF(AND(ISNUMBER(H152),I152=H152),"24-month work rule","Registry expiry"))</f>
        <v/>
      </c>
      <c r="K152" s="26" t="n"/>
      <c r="L152" s="24">
        <f>IF(ISNUMBER(I152),I152-IF(ISNUMBER(K152),K152,30),"")</f>
        <v/>
      </c>
      <c r="M152" s="27">
        <f>IF(I152="","",IF(ISNUMBER(I152),I152-TODAY(),"Check date"))</f>
        <v/>
      </c>
      <c r="N152" s="28">
        <f>IF(M152="","",IF(ISNUMBER(M152),IF(M152&lt;0,"Expired",IF(M152&lt;=30,"Due ≤30 days",IF(M152&lt;=90,"Due ≤90 days","OK"))),"Check date"))</f>
        <v/>
      </c>
      <c r="O152" s="24">
        <f>IF(ISNUMBER(E152),EDATE(E152,12*(IFERROR(DATEDIF(E152,TODAY(),"y"),0)+1)),"")</f>
        <v/>
      </c>
      <c r="P152" s="26" t="n"/>
      <c r="Q152" s="26" t="n"/>
      <c r="R152" s="27">
        <f>IF(LEN(A152)=0,"",MAX(0,IF(ISNUMBER(Q152),Q152,12)-N(P152)))</f>
        <v/>
      </c>
      <c r="S152" s="23" t="n"/>
      <c r="T152" s="27">
        <f>IF(S152="","",IF(ISNUMBER(S152),S152-TODAY(),"Check date"))</f>
        <v/>
      </c>
      <c r="U152" s="22" t="n"/>
      <c r="V152" s="22" t="n"/>
      <c r="W152" s="22" t="n"/>
      <c r="X152" s="22" t="n"/>
    </row>
    <row r="153">
      <c r="A153" s="22" t="n"/>
      <c r="B153" s="22" t="n"/>
      <c r="C153" s="22" t="n"/>
      <c r="D153" s="22" t="n"/>
      <c r="E153" s="23" t="n"/>
      <c r="F153" s="23" t="n"/>
      <c r="G153" s="23" t="n"/>
      <c r="H153" s="24">
        <f>IF(ISNUMBER(G153),EDATE(G153,24),"")</f>
        <v/>
      </c>
      <c r="I153" s="24">
        <f>IF(OR(AND(LEN(F153)&gt;0,ISNUMBER(F153)=FALSE),AND(LEN(G153)&gt;0,ISNUMBER(G153)=FALSE)),"Check date",IF(COUNT(F153,H153)=0,"",MIN(F153,H153)))</f>
        <v/>
      </c>
      <c r="J153" s="25">
        <f>IF(ISNUMBER(I153)=FALSE,"",IF(AND(ISNUMBER(H153),I153=H153),"24-month work rule","Registry expiry"))</f>
        <v/>
      </c>
      <c r="K153" s="26" t="n"/>
      <c r="L153" s="24">
        <f>IF(ISNUMBER(I153),I153-IF(ISNUMBER(K153),K153,30),"")</f>
        <v/>
      </c>
      <c r="M153" s="27">
        <f>IF(I153="","",IF(ISNUMBER(I153),I153-TODAY(),"Check date"))</f>
        <v/>
      </c>
      <c r="N153" s="28">
        <f>IF(M153="","",IF(ISNUMBER(M153),IF(M153&lt;0,"Expired",IF(M153&lt;=30,"Due ≤30 days",IF(M153&lt;=90,"Due ≤90 days","OK"))),"Check date"))</f>
        <v/>
      </c>
      <c r="O153" s="24">
        <f>IF(ISNUMBER(E153),EDATE(E153,12*(IFERROR(DATEDIF(E153,TODAY(),"y"),0)+1)),"")</f>
        <v/>
      </c>
      <c r="P153" s="26" t="n"/>
      <c r="Q153" s="26" t="n"/>
      <c r="R153" s="27">
        <f>IF(LEN(A153)=0,"",MAX(0,IF(ISNUMBER(Q153),Q153,12)-N(P153)))</f>
        <v/>
      </c>
      <c r="S153" s="23" t="n"/>
      <c r="T153" s="27">
        <f>IF(S153="","",IF(ISNUMBER(S153),S153-TODAY(),"Check date"))</f>
        <v/>
      </c>
      <c r="U153" s="22" t="n"/>
      <c r="V153" s="22" t="n"/>
      <c r="W153" s="22" t="n"/>
      <c r="X153" s="22" t="n"/>
    </row>
    <row r="154">
      <c r="A154" s="22" t="n"/>
      <c r="B154" s="22" t="n"/>
      <c r="C154" s="22" t="n"/>
      <c r="D154" s="22" t="n"/>
      <c r="E154" s="23" t="n"/>
      <c r="F154" s="23" t="n"/>
      <c r="G154" s="23" t="n"/>
      <c r="H154" s="24">
        <f>IF(ISNUMBER(G154),EDATE(G154,24),"")</f>
        <v/>
      </c>
      <c r="I154" s="24">
        <f>IF(OR(AND(LEN(F154)&gt;0,ISNUMBER(F154)=FALSE),AND(LEN(G154)&gt;0,ISNUMBER(G154)=FALSE)),"Check date",IF(COUNT(F154,H154)=0,"",MIN(F154,H154)))</f>
        <v/>
      </c>
      <c r="J154" s="25">
        <f>IF(ISNUMBER(I154)=FALSE,"",IF(AND(ISNUMBER(H154),I154=H154),"24-month work rule","Registry expiry"))</f>
        <v/>
      </c>
      <c r="K154" s="26" t="n"/>
      <c r="L154" s="24">
        <f>IF(ISNUMBER(I154),I154-IF(ISNUMBER(K154),K154,30),"")</f>
        <v/>
      </c>
      <c r="M154" s="27">
        <f>IF(I154="","",IF(ISNUMBER(I154),I154-TODAY(),"Check date"))</f>
        <v/>
      </c>
      <c r="N154" s="28">
        <f>IF(M154="","",IF(ISNUMBER(M154),IF(M154&lt;0,"Expired",IF(M154&lt;=30,"Due ≤30 days",IF(M154&lt;=90,"Due ≤90 days","OK"))),"Check date"))</f>
        <v/>
      </c>
      <c r="O154" s="24">
        <f>IF(ISNUMBER(E154),EDATE(E154,12*(IFERROR(DATEDIF(E154,TODAY(),"y"),0)+1)),"")</f>
        <v/>
      </c>
      <c r="P154" s="26" t="n"/>
      <c r="Q154" s="26" t="n"/>
      <c r="R154" s="27">
        <f>IF(LEN(A154)=0,"",MAX(0,IF(ISNUMBER(Q154),Q154,12)-N(P154)))</f>
        <v/>
      </c>
      <c r="S154" s="23" t="n"/>
      <c r="T154" s="27">
        <f>IF(S154="","",IF(ISNUMBER(S154),S154-TODAY(),"Check date"))</f>
        <v/>
      </c>
      <c r="U154" s="22" t="n"/>
      <c r="V154" s="22" t="n"/>
      <c r="W154" s="22" t="n"/>
      <c r="X154" s="22" t="n"/>
    </row>
    <row r="155">
      <c r="A155" s="22" t="n"/>
      <c r="B155" s="22" t="n"/>
      <c r="C155" s="22" t="n"/>
      <c r="D155" s="22" t="n"/>
      <c r="E155" s="23" t="n"/>
      <c r="F155" s="23" t="n"/>
      <c r="G155" s="23" t="n"/>
      <c r="H155" s="24">
        <f>IF(ISNUMBER(G155),EDATE(G155,24),"")</f>
        <v/>
      </c>
      <c r="I155" s="24">
        <f>IF(OR(AND(LEN(F155)&gt;0,ISNUMBER(F155)=FALSE),AND(LEN(G155)&gt;0,ISNUMBER(G155)=FALSE)),"Check date",IF(COUNT(F155,H155)=0,"",MIN(F155,H155)))</f>
        <v/>
      </c>
      <c r="J155" s="25">
        <f>IF(ISNUMBER(I155)=FALSE,"",IF(AND(ISNUMBER(H155),I155=H155),"24-month work rule","Registry expiry"))</f>
        <v/>
      </c>
      <c r="K155" s="26" t="n"/>
      <c r="L155" s="24">
        <f>IF(ISNUMBER(I155),I155-IF(ISNUMBER(K155),K155,30),"")</f>
        <v/>
      </c>
      <c r="M155" s="27">
        <f>IF(I155="","",IF(ISNUMBER(I155),I155-TODAY(),"Check date"))</f>
        <v/>
      </c>
      <c r="N155" s="28">
        <f>IF(M155="","",IF(ISNUMBER(M155),IF(M155&lt;0,"Expired",IF(M155&lt;=30,"Due ≤30 days",IF(M155&lt;=90,"Due ≤90 days","OK"))),"Check date"))</f>
        <v/>
      </c>
      <c r="O155" s="24">
        <f>IF(ISNUMBER(E155),EDATE(E155,12*(IFERROR(DATEDIF(E155,TODAY(),"y"),0)+1)),"")</f>
        <v/>
      </c>
      <c r="P155" s="26" t="n"/>
      <c r="Q155" s="26" t="n"/>
      <c r="R155" s="27">
        <f>IF(LEN(A155)=0,"",MAX(0,IF(ISNUMBER(Q155),Q155,12)-N(P155)))</f>
        <v/>
      </c>
      <c r="S155" s="23" t="n"/>
      <c r="T155" s="27">
        <f>IF(S155="","",IF(ISNUMBER(S155),S155-TODAY(),"Check date"))</f>
        <v/>
      </c>
      <c r="U155" s="22" t="n"/>
      <c r="V155" s="22" t="n"/>
      <c r="W155" s="22" t="n"/>
      <c r="X155" s="22" t="n"/>
    </row>
    <row r="156">
      <c r="A156" s="22" t="n"/>
      <c r="B156" s="22" t="n"/>
      <c r="C156" s="22" t="n"/>
      <c r="D156" s="22" t="n"/>
      <c r="E156" s="23" t="n"/>
      <c r="F156" s="23" t="n"/>
      <c r="G156" s="23" t="n"/>
      <c r="H156" s="24">
        <f>IF(ISNUMBER(G156),EDATE(G156,24),"")</f>
        <v/>
      </c>
      <c r="I156" s="24">
        <f>IF(OR(AND(LEN(F156)&gt;0,ISNUMBER(F156)=FALSE),AND(LEN(G156)&gt;0,ISNUMBER(G156)=FALSE)),"Check date",IF(COUNT(F156,H156)=0,"",MIN(F156,H156)))</f>
        <v/>
      </c>
      <c r="J156" s="25">
        <f>IF(ISNUMBER(I156)=FALSE,"",IF(AND(ISNUMBER(H156),I156=H156),"24-month work rule","Registry expiry"))</f>
        <v/>
      </c>
      <c r="K156" s="26" t="n"/>
      <c r="L156" s="24">
        <f>IF(ISNUMBER(I156),I156-IF(ISNUMBER(K156),K156,30),"")</f>
        <v/>
      </c>
      <c r="M156" s="27">
        <f>IF(I156="","",IF(ISNUMBER(I156),I156-TODAY(),"Check date"))</f>
        <v/>
      </c>
      <c r="N156" s="28">
        <f>IF(M156="","",IF(ISNUMBER(M156),IF(M156&lt;0,"Expired",IF(M156&lt;=30,"Due ≤30 days",IF(M156&lt;=90,"Due ≤90 days","OK"))),"Check date"))</f>
        <v/>
      </c>
      <c r="O156" s="24">
        <f>IF(ISNUMBER(E156),EDATE(E156,12*(IFERROR(DATEDIF(E156,TODAY(),"y"),0)+1)),"")</f>
        <v/>
      </c>
      <c r="P156" s="26" t="n"/>
      <c r="Q156" s="26" t="n"/>
      <c r="R156" s="27">
        <f>IF(LEN(A156)=0,"",MAX(0,IF(ISNUMBER(Q156),Q156,12)-N(P156)))</f>
        <v/>
      </c>
      <c r="S156" s="23" t="n"/>
      <c r="T156" s="27">
        <f>IF(S156="","",IF(ISNUMBER(S156),S156-TODAY(),"Check date"))</f>
        <v/>
      </c>
      <c r="U156" s="22" t="n"/>
      <c r="V156" s="22" t="n"/>
      <c r="W156" s="22" t="n"/>
      <c r="X156" s="22" t="n"/>
    </row>
    <row r="157">
      <c r="A157" s="22" t="n"/>
      <c r="B157" s="22" t="n"/>
      <c r="C157" s="22" t="n"/>
      <c r="D157" s="22" t="n"/>
      <c r="E157" s="23" t="n"/>
      <c r="F157" s="23" t="n"/>
      <c r="G157" s="23" t="n"/>
      <c r="H157" s="24">
        <f>IF(ISNUMBER(G157),EDATE(G157,24),"")</f>
        <v/>
      </c>
      <c r="I157" s="24">
        <f>IF(OR(AND(LEN(F157)&gt;0,ISNUMBER(F157)=FALSE),AND(LEN(G157)&gt;0,ISNUMBER(G157)=FALSE)),"Check date",IF(COUNT(F157,H157)=0,"",MIN(F157,H157)))</f>
        <v/>
      </c>
      <c r="J157" s="25">
        <f>IF(ISNUMBER(I157)=FALSE,"",IF(AND(ISNUMBER(H157),I157=H157),"24-month work rule","Registry expiry"))</f>
        <v/>
      </c>
      <c r="K157" s="26" t="n"/>
      <c r="L157" s="24">
        <f>IF(ISNUMBER(I157),I157-IF(ISNUMBER(K157),K157,30),"")</f>
        <v/>
      </c>
      <c r="M157" s="27">
        <f>IF(I157="","",IF(ISNUMBER(I157),I157-TODAY(),"Check date"))</f>
        <v/>
      </c>
      <c r="N157" s="28">
        <f>IF(M157="","",IF(ISNUMBER(M157),IF(M157&lt;0,"Expired",IF(M157&lt;=30,"Due ≤30 days",IF(M157&lt;=90,"Due ≤90 days","OK"))),"Check date"))</f>
        <v/>
      </c>
      <c r="O157" s="24">
        <f>IF(ISNUMBER(E157),EDATE(E157,12*(IFERROR(DATEDIF(E157,TODAY(),"y"),0)+1)),"")</f>
        <v/>
      </c>
      <c r="P157" s="26" t="n"/>
      <c r="Q157" s="26" t="n"/>
      <c r="R157" s="27">
        <f>IF(LEN(A157)=0,"",MAX(0,IF(ISNUMBER(Q157),Q157,12)-N(P157)))</f>
        <v/>
      </c>
      <c r="S157" s="23" t="n"/>
      <c r="T157" s="27">
        <f>IF(S157="","",IF(ISNUMBER(S157),S157-TODAY(),"Check date"))</f>
        <v/>
      </c>
      <c r="U157" s="22" t="n"/>
      <c r="V157" s="22" t="n"/>
      <c r="W157" s="22" t="n"/>
      <c r="X157" s="22" t="n"/>
    </row>
    <row r="158">
      <c r="A158" s="22" t="n"/>
      <c r="B158" s="22" t="n"/>
      <c r="C158" s="22" t="n"/>
      <c r="D158" s="22" t="n"/>
      <c r="E158" s="23" t="n"/>
      <c r="F158" s="23" t="n"/>
      <c r="G158" s="23" t="n"/>
      <c r="H158" s="24">
        <f>IF(ISNUMBER(G158),EDATE(G158,24),"")</f>
        <v/>
      </c>
      <c r="I158" s="24">
        <f>IF(OR(AND(LEN(F158)&gt;0,ISNUMBER(F158)=FALSE),AND(LEN(G158)&gt;0,ISNUMBER(G158)=FALSE)),"Check date",IF(COUNT(F158,H158)=0,"",MIN(F158,H158)))</f>
        <v/>
      </c>
      <c r="J158" s="25">
        <f>IF(ISNUMBER(I158)=FALSE,"",IF(AND(ISNUMBER(H158),I158=H158),"24-month work rule","Registry expiry"))</f>
        <v/>
      </c>
      <c r="K158" s="26" t="n"/>
      <c r="L158" s="24">
        <f>IF(ISNUMBER(I158),I158-IF(ISNUMBER(K158),K158,30),"")</f>
        <v/>
      </c>
      <c r="M158" s="27">
        <f>IF(I158="","",IF(ISNUMBER(I158),I158-TODAY(),"Check date"))</f>
        <v/>
      </c>
      <c r="N158" s="28">
        <f>IF(M158="","",IF(ISNUMBER(M158),IF(M158&lt;0,"Expired",IF(M158&lt;=30,"Due ≤30 days",IF(M158&lt;=90,"Due ≤90 days","OK"))),"Check date"))</f>
        <v/>
      </c>
      <c r="O158" s="24">
        <f>IF(ISNUMBER(E158),EDATE(E158,12*(IFERROR(DATEDIF(E158,TODAY(),"y"),0)+1)),"")</f>
        <v/>
      </c>
      <c r="P158" s="26" t="n"/>
      <c r="Q158" s="26" t="n"/>
      <c r="R158" s="27">
        <f>IF(LEN(A158)=0,"",MAX(0,IF(ISNUMBER(Q158),Q158,12)-N(P158)))</f>
        <v/>
      </c>
      <c r="S158" s="23" t="n"/>
      <c r="T158" s="27">
        <f>IF(S158="","",IF(ISNUMBER(S158),S158-TODAY(),"Check date"))</f>
        <v/>
      </c>
      <c r="U158" s="22" t="n"/>
      <c r="V158" s="22" t="n"/>
      <c r="W158" s="22" t="n"/>
      <c r="X158" s="22" t="n"/>
    </row>
    <row r="159">
      <c r="A159" s="22" t="n"/>
      <c r="B159" s="22" t="n"/>
      <c r="C159" s="22" t="n"/>
      <c r="D159" s="22" t="n"/>
      <c r="E159" s="23" t="n"/>
      <c r="F159" s="23" t="n"/>
      <c r="G159" s="23" t="n"/>
      <c r="H159" s="24">
        <f>IF(ISNUMBER(G159),EDATE(G159,24),"")</f>
        <v/>
      </c>
      <c r="I159" s="24">
        <f>IF(OR(AND(LEN(F159)&gt;0,ISNUMBER(F159)=FALSE),AND(LEN(G159)&gt;0,ISNUMBER(G159)=FALSE)),"Check date",IF(COUNT(F159,H159)=0,"",MIN(F159,H159)))</f>
        <v/>
      </c>
      <c r="J159" s="25">
        <f>IF(ISNUMBER(I159)=FALSE,"",IF(AND(ISNUMBER(H159),I159=H159),"24-month work rule","Registry expiry"))</f>
        <v/>
      </c>
      <c r="K159" s="26" t="n"/>
      <c r="L159" s="24">
        <f>IF(ISNUMBER(I159),I159-IF(ISNUMBER(K159),K159,30),"")</f>
        <v/>
      </c>
      <c r="M159" s="27">
        <f>IF(I159="","",IF(ISNUMBER(I159),I159-TODAY(),"Check date"))</f>
        <v/>
      </c>
      <c r="N159" s="28">
        <f>IF(M159="","",IF(ISNUMBER(M159),IF(M159&lt;0,"Expired",IF(M159&lt;=30,"Due ≤30 days",IF(M159&lt;=90,"Due ≤90 days","OK"))),"Check date"))</f>
        <v/>
      </c>
      <c r="O159" s="24">
        <f>IF(ISNUMBER(E159),EDATE(E159,12*(IFERROR(DATEDIF(E159,TODAY(),"y"),0)+1)),"")</f>
        <v/>
      </c>
      <c r="P159" s="26" t="n"/>
      <c r="Q159" s="26" t="n"/>
      <c r="R159" s="27">
        <f>IF(LEN(A159)=0,"",MAX(0,IF(ISNUMBER(Q159),Q159,12)-N(P159)))</f>
        <v/>
      </c>
      <c r="S159" s="23" t="n"/>
      <c r="T159" s="27">
        <f>IF(S159="","",IF(ISNUMBER(S159),S159-TODAY(),"Check date"))</f>
        <v/>
      </c>
      <c r="U159" s="22" t="n"/>
      <c r="V159" s="22" t="n"/>
      <c r="W159" s="22" t="n"/>
      <c r="X159" s="22" t="n"/>
    </row>
    <row r="160">
      <c r="A160" s="22" t="n"/>
      <c r="B160" s="22" t="n"/>
      <c r="C160" s="22" t="n"/>
      <c r="D160" s="22" t="n"/>
      <c r="E160" s="23" t="n"/>
      <c r="F160" s="23" t="n"/>
      <c r="G160" s="23" t="n"/>
      <c r="H160" s="24">
        <f>IF(ISNUMBER(G160),EDATE(G160,24),"")</f>
        <v/>
      </c>
      <c r="I160" s="24">
        <f>IF(OR(AND(LEN(F160)&gt;0,ISNUMBER(F160)=FALSE),AND(LEN(G160)&gt;0,ISNUMBER(G160)=FALSE)),"Check date",IF(COUNT(F160,H160)=0,"",MIN(F160,H160)))</f>
        <v/>
      </c>
      <c r="J160" s="25">
        <f>IF(ISNUMBER(I160)=FALSE,"",IF(AND(ISNUMBER(H160),I160=H160),"24-month work rule","Registry expiry"))</f>
        <v/>
      </c>
      <c r="K160" s="26" t="n"/>
      <c r="L160" s="24">
        <f>IF(ISNUMBER(I160),I160-IF(ISNUMBER(K160),K160,30),"")</f>
        <v/>
      </c>
      <c r="M160" s="27">
        <f>IF(I160="","",IF(ISNUMBER(I160),I160-TODAY(),"Check date"))</f>
        <v/>
      </c>
      <c r="N160" s="28">
        <f>IF(M160="","",IF(ISNUMBER(M160),IF(M160&lt;0,"Expired",IF(M160&lt;=30,"Due ≤30 days",IF(M160&lt;=90,"Due ≤90 days","OK"))),"Check date"))</f>
        <v/>
      </c>
      <c r="O160" s="24">
        <f>IF(ISNUMBER(E160),EDATE(E160,12*(IFERROR(DATEDIF(E160,TODAY(),"y"),0)+1)),"")</f>
        <v/>
      </c>
      <c r="P160" s="26" t="n"/>
      <c r="Q160" s="26" t="n"/>
      <c r="R160" s="27">
        <f>IF(LEN(A160)=0,"",MAX(0,IF(ISNUMBER(Q160),Q160,12)-N(P160)))</f>
        <v/>
      </c>
      <c r="S160" s="23" t="n"/>
      <c r="T160" s="27">
        <f>IF(S160="","",IF(ISNUMBER(S160),S160-TODAY(),"Check date"))</f>
        <v/>
      </c>
      <c r="U160" s="22" t="n"/>
      <c r="V160" s="22" t="n"/>
      <c r="W160" s="22" t="n"/>
      <c r="X160" s="22" t="n"/>
    </row>
    <row r="161">
      <c r="A161" s="22" t="n"/>
      <c r="B161" s="22" t="n"/>
      <c r="C161" s="22" t="n"/>
      <c r="D161" s="22" t="n"/>
      <c r="E161" s="23" t="n"/>
      <c r="F161" s="23" t="n"/>
      <c r="G161" s="23" t="n"/>
      <c r="H161" s="24">
        <f>IF(ISNUMBER(G161),EDATE(G161,24),"")</f>
        <v/>
      </c>
      <c r="I161" s="24">
        <f>IF(OR(AND(LEN(F161)&gt;0,ISNUMBER(F161)=FALSE),AND(LEN(G161)&gt;0,ISNUMBER(G161)=FALSE)),"Check date",IF(COUNT(F161,H161)=0,"",MIN(F161,H161)))</f>
        <v/>
      </c>
      <c r="J161" s="25">
        <f>IF(ISNUMBER(I161)=FALSE,"",IF(AND(ISNUMBER(H161),I161=H161),"24-month work rule","Registry expiry"))</f>
        <v/>
      </c>
      <c r="K161" s="26" t="n"/>
      <c r="L161" s="24">
        <f>IF(ISNUMBER(I161),I161-IF(ISNUMBER(K161),K161,30),"")</f>
        <v/>
      </c>
      <c r="M161" s="27">
        <f>IF(I161="","",IF(ISNUMBER(I161),I161-TODAY(),"Check date"))</f>
        <v/>
      </c>
      <c r="N161" s="28">
        <f>IF(M161="","",IF(ISNUMBER(M161),IF(M161&lt;0,"Expired",IF(M161&lt;=30,"Due ≤30 days",IF(M161&lt;=90,"Due ≤90 days","OK"))),"Check date"))</f>
        <v/>
      </c>
      <c r="O161" s="24">
        <f>IF(ISNUMBER(E161),EDATE(E161,12*(IFERROR(DATEDIF(E161,TODAY(),"y"),0)+1)),"")</f>
        <v/>
      </c>
      <c r="P161" s="26" t="n"/>
      <c r="Q161" s="26" t="n"/>
      <c r="R161" s="27">
        <f>IF(LEN(A161)=0,"",MAX(0,IF(ISNUMBER(Q161),Q161,12)-N(P161)))</f>
        <v/>
      </c>
      <c r="S161" s="23" t="n"/>
      <c r="T161" s="27">
        <f>IF(S161="","",IF(ISNUMBER(S161),S161-TODAY(),"Check date"))</f>
        <v/>
      </c>
      <c r="U161" s="22" t="n"/>
      <c r="V161" s="22" t="n"/>
      <c r="W161" s="22" t="n"/>
      <c r="X161" s="22" t="n"/>
    </row>
    <row r="162">
      <c r="A162" s="22" t="n"/>
      <c r="B162" s="22" t="n"/>
      <c r="C162" s="22" t="n"/>
      <c r="D162" s="22" t="n"/>
      <c r="E162" s="23" t="n"/>
      <c r="F162" s="23" t="n"/>
      <c r="G162" s="23" t="n"/>
      <c r="H162" s="24">
        <f>IF(ISNUMBER(G162),EDATE(G162,24),"")</f>
        <v/>
      </c>
      <c r="I162" s="24">
        <f>IF(OR(AND(LEN(F162)&gt;0,ISNUMBER(F162)=FALSE),AND(LEN(G162)&gt;0,ISNUMBER(G162)=FALSE)),"Check date",IF(COUNT(F162,H162)=0,"",MIN(F162,H162)))</f>
        <v/>
      </c>
      <c r="J162" s="25">
        <f>IF(ISNUMBER(I162)=FALSE,"",IF(AND(ISNUMBER(H162),I162=H162),"24-month work rule","Registry expiry"))</f>
        <v/>
      </c>
      <c r="K162" s="26" t="n"/>
      <c r="L162" s="24">
        <f>IF(ISNUMBER(I162),I162-IF(ISNUMBER(K162),K162,30),"")</f>
        <v/>
      </c>
      <c r="M162" s="27">
        <f>IF(I162="","",IF(ISNUMBER(I162),I162-TODAY(),"Check date"))</f>
        <v/>
      </c>
      <c r="N162" s="28">
        <f>IF(M162="","",IF(ISNUMBER(M162),IF(M162&lt;0,"Expired",IF(M162&lt;=30,"Due ≤30 days",IF(M162&lt;=90,"Due ≤90 days","OK"))),"Check date"))</f>
        <v/>
      </c>
      <c r="O162" s="24">
        <f>IF(ISNUMBER(E162),EDATE(E162,12*(IFERROR(DATEDIF(E162,TODAY(),"y"),0)+1)),"")</f>
        <v/>
      </c>
      <c r="P162" s="26" t="n"/>
      <c r="Q162" s="26" t="n"/>
      <c r="R162" s="27">
        <f>IF(LEN(A162)=0,"",MAX(0,IF(ISNUMBER(Q162),Q162,12)-N(P162)))</f>
        <v/>
      </c>
      <c r="S162" s="23" t="n"/>
      <c r="T162" s="27">
        <f>IF(S162="","",IF(ISNUMBER(S162),S162-TODAY(),"Check date"))</f>
        <v/>
      </c>
      <c r="U162" s="22" t="n"/>
      <c r="V162" s="22" t="n"/>
      <c r="W162" s="22" t="n"/>
      <c r="X162" s="22" t="n"/>
    </row>
    <row r="163">
      <c r="A163" s="22" t="n"/>
      <c r="B163" s="22" t="n"/>
      <c r="C163" s="22" t="n"/>
      <c r="D163" s="22" t="n"/>
      <c r="E163" s="23" t="n"/>
      <c r="F163" s="23" t="n"/>
      <c r="G163" s="23" t="n"/>
      <c r="H163" s="24">
        <f>IF(ISNUMBER(G163),EDATE(G163,24),"")</f>
        <v/>
      </c>
      <c r="I163" s="24">
        <f>IF(OR(AND(LEN(F163)&gt;0,ISNUMBER(F163)=FALSE),AND(LEN(G163)&gt;0,ISNUMBER(G163)=FALSE)),"Check date",IF(COUNT(F163,H163)=0,"",MIN(F163,H163)))</f>
        <v/>
      </c>
      <c r="J163" s="25">
        <f>IF(ISNUMBER(I163)=FALSE,"",IF(AND(ISNUMBER(H163),I163=H163),"24-month work rule","Registry expiry"))</f>
        <v/>
      </c>
      <c r="K163" s="26" t="n"/>
      <c r="L163" s="24">
        <f>IF(ISNUMBER(I163),I163-IF(ISNUMBER(K163),K163,30),"")</f>
        <v/>
      </c>
      <c r="M163" s="27">
        <f>IF(I163="","",IF(ISNUMBER(I163),I163-TODAY(),"Check date"))</f>
        <v/>
      </c>
      <c r="N163" s="28">
        <f>IF(M163="","",IF(ISNUMBER(M163),IF(M163&lt;0,"Expired",IF(M163&lt;=30,"Due ≤30 days",IF(M163&lt;=90,"Due ≤90 days","OK"))),"Check date"))</f>
        <v/>
      </c>
      <c r="O163" s="24">
        <f>IF(ISNUMBER(E163),EDATE(E163,12*(IFERROR(DATEDIF(E163,TODAY(),"y"),0)+1)),"")</f>
        <v/>
      </c>
      <c r="P163" s="26" t="n"/>
      <c r="Q163" s="26" t="n"/>
      <c r="R163" s="27">
        <f>IF(LEN(A163)=0,"",MAX(0,IF(ISNUMBER(Q163),Q163,12)-N(P163)))</f>
        <v/>
      </c>
      <c r="S163" s="23" t="n"/>
      <c r="T163" s="27">
        <f>IF(S163="","",IF(ISNUMBER(S163),S163-TODAY(),"Check date"))</f>
        <v/>
      </c>
      <c r="U163" s="22" t="n"/>
      <c r="V163" s="22" t="n"/>
      <c r="W163" s="22" t="n"/>
      <c r="X163" s="22" t="n"/>
    </row>
    <row r="164">
      <c r="A164" s="22" t="n"/>
      <c r="B164" s="22" t="n"/>
      <c r="C164" s="22" t="n"/>
      <c r="D164" s="22" t="n"/>
      <c r="E164" s="23" t="n"/>
      <c r="F164" s="23" t="n"/>
      <c r="G164" s="23" t="n"/>
      <c r="H164" s="24">
        <f>IF(ISNUMBER(G164),EDATE(G164,24),"")</f>
        <v/>
      </c>
      <c r="I164" s="24">
        <f>IF(OR(AND(LEN(F164)&gt;0,ISNUMBER(F164)=FALSE),AND(LEN(G164)&gt;0,ISNUMBER(G164)=FALSE)),"Check date",IF(COUNT(F164,H164)=0,"",MIN(F164,H164)))</f>
        <v/>
      </c>
      <c r="J164" s="25">
        <f>IF(ISNUMBER(I164)=FALSE,"",IF(AND(ISNUMBER(H164),I164=H164),"24-month work rule","Registry expiry"))</f>
        <v/>
      </c>
      <c r="K164" s="26" t="n"/>
      <c r="L164" s="24">
        <f>IF(ISNUMBER(I164),I164-IF(ISNUMBER(K164),K164,30),"")</f>
        <v/>
      </c>
      <c r="M164" s="27">
        <f>IF(I164="","",IF(ISNUMBER(I164),I164-TODAY(),"Check date"))</f>
        <v/>
      </c>
      <c r="N164" s="28">
        <f>IF(M164="","",IF(ISNUMBER(M164),IF(M164&lt;0,"Expired",IF(M164&lt;=30,"Due ≤30 days",IF(M164&lt;=90,"Due ≤90 days","OK"))),"Check date"))</f>
        <v/>
      </c>
      <c r="O164" s="24">
        <f>IF(ISNUMBER(E164),EDATE(E164,12*(IFERROR(DATEDIF(E164,TODAY(),"y"),0)+1)),"")</f>
        <v/>
      </c>
      <c r="P164" s="26" t="n"/>
      <c r="Q164" s="26" t="n"/>
      <c r="R164" s="27">
        <f>IF(LEN(A164)=0,"",MAX(0,IF(ISNUMBER(Q164),Q164,12)-N(P164)))</f>
        <v/>
      </c>
      <c r="S164" s="23" t="n"/>
      <c r="T164" s="27">
        <f>IF(S164="","",IF(ISNUMBER(S164),S164-TODAY(),"Check date"))</f>
        <v/>
      </c>
      <c r="U164" s="22" t="n"/>
      <c r="V164" s="22" t="n"/>
      <c r="W164" s="22" t="n"/>
      <c r="X164" s="22" t="n"/>
    </row>
    <row r="165">
      <c r="A165" s="22" t="n"/>
      <c r="B165" s="22" t="n"/>
      <c r="C165" s="22" t="n"/>
      <c r="D165" s="22" t="n"/>
      <c r="E165" s="23" t="n"/>
      <c r="F165" s="23" t="n"/>
      <c r="G165" s="23" t="n"/>
      <c r="H165" s="24">
        <f>IF(ISNUMBER(G165),EDATE(G165,24),"")</f>
        <v/>
      </c>
      <c r="I165" s="24">
        <f>IF(OR(AND(LEN(F165)&gt;0,ISNUMBER(F165)=FALSE),AND(LEN(G165)&gt;0,ISNUMBER(G165)=FALSE)),"Check date",IF(COUNT(F165,H165)=0,"",MIN(F165,H165)))</f>
        <v/>
      </c>
      <c r="J165" s="25">
        <f>IF(ISNUMBER(I165)=FALSE,"",IF(AND(ISNUMBER(H165),I165=H165),"24-month work rule","Registry expiry"))</f>
        <v/>
      </c>
      <c r="K165" s="26" t="n"/>
      <c r="L165" s="24">
        <f>IF(ISNUMBER(I165),I165-IF(ISNUMBER(K165),K165,30),"")</f>
        <v/>
      </c>
      <c r="M165" s="27">
        <f>IF(I165="","",IF(ISNUMBER(I165),I165-TODAY(),"Check date"))</f>
        <v/>
      </c>
      <c r="N165" s="28">
        <f>IF(M165="","",IF(ISNUMBER(M165),IF(M165&lt;0,"Expired",IF(M165&lt;=30,"Due ≤30 days",IF(M165&lt;=90,"Due ≤90 days","OK"))),"Check date"))</f>
        <v/>
      </c>
      <c r="O165" s="24">
        <f>IF(ISNUMBER(E165),EDATE(E165,12*(IFERROR(DATEDIF(E165,TODAY(),"y"),0)+1)),"")</f>
        <v/>
      </c>
      <c r="P165" s="26" t="n"/>
      <c r="Q165" s="26" t="n"/>
      <c r="R165" s="27">
        <f>IF(LEN(A165)=0,"",MAX(0,IF(ISNUMBER(Q165),Q165,12)-N(P165)))</f>
        <v/>
      </c>
      <c r="S165" s="23" t="n"/>
      <c r="T165" s="27">
        <f>IF(S165="","",IF(ISNUMBER(S165),S165-TODAY(),"Check date"))</f>
        <v/>
      </c>
      <c r="U165" s="22" t="n"/>
      <c r="V165" s="22" t="n"/>
      <c r="W165" s="22" t="n"/>
      <c r="X165" s="22" t="n"/>
    </row>
    <row r="166">
      <c r="A166" s="22" t="n"/>
      <c r="B166" s="22" t="n"/>
      <c r="C166" s="22" t="n"/>
      <c r="D166" s="22" t="n"/>
      <c r="E166" s="23" t="n"/>
      <c r="F166" s="23" t="n"/>
      <c r="G166" s="23" t="n"/>
      <c r="H166" s="24">
        <f>IF(ISNUMBER(G166),EDATE(G166,24),"")</f>
        <v/>
      </c>
      <c r="I166" s="24">
        <f>IF(OR(AND(LEN(F166)&gt;0,ISNUMBER(F166)=FALSE),AND(LEN(G166)&gt;0,ISNUMBER(G166)=FALSE)),"Check date",IF(COUNT(F166,H166)=0,"",MIN(F166,H166)))</f>
        <v/>
      </c>
      <c r="J166" s="25">
        <f>IF(ISNUMBER(I166)=FALSE,"",IF(AND(ISNUMBER(H166),I166=H166),"24-month work rule","Registry expiry"))</f>
        <v/>
      </c>
      <c r="K166" s="26" t="n"/>
      <c r="L166" s="24">
        <f>IF(ISNUMBER(I166),I166-IF(ISNUMBER(K166),K166,30),"")</f>
        <v/>
      </c>
      <c r="M166" s="27">
        <f>IF(I166="","",IF(ISNUMBER(I166),I166-TODAY(),"Check date"))</f>
        <v/>
      </c>
      <c r="N166" s="28">
        <f>IF(M166="","",IF(ISNUMBER(M166),IF(M166&lt;0,"Expired",IF(M166&lt;=30,"Due ≤30 days",IF(M166&lt;=90,"Due ≤90 days","OK"))),"Check date"))</f>
        <v/>
      </c>
      <c r="O166" s="24">
        <f>IF(ISNUMBER(E166),EDATE(E166,12*(IFERROR(DATEDIF(E166,TODAY(),"y"),0)+1)),"")</f>
        <v/>
      </c>
      <c r="P166" s="26" t="n"/>
      <c r="Q166" s="26" t="n"/>
      <c r="R166" s="27">
        <f>IF(LEN(A166)=0,"",MAX(0,IF(ISNUMBER(Q166),Q166,12)-N(P166)))</f>
        <v/>
      </c>
      <c r="S166" s="23" t="n"/>
      <c r="T166" s="27">
        <f>IF(S166="","",IF(ISNUMBER(S166),S166-TODAY(),"Check date"))</f>
        <v/>
      </c>
      <c r="U166" s="22" t="n"/>
      <c r="V166" s="22" t="n"/>
      <c r="W166" s="22" t="n"/>
      <c r="X166" s="22" t="n"/>
    </row>
    <row r="167">
      <c r="A167" s="22" t="n"/>
      <c r="B167" s="22" t="n"/>
      <c r="C167" s="22" t="n"/>
      <c r="D167" s="22" t="n"/>
      <c r="E167" s="23" t="n"/>
      <c r="F167" s="23" t="n"/>
      <c r="G167" s="23" t="n"/>
      <c r="H167" s="24">
        <f>IF(ISNUMBER(G167),EDATE(G167,24),"")</f>
        <v/>
      </c>
      <c r="I167" s="24">
        <f>IF(OR(AND(LEN(F167)&gt;0,ISNUMBER(F167)=FALSE),AND(LEN(G167)&gt;0,ISNUMBER(G167)=FALSE)),"Check date",IF(COUNT(F167,H167)=0,"",MIN(F167,H167)))</f>
        <v/>
      </c>
      <c r="J167" s="25">
        <f>IF(ISNUMBER(I167)=FALSE,"",IF(AND(ISNUMBER(H167),I167=H167),"24-month work rule","Registry expiry"))</f>
        <v/>
      </c>
      <c r="K167" s="26" t="n"/>
      <c r="L167" s="24">
        <f>IF(ISNUMBER(I167),I167-IF(ISNUMBER(K167),K167,30),"")</f>
        <v/>
      </c>
      <c r="M167" s="27">
        <f>IF(I167="","",IF(ISNUMBER(I167),I167-TODAY(),"Check date"))</f>
        <v/>
      </c>
      <c r="N167" s="28">
        <f>IF(M167="","",IF(ISNUMBER(M167),IF(M167&lt;0,"Expired",IF(M167&lt;=30,"Due ≤30 days",IF(M167&lt;=90,"Due ≤90 days","OK"))),"Check date"))</f>
        <v/>
      </c>
      <c r="O167" s="24">
        <f>IF(ISNUMBER(E167),EDATE(E167,12*(IFERROR(DATEDIF(E167,TODAY(),"y"),0)+1)),"")</f>
        <v/>
      </c>
      <c r="P167" s="26" t="n"/>
      <c r="Q167" s="26" t="n"/>
      <c r="R167" s="27">
        <f>IF(LEN(A167)=0,"",MAX(0,IF(ISNUMBER(Q167),Q167,12)-N(P167)))</f>
        <v/>
      </c>
      <c r="S167" s="23" t="n"/>
      <c r="T167" s="27">
        <f>IF(S167="","",IF(ISNUMBER(S167),S167-TODAY(),"Check date"))</f>
        <v/>
      </c>
      <c r="U167" s="22" t="n"/>
      <c r="V167" s="22" t="n"/>
      <c r="W167" s="22" t="n"/>
      <c r="X167" s="22" t="n"/>
    </row>
    <row r="168">
      <c r="A168" s="22" t="n"/>
      <c r="B168" s="22" t="n"/>
      <c r="C168" s="22" t="n"/>
      <c r="D168" s="22" t="n"/>
      <c r="E168" s="23" t="n"/>
      <c r="F168" s="23" t="n"/>
      <c r="G168" s="23" t="n"/>
      <c r="H168" s="24">
        <f>IF(ISNUMBER(G168),EDATE(G168,24),"")</f>
        <v/>
      </c>
      <c r="I168" s="24">
        <f>IF(OR(AND(LEN(F168)&gt;0,ISNUMBER(F168)=FALSE),AND(LEN(G168)&gt;0,ISNUMBER(G168)=FALSE)),"Check date",IF(COUNT(F168,H168)=0,"",MIN(F168,H168)))</f>
        <v/>
      </c>
      <c r="J168" s="25">
        <f>IF(ISNUMBER(I168)=FALSE,"",IF(AND(ISNUMBER(H168),I168=H168),"24-month work rule","Registry expiry"))</f>
        <v/>
      </c>
      <c r="K168" s="26" t="n"/>
      <c r="L168" s="24">
        <f>IF(ISNUMBER(I168),I168-IF(ISNUMBER(K168),K168,30),"")</f>
        <v/>
      </c>
      <c r="M168" s="27">
        <f>IF(I168="","",IF(ISNUMBER(I168),I168-TODAY(),"Check date"))</f>
        <v/>
      </c>
      <c r="N168" s="28">
        <f>IF(M168="","",IF(ISNUMBER(M168),IF(M168&lt;0,"Expired",IF(M168&lt;=30,"Due ≤30 days",IF(M168&lt;=90,"Due ≤90 days","OK"))),"Check date"))</f>
        <v/>
      </c>
      <c r="O168" s="24">
        <f>IF(ISNUMBER(E168),EDATE(E168,12*(IFERROR(DATEDIF(E168,TODAY(),"y"),0)+1)),"")</f>
        <v/>
      </c>
      <c r="P168" s="26" t="n"/>
      <c r="Q168" s="26" t="n"/>
      <c r="R168" s="27">
        <f>IF(LEN(A168)=0,"",MAX(0,IF(ISNUMBER(Q168),Q168,12)-N(P168)))</f>
        <v/>
      </c>
      <c r="S168" s="23" t="n"/>
      <c r="T168" s="27">
        <f>IF(S168="","",IF(ISNUMBER(S168),S168-TODAY(),"Check date"))</f>
        <v/>
      </c>
      <c r="U168" s="22" t="n"/>
      <c r="V168" s="22" t="n"/>
      <c r="W168" s="22" t="n"/>
      <c r="X168" s="22" t="n"/>
    </row>
    <row r="169">
      <c r="A169" s="22" t="n"/>
      <c r="B169" s="22" t="n"/>
      <c r="C169" s="22" t="n"/>
      <c r="D169" s="22" t="n"/>
      <c r="E169" s="23" t="n"/>
      <c r="F169" s="23" t="n"/>
      <c r="G169" s="23" t="n"/>
      <c r="H169" s="24">
        <f>IF(ISNUMBER(G169),EDATE(G169,24),"")</f>
        <v/>
      </c>
      <c r="I169" s="24">
        <f>IF(OR(AND(LEN(F169)&gt;0,ISNUMBER(F169)=FALSE),AND(LEN(G169)&gt;0,ISNUMBER(G169)=FALSE)),"Check date",IF(COUNT(F169,H169)=0,"",MIN(F169,H169)))</f>
        <v/>
      </c>
      <c r="J169" s="25">
        <f>IF(ISNUMBER(I169)=FALSE,"",IF(AND(ISNUMBER(H169),I169=H169),"24-month work rule","Registry expiry"))</f>
        <v/>
      </c>
      <c r="K169" s="26" t="n"/>
      <c r="L169" s="24">
        <f>IF(ISNUMBER(I169),I169-IF(ISNUMBER(K169),K169,30),"")</f>
        <v/>
      </c>
      <c r="M169" s="27">
        <f>IF(I169="","",IF(ISNUMBER(I169),I169-TODAY(),"Check date"))</f>
        <v/>
      </c>
      <c r="N169" s="28">
        <f>IF(M169="","",IF(ISNUMBER(M169),IF(M169&lt;0,"Expired",IF(M169&lt;=30,"Due ≤30 days",IF(M169&lt;=90,"Due ≤90 days","OK"))),"Check date"))</f>
        <v/>
      </c>
      <c r="O169" s="24">
        <f>IF(ISNUMBER(E169),EDATE(E169,12*(IFERROR(DATEDIF(E169,TODAY(),"y"),0)+1)),"")</f>
        <v/>
      </c>
      <c r="P169" s="26" t="n"/>
      <c r="Q169" s="26" t="n"/>
      <c r="R169" s="27">
        <f>IF(LEN(A169)=0,"",MAX(0,IF(ISNUMBER(Q169),Q169,12)-N(P169)))</f>
        <v/>
      </c>
      <c r="S169" s="23" t="n"/>
      <c r="T169" s="27">
        <f>IF(S169="","",IF(ISNUMBER(S169),S169-TODAY(),"Check date"))</f>
        <v/>
      </c>
      <c r="U169" s="22" t="n"/>
      <c r="V169" s="22" t="n"/>
      <c r="W169" s="22" t="n"/>
      <c r="X169" s="22" t="n"/>
    </row>
    <row r="170">
      <c r="A170" s="22" t="n"/>
      <c r="B170" s="22" t="n"/>
      <c r="C170" s="22" t="n"/>
      <c r="D170" s="22" t="n"/>
      <c r="E170" s="23" t="n"/>
      <c r="F170" s="23" t="n"/>
      <c r="G170" s="23" t="n"/>
      <c r="H170" s="24">
        <f>IF(ISNUMBER(G170),EDATE(G170,24),"")</f>
        <v/>
      </c>
      <c r="I170" s="24">
        <f>IF(OR(AND(LEN(F170)&gt;0,ISNUMBER(F170)=FALSE),AND(LEN(G170)&gt;0,ISNUMBER(G170)=FALSE)),"Check date",IF(COUNT(F170,H170)=0,"",MIN(F170,H170)))</f>
        <v/>
      </c>
      <c r="J170" s="25">
        <f>IF(ISNUMBER(I170)=FALSE,"",IF(AND(ISNUMBER(H170),I170=H170),"24-month work rule","Registry expiry"))</f>
        <v/>
      </c>
      <c r="K170" s="26" t="n"/>
      <c r="L170" s="24">
        <f>IF(ISNUMBER(I170),I170-IF(ISNUMBER(K170),K170,30),"")</f>
        <v/>
      </c>
      <c r="M170" s="27">
        <f>IF(I170="","",IF(ISNUMBER(I170),I170-TODAY(),"Check date"))</f>
        <v/>
      </c>
      <c r="N170" s="28">
        <f>IF(M170="","",IF(ISNUMBER(M170),IF(M170&lt;0,"Expired",IF(M170&lt;=30,"Due ≤30 days",IF(M170&lt;=90,"Due ≤90 days","OK"))),"Check date"))</f>
        <v/>
      </c>
      <c r="O170" s="24">
        <f>IF(ISNUMBER(E170),EDATE(E170,12*(IFERROR(DATEDIF(E170,TODAY(),"y"),0)+1)),"")</f>
        <v/>
      </c>
      <c r="P170" s="26" t="n"/>
      <c r="Q170" s="26" t="n"/>
      <c r="R170" s="27">
        <f>IF(LEN(A170)=0,"",MAX(0,IF(ISNUMBER(Q170),Q170,12)-N(P170)))</f>
        <v/>
      </c>
      <c r="S170" s="23" t="n"/>
      <c r="T170" s="27">
        <f>IF(S170="","",IF(ISNUMBER(S170),S170-TODAY(),"Check date"))</f>
        <v/>
      </c>
      <c r="U170" s="22" t="n"/>
      <c r="V170" s="22" t="n"/>
      <c r="W170" s="22" t="n"/>
      <c r="X170" s="22" t="n"/>
    </row>
    <row r="171">
      <c r="A171" s="22" t="n"/>
      <c r="B171" s="22" t="n"/>
      <c r="C171" s="22" t="n"/>
      <c r="D171" s="22" t="n"/>
      <c r="E171" s="23" t="n"/>
      <c r="F171" s="23" t="n"/>
      <c r="G171" s="23" t="n"/>
      <c r="H171" s="24">
        <f>IF(ISNUMBER(G171),EDATE(G171,24),"")</f>
        <v/>
      </c>
      <c r="I171" s="24">
        <f>IF(OR(AND(LEN(F171)&gt;0,ISNUMBER(F171)=FALSE),AND(LEN(G171)&gt;0,ISNUMBER(G171)=FALSE)),"Check date",IF(COUNT(F171,H171)=0,"",MIN(F171,H171)))</f>
        <v/>
      </c>
      <c r="J171" s="25">
        <f>IF(ISNUMBER(I171)=FALSE,"",IF(AND(ISNUMBER(H171),I171=H171),"24-month work rule","Registry expiry"))</f>
        <v/>
      </c>
      <c r="K171" s="26" t="n"/>
      <c r="L171" s="24">
        <f>IF(ISNUMBER(I171),I171-IF(ISNUMBER(K171),K171,30),"")</f>
        <v/>
      </c>
      <c r="M171" s="27">
        <f>IF(I171="","",IF(ISNUMBER(I171),I171-TODAY(),"Check date"))</f>
        <v/>
      </c>
      <c r="N171" s="28">
        <f>IF(M171="","",IF(ISNUMBER(M171),IF(M171&lt;0,"Expired",IF(M171&lt;=30,"Due ≤30 days",IF(M171&lt;=90,"Due ≤90 days","OK"))),"Check date"))</f>
        <v/>
      </c>
      <c r="O171" s="24">
        <f>IF(ISNUMBER(E171),EDATE(E171,12*(IFERROR(DATEDIF(E171,TODAY(),"y"),0)+1)),"")</f>
        <v/>
      </c>
      <c r="P171" s="26" t="n"/>
      <c r="Q171" s="26" t="n"/>
      <c r="R171" s="27">
        <f>IF(LEN(A171)=0,"",MAX(0,IF(ISNUMBER(Q171),Q171,12)-N(P171)))</f>
        <v/>
      </c>
      <c r="S171" s="23" t="n"/>
      <c r="T171" s="27">
        <f>IF(S171="","",IF(ISNUMBER(S171),S171-TODAY(),"Check date"))</f>
        <v/>
      </c>
      <c r="U171" s="22" t="n"/>
      <c r="V171" s="22" t="n"/>
      <c r="W171" s="22" t="n"/>
      <c r="X171" s="22" t="n"/>
    </row>
    <row r="172">
      <c r="A172" s="22" t="n"/>
      <c r="B172" s="22" t="n"/>
      <c r="C172" s="22" t="n"/>
      <c r="D172" s="22" t="n"/>
      <c r="E172" s="23" t="n"/>
      <c r="F172" s="23" t="n"/>
      <c r="G172" s="23" t="n"/>
      <c r="H172" s="24">
        <f>IF(ISNUMBER(G172),EDATE(G172,24),"")</f>
        <v/>
      </c>
      <c r="I172" s="24">
        <f>IF(OR(AND(LEN(F172)&gt;0,ISNUMBER(F172)=FALSE),AND(LEN(G172)&gt;0,ISNUMBER(G172)=FALSE)),"Check date",IF(COUNT(F172,H172)=0,"",MIN(F172,H172)))</f>
        <v/>
      </c>
      <c r="J172" s="25">
        <f>IF(ISNUMBER(I172)=FALSE,"",IF(AND(ISNUMBER(H172),I172=H172),"24-month work rule","Registry expiry"))</f>
        <v/>
      </c>
      <c r="K172" s="26" t="n"/>
      <c r="L172" s="24">
        <f>IF(ISNUMBER(I172),I172-IF(ISNUMBER(K172),K172,30),"")</f>
        <v/>
      </c>
      <c r="M172" s="27">
        <f>IF(I172="","",IF(ISNUMBER(I172),I172-TODAY(),"Check date"))</f>
        <v/>
      </c>
      <c r="N172" s="28">
        <f>IF(M172="","",IF(ISNUMBER(M172),IF(M172&lt;0,"Expired",IF(M172&lt;=30,"Due ≤30 days",IF(M172&lt;=90,"Due ≤90 days","OK"))),"Check date"))</f>
        <v/>
      </c>
      <c r="O172" s="24">
        <f>IF(ISNUMBER(E172),EDATE(E172,12*(IFERROR(DATEDIF(E172,TODAY(),"y"),0)+1)),"")</f>
        <v/>
      </c>
      <c r="P172" s="26" t="n"/>
      <c r="Q172" s="26" t="n"/>
      <c r="R172" s="27">
        <f>IF(LEN(A172)=0,"",MAX(0,IF(ISNUMBER(Q172),Q172,12)-N(P172)))</f>
        <v/>
      </c>
      <c r="S172" s="23" t="n"/>
      <c r="T172" s="27">
        <f>IF(S172="","",IF(ISNUMBER(S172),S172-TODAY(),"Check date"))</f>
        <v/>
      </c>
      <c r="U172" s="22" t="n"/>
      <c r="V172" s="22" t="n"/>
      <c r="W172" s="22" t="n"/>
      <c r="X172" s="22" t="n"/>
    </row>
    <row r="173">
      <c r="A173" s="22" t="n"/>
      <c r="B173" s="22" t="n"/>
      <c r="C173" s="22" t="n"/>
      <c r="D173" s="22" t="n"/>
      <c r="E173" s="23" t="n"/>
      <c r="F173" s="23" t="n"/>
      <c r="G173" s="23" t="n"/>
      <c r="H173" s="24">
        <f>IF(ISNUMBER(G173),EDATE(G173,24),"")</f>
        <v/>
      </c>
      <c r="I173" s="24">
        <f>IF(OR(AND(LEN(F173)&gt;0,ISNUMBER(F173)=FALSE),AND(LEN(G173)&gt;0,ISNUMBER(G173)=FALSE)),"Check date",IF(COUNT(F173,H173)=0,"",MIN(F173,H173)))</f>
        <v/>
      </c>
      <c r="J173" s="25">
        <f>IF(ISNUMBER(I173)=FALSE,"",IF(AND(ISNUMBER(H173),I173=H173),"24-month work rule","Registry expiry"))</f>
        <v/>
      </c>
      <c r="K173" s="26" t="n"/>
      <c r="L173" s="24">
        <f>IF(ISNUMBER(I173),I173-IF(ISNUMBER(K173),K173,30),"")</f>
        <v/>
      </c>
      <c r="M173" s="27">
        <f>IF(I173="","",IF(ISNUMBER(I173),I173-TODAY(),"Check date"))</f>
        <v/>
      </c>
      <c r="N173" s="28">
        <f>IF(M173="","",IF(ISNUMBER(M173),IF(M173&lt;0,"Expired",IF(M173&lt;=30,"Due ≤30 days",IF(M173&lt;=90,"Due ≤90 days","OK"))),"Check date"))</f>
        <v/>
      </c>
      <c r="O173" s="24">
        <f>IF(ISNUMBER(E173),EDATE(E173,12*(IFERROR(DATEDIF(E173,TODAY(),"y"),0)+1)),"")</f>
        <v/>
      </c>
      <c r="P173" s="26" t="n"/>
      <c r="Q173" s="26" t="n"/>
      <c r="R173" s="27">
        <f>IF(LEN(A173)=0,"",MAX(0,IF(ISNUMBER(Q173),Q173,12)-N(P173)))</f>
        <v/>
      </c>
      <c r="S173" s="23" t="n"/>
      <c r="T173" s="27">
        <f>IF(S173="","",IF(ISNUMBER(S173),S173-TODAY(),"Check date"))</f>
        <v/>
      </c>
      <c r="U173" s="22" t="n"/>
      <c r="V173" s="22" t="n"/>
      <c r="W173" s="22" t="n"/>
      <c r="X173" s="22" t="n"/>
    </row>
    <row r="174">
      <c r="A174" s="22" t="n"/>
      <c r="B174" s="22" t="n"/>
      <c r="C174" s="22" t="n"/>
      <c r="D174" s="22" t="n"/>
      <c r="E174" s="23" t="n"/>
      <c r="F174" s="23" t="n"/>
      <c r="G174" s="23" t="n"/>
      <c r="H174" s="24">
        <f>IF(ISNUMBER(G174),EDATE(G174,24),"")</f>
        <v/>
      </c>
      <c r="I174" s="24">
        <f>IF(OR(AND(LEN(F174)&gt;0,ISNUMBER(F174)=FALSE),AND(LEN(G174)&gt;0,ISNUMBER(G174)=FALSE)),"Check date",IF(COUNT(F174,H174)=0,"",MIN(F174,H174)))</f>
        <v/>
      </c>
      <c r="J174" s="25">
        <f>IF(ISNUMBER(I174)=FALSE,"",IF(AND(ISNUMBER(H174),I174=H174),"24-month work rule","Registry expiry"))</f>
        <v/>
      </c>
      <c r="K174" s="26" t="n"/>
      <c r="L174" s="24">
        <f>IF(ISNUMBER(I174),I174-IF(ISNUMBER(K174),K174,30),"")</f>
        <v/>
      </c>
      <c r="M174" s="27">
        <f>IF(I174="","",IF(ISNUMBER(I174),I174-TODAY(),"Check date"))</f>
        <v/>
      </c>
      <c r="N174" s="28">
        <f>IF(M174="","",IF(ISNUMBER(M174),IF(M174&lt;0,"Expired",IF(M174&lt;=30,"Due ≤30 days",IF(M174&lt;=90,"Due ≤90 days","OK"))),"Check date"))</f>
        <v/>
      </c>
      <c r="O174" s="24">
        <f>IF(ISNUMBER(E174),EDATE(E174,12*(IFERROR(DATEDIF(E174,TODAY(),"y"),0)+1)),"")</f>
        <v/>
      </c>
      <c r="P174" s="26" t="n"/>
      <c r="Q174" s="26" t="n"/>
      <c r="R174" s="27">
        <f>IF(LEN(A174)=0,"",MAX(0,IF(ISNUMBER(Q174),Q174,12)-N(P174)))</f>
        <v/>
      </c>
      <c r="S174" s="23" t="n"/>
      <c r="T174" s="27">
        <f>IF(S174="","",IF(ISNUMBER(S174),S174-TODAY(),"Check date"))</f>
        <v/>
      </c>
      <c r="U174" s="22" t="n"/>
      <c r="V174" s="22" t="n"/>
      <c r="W174" s="22" t="n"/>
      <c r="X174" s="22" t="n"/>
    </row>
    <row r="175">
      <c r="A175" s="22" t="n"/>
      <c r="B175" s="22" t="n"/>
      <c r="C175" s="22" t="n"/>
      <c r="D175" s="22" t="n"/>
      <c r="E175" s="23" t="n"/>
      <c r="F175" s="23" t="n"/>
      <c r="G175" s="23" t="n"/>
      <c r="H175" s="24">
        <f>IF(ISNUMBER(G175),EDATE(G175,24),"")</f>
        <v/>
      </c>
      <c r="I175" s="24">
        <f>IF(OR(AND(LEN(F175)&gt;0,ISNUMBER(F175)=FALSE),AND(LEN(G175)&gt;0,ISNUMBER(G175)=FALSE)),"Check date",IF(COUNT(F175,H175)=0,"",MIN(F175,H175)))</f>
        <v/>
      </c>
      <c r="J175" s="25">
        <f>IF(ISNUMBER(I175)=FALSE,"",IF(AND(ISNUMBER(H175),I175=H175),"24-month work rule","Registry expiry"))</f>
        <v/>
      </c>
      <c r="K175" s="26" t="n"/>
      <c r="L175" s="24">
        <f>IF(ISNUMBER(I175),I175-IF(ISNUMBER(K175),K175,30),"")</f>
        <v/>
      </c>
      <c r="M175" s="27">
        <f>IF(I175="","",IF(ISNUMBER(I175),I175-TODAY(),"Check date"))</f>
        <v/>
      </c>
      <c r="N175" s="28">
        <f>IF(M175="","",IF(ISNUMBER(M175),IF(M175&lt;0,"Expired",IF(M175&lt;=30,"Due ≤30 days",IF(M175&lt;=90,"Due ≤90 days","OK"))),"Check date"))</f>
        <v/>
      </c>
      <c r="O175" s="24">
        <f>IF(ISNUMBER(E175),EDATE(E175,12*(IFERROR(DATEDIF(E175,TODAY(),"y"),0)+1)),"")</f>
        <v/>
      </c>
      <c r="P175" s="26" t="n"/>
      <c r="Q175" s="26" t="n"/>
      <c r="R175" s="27">
        <f>IF(LEN(A175)=0,"",MAX(0,IF(ISNUMBER(Q175),Q175,12)-N(P175)))</f>
        <v/>
      </c>
      <c r="S175" s="23" t="n"/>
      <c r="T175" s="27">
        <f>IF(S175="","",IF(ISNUMBER(S175),S175-TODAY(),"Check date"))</f>
        <v/>
      </c>
      <c r="U175" s="22" t="n"/>
      <c r="V175" s="22" t="n"/>
      <c r="W175" s="22" t="n"/>
      <c r="X175" s="22" t="n"/>
    </row>
    <row r="176">
      <c r="A176" s="22" t="n"/>
      <c r="B176" s="22" t="n"/>
      <c r="C176" s="22" t="n"/>
      <c r="D176" s="22" t="n"/>
      <c r="E176" s="23" t="n"/>
      <c r="F176" s="23" t="n"/>
      <c r="G176" s="23" t="n"/>
      <c r="H176" s="24">
        <f>IF(ISNUMBER(G176),EDATE(G176,24),"")</f>
        <v/>
      </c>
      <c r="I176" s="24">
        <f>IF(OR(AND(LEN(F176)&gt;0,ISNUMBER(F176)=FALSE),AND(LEN(G176)&gt;0,ISNUMBER(G176)=FALSE)),"Check date",IF(COUNT(F176,H176)=0,"",MIN(F176,H176)))</f>
        <v/>
      </c>
      <c r="J176" s="25">
        <f>IF(ISNUMBER(I176)=FALSE,"",IF(AND(ISNUMBER(H176),I176=H176),"24-month work rule","Registry expiry"))</f>
        <v/>
      </c>
      <c r="K176" s="26" t="n"/>
      <c r="L176" s="24">
        <f>IF(ISNUMBER(I176),I176-IF(ISNUMBER(K176),K176,30),"")</f>
        <v/>
      </c>
      <c r="M176" s="27">
        <f>IF(I176="","",IF(ISNUMBER(I176),I176-TODAY(),"Check date"))</f>
        <v/>
      </c>
      <c r="N176" s="28">
        <f>IF(M176="","",IF(ISNUMBER(M176),IF(M176&lt;0,"Expired",IF(M176&lt;=30,"Due ≤30 days",IF(M176&lt;=90,"Due ≤90 days","OK"))),"Check date"))</f>
        <v/>
      </c>
      <c r="O176" s="24">
        <f>IF(ISNUMBER(E176),EDATE(E176,12*(IFERROR(DATEDIF(E176,TODAY(),"y"),0)+1)),"")</f>
        <v/>
      </c>
      <c r="P176" s="26" t="n"/>
      <c r="Q176" s="26" t="n"/>
      <c r="R176" s="27">
        <f>IF(LEN(A176)=0,"",MAX(0,IF(ISNUMBER(Q176),Q176,12)-N(P176)))</f>
        <v/>
      </c>
      <c r="S176" s="23" t="n"/>
      <c r="T176" s="27">
        <f>IF(S176="","",IF(ISNUMBER(S176),S176-TODAY(),"Check date"))</f>
        <v/>
      </c>
      <c r="U176" s="22" t="n"/>
      <c r="V176" s="22" t="n"/>
      <c r="W176" s="22" t="n"/>
      <c r="X176" s="22" t="n"/>
    </row>
    <row r="177">
      <c r="A177" s="22" t="n"/>
      <c r="B177" s="22" t="n"/>
      <c r="C177" s="22" t="n"/>
      <c r="D177" s="22" t="n"/>
      <c r="E177" s="23" t="n"/>
      <c r="F177" s="23" t="n"/>
      <c r="G177" s="23" t="n"/>
      <c r="H177" s="24">
        <f>IF(ISNUMBER(G177),EDATE(G177,24),"")</f>
        <v/>
      </c>
      <c r="I177" s="24">
        <f>IF(OR(AND(LEN(F177)&gt;0,ISNUMBER(F177)=FALSE),AND(LEN(G177)&gt;0,ISNUMBER(G177)=FALSE)),"Check date",IF(COUNT(F177,H177)=0,"",MIN(F177,H177)))</f>
        <v/>
      </c>
      <c r="J177" s="25">
        <f>IF(ISNUMBER(I177)=FALSE,"",IF(AND(ISNUMBER(H177),I177=H177),"24-month work rule","Registry expiry"))</f>
        <v/>
      </c>
      <c r="K177" s="26" t="n"/>
      <c r="L177" s="24">
        <f>IF(ISNUMBER(I177),I177-IF(ISNUMBER(K177),K177,30),"")</f>
        <v/>
      </c>
      <c r="M177" s="27">
        <f>IF(I177="","",IF(ISNUMBER(I177),I177-TODAY(),"Check date"))</f>
        <v/>
      </c>
      <c r="N177" s="28">
        <f>IF(M177="","",IF(ISNUMBER(M177),IF(M177&lt;0,"Expired",IF(M177&lt;=30,"Due ≤30 days",IF(M177&lt;=90,"Due ≤90 days","OK"))),"Check date"))</f>
        <v/>
      </c>
      <c r="O177" s="24">
        <f>IF(ISNUMBER(E177),EDATE(E177,12*(IFERROR(DATEDIF(E177,TODAY(),"y"),0)+1)),"")</f>
        <v/>
      </c>
      <c r="P177" s="26" t="n"/>
      <c r="Q177" s="26" t="n"/>
      <c r="R177" s="27">
        <f>IF(LEN(A177)=0,"",MAX(0,IF(ISNUMBER(Q177),Q177,12)-N(P177)))</f>
        <v/>
      </c>
      <c r="S177" s="23" t="n"/>
      <c r="T177" s="27">
        <f>IF(S177="","",IF(ISNUMBER(S177),S177-TODAY(),"Check date"))</f>
        <v/>
      </c>
      <c r="U177" s="22" t="n"/>
      <c r="V177" s="22" t="n"/>
      <c r="W177" s="22" t="n"/>
      <c r="X177" s="22" t="n"/>
    </row>
    <row r="178">
      <c r="A178" s="22" t="n"/>
      <c r="B178" s="22" t="n"/>
      <c r="C178" s="22" t="n"/>
      <c r="D178" s="22" t="n"/>
      <c r="E178" s="23" t="n"/>
      <c r="F178" s="23" t="n"/>
      <c r="G178" s="23" t="n"/>
      <c r="H178" s="24">
        <f>IF(ISNUMBER(G178),EDATE(G178,24),"")</f>
        <v/>
      </c>
      <c r="I178" s="24">
        <f>IF(OR(AND(LEN(F178)&gt;0,ISNUMBER(F178)=FALSE),AND(LEN(G178)&gt;0,ISNUMBER(G178)=FALSE)),"Check date",IF(COUNT(F178,H178)=0,"",MIN(F178,H178)))</f>
        <v/>
      </c>
      <c r="J178" s="25">
        <f>IF(ISNUMBER(I178)=FALSE,"",IF(AND(ISNUMBER(H178),I178=H178),"24-month work rule","Registry expiry"))</f>
        <v/>
      </c>
      <c r="K178" s="26" t="n"/>
      <c r="L178" s="24">
        <f>IF(ISNUMBER(I178),I178-IF(ISNUMBER(K178),K178,30),"")</f>
        <v/>
      </c>
      <c r="M178" s="27">
        <f>IF(I178="","",IF(ISNUMBER(I178),I178-TODAY(),"Check date"))</f>
        <v/>
      </c>
      <c r="N178" s="28">
        <f>IF(M178="","",IF(ISNUMBER(M178),IF(M178&lt;0,"Expired",IF(M178&lt;=30,"Due ≤30 days",IF(M178&lt;=90,"Due ≤90 days","OK"))),"Check date"))</f>
        <v/>
      </c>
      <c r="O178" s="24">
        <f>IF(ISNUMBER(E178),EDATE(E178,12*(IFERROR(DATEDIF(E178,TODAY(),"y"),0)+1)),"")</f>
        <v/>
      </c>
      <c r="P178" s="26" t="n"/>
      <c r="Q178" s="26" t="n"/>
      <c r="R178" s="27">
        <f>IF(LEN(A178)=0,"",MAX(0,IF(ISNUMBER(Q178),Q178,12)-N(P178)))</f>
        <v/>
      </c>
      <c r="S178" s="23" t="n"/>
      <c r="T178" s="27">
        <f>IF(S178="","",IF(ISNUMBER(S178),S178-TODAY(),"Check date"))</f>
        <v/>
      </c>
      <c r="U178" s="22" t="n"/>
      <c r="V178" s="22" t="n"/>
      <c r="W178" s="22" t="n"/>
      <c r="X178" s="22" t="n"/>
    </row>
    <row r="179">
      <c r="A179" s="22" t="n"/>
      <c r="B179" s="22" t="n"/>
      <c r="C179" s="22" t="n"/>
      <c r="D179" s="22" t="n"/>
      <c r="E179" s="23" t="n"/>
      <c r="F179" s="23" t="n"/>
      <c r="G179" s="23" t="n"/>
      <c r="H179" s="24">
        <f>IF(ISNUMBER(G179),EDATE(G179,24),"")</f>
        <v/>
      </c>
      <c r="I179" s="24">
        <f>IF(OR(AND(LEN(F179)&gt;0,ISNUMBER(F179)=FALSE),AND(LEN(G179)&gt;0,ISNUMBER(G179)=FALSE)),"Check date",IF(COUNT(F179,H179)=0,"",MIN(F179,H179)))</f>
        <v/>
      </c>
      <c r="J179" s="25">
        <f>IF(ISNUMBER(I179)=FALSE,"",IF(AND(ISNUMBER(H179),I179=H179),"24-month work rule","Registry expiry"))</f>
        <v/>
      </c>
      <c r="K179" s="26" t="n"/>
      <c r="L179" s="24">
        <f>IF(ISNUMBER(I179),I179-IF(ISNUMBER(K179),K179,30),"")</f>
        <v/>
      </c>
      <c r="M179" s="27">
        <f>IF(I179="","",IF(ISNUMBER(I179),I179-TODAY(),"Check date"))</f>
        <v/>
      </c>
      <c r="N179" s="28">
        <f>IF(M179="","",IF(ISNUMBER(M179),IF(M179&lt;0,"Expired",IF(M179&lt;=30,"Due ≤30 days",IF(M179&lt;=90,"Due ≤90 days","OK"))),"Check date"))</f>
        <v/>
      </c>
      <c r="O179" s="24">
        <f>IF(ISNUMBER(E179),EDATE(E179,12*(IFERROR(DATEDIF(E179,TODAY(),"y"),0)+1)),"")</f>
        <v/>
      </c>
      <c r="P179" s="26" t="n"/>
      <c r="Q179" s="26" t="n"/>
      <c r="R179" s="27">
        <f>IF(LEN(A179)=0,"",MAX(0,IF(ISNUMBER(Q179),Q179,12)-N(P179)))</f>
        <v/>
      </c>
      <c r="S179" s="23" t="n"/>
      <c r="T179" s="27">
        <f>IF(S179="","",IF(ISNUMBER(S179),S179-TODAY(),"Check date"))</f>
        <v/>
      </c>
      <c r="U179" s="22" t="n"/>
      <c r="V179" s="22" t="n"/>
      <c r="W179" s="22" t="n"/>
      <c r="X179" s="22" t="n"/>
    </row>
    <row r="180">
      <c r="A180" s="22" t="n"/>
      <c r="B180" s="22" t="n"/>
      <c r="C180" s="22" t="n"/>
      <c r="D180" s="22" t="n"/>
      <c r="E180" s="23" t="n"/>
      <c r="F180" s="23" t="n"/>
      <c r="G180" s="23" t="n"/>
      <c r="H180" s="24">
        <f>IF(ISNUMBER(G180),EDATE(G180,24),"")</f>
        <v/>
      </c>
      <c r="I180" s="24">
        <f>IF(OR(AND(LEN(F180)&gt;0,ISNUMBER(F180)=FALSE),AND(LEN(G180)&gt;0,ISNUMBER(G180)=FALSE)),"Check date",IF(COUNT(F180,H180)=0,"",MIN(F180,H180)))</f>
        <v/>
      </c>
      <c r="J180" s="25">
        <f>IF(ISNUMBER(I180)=FALSE,"",IF(AND(ISNUMBER(H180),I180=H180),"24-month work rule","Registry expiry"))</f>
        <v/>
      </c>
      <c r="K180" s="26" t="n"/>
      <c r="L180" s="24">
        <f>IF(ISNUMBER(I180),I180-IF(ISNUMBER(K180),K180,30),"")</f>
        <v/>
      </c>
      <c r="M180" s="27">
        <f>IF(I180="","",IF(ISNUMBER(I180),I180-TODAY(),"Check date"))</f>
        <v/>
      </c>
      <c r="N180" s="28">
        <f>IF(M180="","",IF(ISNUMBER(M180),IF(M180&lt;0,"Expired",IF(M180&lt;=30,"Due ≤30 days",IF(M180&lt;=90,"Due ≤90 days","OK"))),"Check date"))</f>
        <v/>
      </c>
      <c r="O180" s="24">
        <f>IF(ISNUMBER(E180),EDATE(E180,12*(IFERROR(DATEDIF(E180,TODAY(),"y"),0)+1)),"")</f>
        <v/>
      </c>
      <c r="P180" s="26" t="n"/>
      <c r="Q180" s="26" t="n"/>
      <c r="R180" s="27">
        <f>IF(LEN(A180)=0,"",MAX(0,IF(ISNUMBER(Q180),Q180,12)-N(P180)))</f>
        <v/>
      </c>
      <c r="S180" s="23" t="n"/>
      <c r="T180" s="27">
        <f>IF(S180="","",IF(ISNUMBER(S180),S180-TODAY(),"Check date"))</f>
        <v/>
      </c>
      <c r="U180" s="22" t="n"/>
      <c r="V180" s="22" t="n"/>
      <c r="W180" s="22" t="n"/>
      <c r="X180" s="22" t="n"/>
    </row>
    <row r="181">
      <c r="A181" s="22" t="n"/>
      <c r="B181" s="22" t="n"/>
      <c r="C181" s="22" t="n"/>
      <c r="D181" s="22" t="n"/>
      <c r="E181" s="23" t="n"/>
      <c r="F181" s="23" t="n"/>
      <c r="G181" s="23" t="n"/>
      <c r="H181" s="24">
        <f>IF(ISNUMBER(G181),EDATE(G181,24),"")</f>
        <v/>
      </c>
      <c r="I181" s="24">
        <f>IF(OR(AND(LEN(F181)&gt;0,ISNUMBER(F181)=FALSE),AND(LEN(G181)&gt;0,ISNUMBER(G181)=FALSE)),"Check date",IF(COUNT(F181,H181)=0,"",MIN(F181,H181)))</f>
        <v/>
      </c>
      <c r="J181" s="25">
        <f>IF(ISNUMBER(I181)=FALSE,"",IF(AND(ISNUMBER(H181),I181=H181),"24-month work rule","Registry expiry"))</f>
        <v/>
      </c>
      <c r="K181" s="26" t="n"/>
      <c r="L181" s="24">
        <f>IF(ISNUMBER(I181),I181-IF(ISNUMBER(K181),K181,30),"")</f>
        <v/>
      </c>
      <c r="M181" s="27">
        <f>IF(I181="","",IF(ISNUMBER(I181),I181-TODAY(),"Check date"))</f>
        <v/>
      </c>
      <c r="N181" s="28">
        <f>IF(M181="","",IF(ISNUMBER(M181),IF(M181&lt;0,"Expired",IF(M181&lt;=30,"Due ≤30 days",IF(M181&lt;=90,"Due ≤90 days","OK"))),"Check date"))</f>
        <v/>
      </c>
      <c r="O181" s="24">
        <f>IF(ISNUMBER(E181),EDATE(E181,12*(IFERROR(DATEDIF(E181,TODAY(),"y"),0)+1)),"")</f>
        <v/>
      </c>
      <c r="P181" s="26" t="n"/>
      <c r="Q181" s="26" t="n"/>
      <c r="R181" s="27">
        <f>IF(LEN(A181)=0,"",MAX(0,IF(ISNUMBER(Q181),Q181,12)-N(P181)))</f>
        <v/>
      </c>
      <c r="S181" s="23" t="n"/>
      <c r="T181" s="27">
        <f>IF(S181="","",IF(ISNUMBER(S181),S181-TODAY(),"Check date"))</f>
        <v/>
      </c>
      <c r="U181" s="22" t="n"/>
      <c r="V181" s="22" t="n"/>
      <c r="W181" s="22" t="n"/>
      <c r="X181" s="22" t="n"/>
    </row>
    <row r="182">
      <c r="A182" s="22" t="n"/>
      <c r="B182" s="22" t="n"/>
      <c r="C182" s="22" t="n"/>
      <c r="D182" s="22" t="n"/>
      <c r="E182" s="23" t="n"/>
      <c r="F182" s="23" t="n"/>
      <c r="G182" s="23" t="n"/>
      <c r="H182" s="24">
        <f>IF(ISNUMBER(G182),EDATE(G182,24),"")</f>
        <v/>
      </c>
      <c r="I182" s="24">
        <f>IF(OR(AND(LEN(F182)&gt;0,ISNUMBER(F182)=FALSE),AND(LEN(G182)&gt;0,ISNUMBER(G182)=FALSE)),"Check date",IF(COUNT(F182,H182)=0,"",MIN(F182,H182)))</f>
        <v/>
      </c>
      <c r="J182" s="25">
        <f>IF(ISNUMBER(I182)=FALSE,"",IF(AND(ISNUMBER(H182),I182=H182),"24-month work rule","Registry expiry"))</f>
        <v/>
      </c>
      <c r="K182" s="26" t="n"/>
      <c r="L182" s="24">
        <f>IF(ISNUMBER(I182),I182-IF(ISNUMBER(K182),K182,30),"")</f>
        <v/>
      </c>
      <c r="M182" s="27">
        <f>IF(I182="","",IF(ISNUMBER(I182),I182-TODAY(),"Check date"))</f>
        <v/>
      </c>
      <c r="N182" s="28">
        <f>IF(M182="","",IF(ISNUMBER(M182),IF(M182&lt;0,"Expired",IF(M182&lt;=30,"Due ≤30 days",IF(M182&lt;=90,"Due ≤90 days","OK"))),"Check date"))</f>
        <v/>
      </c>
      <c r="O182" s="24">
        <f>IF(ISNUMBER(E182),EDATE(E182,12*(IFERROR(DATEDIF(E182,TODAY(),"y"),0)+1)),"")</f>
        <v/>
      </c>
      <c r="P182" s="26" t="n"/>
      <c r="Q182" s="26" t="n"/>
      <c r="R182" s="27">
        <f>IF(LEN(A182)=0,"",MAX(0,IF(ISNUMBER(Q182),Q182,12)-N(P182)))</f>
        <v/>
      </c>
      <c r="S182" s="23" t="n"/>
      <c r="T182" s="27">
        <f>IF(S182="","",IF(ISNUMBER(S182),S182-TODAY(),"Check date"))</f>
        <v/>
      </c>
      <c r="U182" s="22" t="n"/>
      <c r="V182" s="22" t="n"/>
      <c r="W182" s="22" t="n"/>
      <c r="X182" s="22" t="n"/>
    </row>
    <row r="183">
      <c r="A183" s="22" t="n"/>
      <c r="B183" s="22" t="n"/>
      <c r="C183" s="22" t="n"/>
      <c r="D183" s="22" t="n"/>
      <c r="E183" s="23" t="n"/>
      <c r="F183" s="23" t="n"/>
      <c r="G183" s="23" t="n"/>
      <c r="H183" s="24">
        <f>IF(ISNUMBER(G183),EDATE(G183,24),"")</f>
        <v/>
      </c>
      <c r="I183" s="24">
        <f>IF(OR(AND(LEN(F183)&gt;0,ISNUMBER(F183)=FALSE),AND(LEN(G183)&gt;0,ISNUMBER(G183)=FALSE)),"Check date",IF(COUNT(F183,H183)=0,"",MIN(F183,H183)))</f>
        <v/>
      </c>
      <c r="J183" s="25">
        <f>IF(ISNUMBER(I183)=FALSE,"",IF(AND(ISNUMBER(H183),I183=H183),"24-month work rule","Registry expiry"))</f>
        <v/>
      </c>
      <c r="K183" s="26" t="n"/>
      <c r="L183" s="24">
        <f>IF(ISNUMBER(I183),I183-IF(ISNUMBER(K183),K183,30),"")</f>
        <v/>
      </c>
      <c r="M183" s="27">
        <f>IF(I183="","",IF(ISNUMBER(I183),I183-TODAY(),"Check date"))</f>
        <v/>
      </c>
      <c r="N183" s="28">
        <f>IF(M183="","",IF(ISNUMBER(M183),IF(M183&lt;0,"Expired",IF(M183&lt;=30,"Due ≤30 days",IF(M183&lt;=90,"Due ≤90 days","OK"))),"Check date"))</f>
        <v/>
      </c>
      <c r="O183" s="24">
        <f>IF(ISNUMBER(E183),EDATE(E183,12*(IFERROR(DATEDIF(E183,TODAY(),"y"),0)+1)),"")</f>
        <v/>
      </c>
      <c r="P183" s="26" t="n"/>
      <c r="Q183" s="26" t="n"/>
      <c r="R183" s="27">
        <f>IF(LEN(A183)=0,"",MAX(0,IF(ISNUMBER(Q183),Q183,12)-N(P183)))</f>
        <v/>
      </c>
      <c r="S183" s="23" t="n"/>
      <c r="T183" s="27">
        <f>IF(S183="","",IF(ISNUMBER(S183),S183-TODAY(),"Check date"))</f>
        <v/>
      </c>
      <c r="U183" s="22" t="n"/>
      <c r="V183" s="22" t="n"/>
      <c r="W183" s="22" t="n"/>
      <c r="X183" s="22" t="n"/>
    </row>
    <row r="184">
      <c r="A184" s="22" t="n"/>
      <c r="B184" s="22" t="n"/>
      <c r="C184" s="22" t="n"/>
      <c r="D184" s="22" t="n"/>
      <c r="E184" s="23" t="n"/>
      <c r="F184" s="23" t="n"/>
      <c r="G184" s="23" t="n"/>
      <c r="H184" s="24">
        <f>IF(ISNUMBER(G184),EDATE(G184,24),"")</f>
        <v/>
      </c>
      <c r="I184" s="24">
        <f>IF(OR(AND(LEN(F184)&gt;0,ISNUMBER(F184)=FALSE),AND(LEN(G184)&gt;0,ISNUMBER(G184)=FALSE)),"Check date",IF(COUNT(F184,H184)=0,"",MIN(F184,H184)))</f>
        <v/>
      </c>
      <c r="J184" s="25">
        <f>IF(ISNUMBER(I184)=FALSE,"",IF(AND(ISNUMBER(H184),I184=H184),"24-month work rule","Registry expiry"))</f>
        <v/>
      </c>
      <c r="K184" s="26" t="n"/>
      <c r="L184" s="24">
        <f>IF(ISNUMBER(I184),I184-IF(ISNUMBER(K184),K184,30),"")</f>
        <v/>
      </c>
      <c r="M184" s="27">
        <f>IF(I184="","",IF(ISNUMBER(I184),I184-TODAY(),"Check date"))</f>
        <v/>
      </c>
      <c r="N184" s="28">
        <f>IF(M184="","",IF(ISNUMBER(M184),IF(M184&lt;0,"Expired",IF(M184&lt;=30,"Due ≤30 days",IF(M184&lt;=90,"Due ≤90 days","OK"))),"Check date"))</f>
        <v/>
      </c>
      <c r="O184" s="24">
        <f>IF(ISNUMBER(E184),EDATE(E184,12*(IFERROR(DATEDIF(E184,TODAY(),"y"),0)+1)),"")</f>
        <v/>
      </c>
      <c r="P184" s="26" t="n"/>
      <c r="Q184" s="26" t="n"/>
      <c r="R184" s="27">
        <f>IF(LEN(A184)=0,"",MAX(0,IF(ISNUMBER(Q184),Q184,12)-N(P184)))</f>
        <v/>
      </c>
      <c r="S184" s="23" t="n"/>
      <c r="T184" s="27">
        <f>IF(S184="","",IF(ISNUMBER(S184),S184-TODAY(),"Check date"))</f>
        <v/>
      </c>
      <c r="U184" s="22" t="n"/>
      <c r="V184" s="22" t="n"/>
      <c r="W184" s="22" t="n"/>
      <c r="X184" s="22" t="n"/>
    </row>
    <row r="185">
      <c r="A185" s="22" t="n"/>
      <c r="B185" s="22" t="n"/>
      <c r="C185" s="22" t="n"/>
      <c r="D185" s="22" t="n"/>
      <c r="E185" s="23" t="n"/>
      <c r="F185" s="23" t="n"/>
      <c r="G185" s="23" t="n"/>
      <c r="H185" s="24">
        <f>IF(ISNUMBER(G185),EDATE(G185,24),"")</f>
        <v/>
      </c>
      <c r="I185" s="24">
        <f>IF(OR(AND(LEN(F185)&gt;0,ISNUMBER(F185)=FALSE),AND(LEN(G185)&gt;0,ISNUMBER(G185)=FALSE)),"Check date",IF(COUNT(F185,H185)=0,"",MIN(F185,H185)))</f>
        <v/>
      </c>
      <c r="J185" s="25">
        <f>IF(ISNUMBER(I185)=FALSE,"",IF(AND(ISNUMBER(H185),I185=H185),"24-month work rule","Registry expiry"))</f>
        <v/>
      </c>
      <c r="K185" s="26" t="n"/>
      <c r="L185" s="24">
        <f>IF(ISNUMBER(I185),I185-IF(ISNUMBER(K185),K185,30),"")</f>
        <v/>
      </c>
      <c r="M185" s="27">
        <f>IF(I185="","",IF(ISNUMBER(I185),I185-TODAY(),"Check date"))</f>
        <v/>
      </c>
      <c r="N185" s="28">
        <f>IF(M185="","",IF(ISNUMBER(M185),IF(M185&lt;0,"Expired",IF(M185&lt;=30,"Due ≤30 days",IF(M185&lt;=90,"Due ≤90 days","OK"))),"Check date"))</f>
        <v/>
      </c>
      <c r="O185" s="24">
        <f>IF(ISNUMBER(E185),EDATE(E185,12*(IFERROR(DATEDIF(E185,TODAY(),"y"),0)+1)),"")</f>
        <v/>
      </c>
      <c r="P185" s="26" t="n"/>
      <c r="Q185" s="26" t="n"/>
      <c r="R185" s="27">
        <f>IF(LEN(A185)=0,"",MAX(0,IF(ISNUMBER(Q185),Q185,12)-N(P185)))</f>
        <v/>
      </c>
      <c r="S185" s="23" t="n"/>
      <c r="T185" s="27">
        <f>IF(S185="","",IF(ISNUMBER(S185),S185-TODAY(),"Check date"))</f>
        <v/>
      </c>
      <c r="U185" s="22" t="n"/>
      <c r="V185" s="22" t="n"/>
      <c r="W185" s="22" t="n"/>
      <c r="X185" s="22" t="n"/>
    </row>
    <row r="186">
      <c r="A186" s="22" t="n"/>
      <c r="B186" s="22" t="n"/>
      <c r="C186" s="22" t="n"/>
      <c r="D186" s="22" t="n"/>
      <c r="E186" s="23" t="n"/>
      <c r="F186" s="23" t="n"/>
      <c r="G186" s="23" t="n"/>
      <c r="H186" s="24">
        <f>IF(ISNUMBER(G186),EDATE(G186,24),"")</f>
        <v/>
      </c>
      <c r="I186" s="24">
        <f>IF(OR(AND(LEN(F186)&gt;0,ISNUMBER(F186)=FALSE),AND(LEN(G186)&gt;0,ISNUMBER(G186)=FALSE)),"Check date",IF(COUNT(F186,H186)=0,"",MIN(F186,H186)))</f>
        <v/>
      </c>
      <c r="J186" s="25">
        <f>IF(ISNUMBER(I186)=FALSE,"",IF(AND(ISNUMBER(H186),I186=H186),"24-month work rule","Registry expiry"))</f>
        <v/>
      </c>
      <c r="K186" s="26" t="n"/>
      <c r="L186" s="24">
        <f>IF(ISNUMBER(I186),I186-IF(ISNUMBER(K186),K186,30),"")</f>
        <v/>
      </c>
      <c r="M186" s="27">
        <f>IF(I186="","",IF(ISNUMBER(I186),I186-TODAY(),"Check date"))</f>
        <v/>
      </c>
      <c r="N186" s="28">
        <f>IF(M186="","",IF(ISNUMBER(M186),IF(M186&lt;0,"Expired",IF(M186&lt;=30,"Due ≤30 days",IF(M186&lt;=90,"Due ≤90 days","OK"))),"Check date"))</f>
        <v/>
      </c>
      <c r="O186" s="24">
        <f>IF(ISNUMBER(E186),EDATE(E186,12*(IFERROR(DATEDIF(E186,TODAY(),"y"),0)+1)),"")</f>
        <v/>
      </c>
      <c r="P186" s="26" t="n"/>
      <c r="Q186" s="26" t="n"/>
      <c r="R186" s="27">
        <f>IF(LEN(A186)=0,"",MAX(0,IF(ISNUMBER(Q186),Q186,12)-N(P186)))</f>
        <v/>
      </c>
      <c r="S186" s="23" t="n"/>
      <c r="T186" s="27">
        <f>IF(S186="","",IF(ISNUMBER(S186),S186-TODAY(),"Check date"))</f>
        <v/>
      </c>
      <c r="U186" s="22" t="n"/>
      <c r="V186" s="22" t="n"/>
      <c r="W186" s="22" t="n"/>
      <c r="X186" s="22" t="n"/>
    </row>
    <row r="187">
      <c r="A187" s="22" t="n"/>
      <c r="B187" s="22" t="n"/>
      <c r="C187" s="22" t="n"/>
      <c r="D187" s="22" t="n"/>
      <c r="E187" s="23" t="n"/>
      <c r="F187" s="23" t="n"/>
      <c r="G187" s="23" t="n"/>
      <c r="H187" s="24">
        <f>IF(ISNUMBER(G187),EDATE(G187,24),"")</f>
        <v/>
      </c>
      <c r="I187" s="24">
        <f>IF(OR(AND(LEN(F187)&gt;0,ISNUMBER(F187)=FALSE),AND(LEN(G187)&gt;0,ISNUMBER(G187)=FALSE)),"Check date",IF(COUNT(F187,H187)=0,"",MIN(F187,H187)))</f>
        <v/>
      </c>
      <c r="J187" s="25">
        <f>IF(ISNUMBER(I187)=FALSE,"",IF(AND(ISNUMBER(H187),I187=H187),"24-month work rule","Registry expiry"))</f>
        <v/>
      </c>
      <c r="K187" s="26" t="n"/>
      <c r="L187" s="24">
        <f>IF(ISNUMBER(I187),I187-IF(ISNUMBER(K187),K187,30),"")</f>
        <v/>
      </c>
      <c r="M187" s="27">
        <f>IF(I187="","",IF(ISNUMBER(I187),I187-TODAY(),"Check date"))</f>
        <v/>
      </c>
      <c r="N187" s="28">
        <f>IF(M187="","",IF(ISNUMBER(M187),IF(M187&lt;0,"Expired",IF(M187&lt;=30,"Due ≤30 days",IF(M187&lt;=90,"Due ≤90 days","OK"))),"Check date"))</f>
        <v/>
      </c>
      <c r="O187" s="24">
        <f>IF(ISNUMBER(E187),EDATE(E187,12*(IFERROR(DATEDIF(E187,TODAY(),"y"),0)+1)),"")</f>
        <v/>
      </c>
      <c r="P187" s="26" t="n"/>
      <c r="Q187" s="26" t="n"/>
      <c r="R187" s="27">
        <f>IF(LEN(A187)=0,"",MAX(0,IF(ISNUMBER(Q187),Q187,12)-N(P187)))</f>
        <v/>
      </c>
      <c r="S187" s="23" t="n"/>
      <c r="T187" s="27">
        <f>IF(S187="","",IF(ISNUMBER(S187),S187-TODAY(),"Check date"))</f>
        <v/>
      </c>
      <c r="U187" s="22" t="n"/>
      <c r="V187" s="22" t="n"/>
      <c r="W187" s="22" t="n"/>
      <c r="X187" s="22" t="n"/>
    </row>
    <row r="188">
      <c r="A188" s="22" t="n"/>
      <c r="B188" s="22" t="n"/>
      <c r="C188" s="22" t="n"/>
      <c r="D188" s="22" t="n"/>
      <c r="E188" s="23" t="n"/>
      <c r="F188" s="23" t="n"/>
      <c r="G188" s="23" t="n"/>
      <c r="H188" s="24">
        <f>IF(ISNUMBER(G188),EDATE(G188,24),"")</f>
        <v/>
      </c>
      <c r="I188" s="24">
        <f>IF(OR(AND(LEN(F188)&gt;0,ISNUMBER(F188)=FALSE),AND(LEN(G188)&gt;0,ISNUMBER(G188)=FALSE)),"Check date",IF(COUNT(F188,H188)=0,"",MIN(F188,H188)))</f>
        <v/>
      </c>
      <c r="J188" s="25">
        <f>IF(ISNUMBER(I188)=FALSE,"",IF(AND(ISNUMBER(H188),I188=H188),"24-month work rule","Registry expiry"))</f>
        <v/>
      </c>
      <c r="K188" s="26" t="n"/>
      <c r="L188" s="24">
        <f>IF(ISNUMBER(I188),I188-IF(ISNUMBER(K188),K188,30),"")</f>
        <v/>
      </c>
      <c r="M188" s="27">
        <f>IF(I188="","",IF(ISNUMBER(I188),I188-TODAY(),"Check date"))</f>
        <v/>
      </c>
      <c r="N188" s="28">
        <f>IF(M188="","",IF(ISNUMBER(M188),IF(M188&lt;0,"Expired",IF(M188&lt;=30,"Due ≤30 days",IF(M188&lt;=90,"Due ≤90 days","OK"))),"Check date"))</f>
        <v/>
      </c>
      <c r="O188" s="24">
        <f>IF(ISNUMBER(E188),EDATE(E188,12*(IFERROR(DATEDIF(E188,TODAY(),"y"),0)+1)),"")</f>
        <v/>
      </c>
      <c r="P188" s="26" t="n"/>
      <c r="Q188" s="26" t="n"/>
      <c r="R188" s="27">
        <f>IF(LEN(A188)=0,"",MAX(0,IF(ISNUMBER(Q188),Q188,12)-N(P188)))</f>
        <v/>
      </c>
      <c r="S188" s="23" t="n"/>
      <c r="T188" s="27">
        <f>IF(S188="","",IF(ISNUMBER(S188),S188-TODAY(),"Check date"))</f>
        <v/>
      </c>
      <c r="U188" s="22" t="n"/>
      <c r="V188" s="22" t="n"/>
      <c r="W188" s="22" t="n"/>
      <c r="X188" s="22" t="n"/>
    </row>
    <row r="189">
      <c r="A189" s="22" t="n"/>
      <c r="B189" s="22" t="n"/>
      <c r="C189" s="22" t="n"/>
      <c r="D189" s="22" t="n"/>
      <c r="E189" s="23" t="n"/>
      <c r="F189" s="23" t="n"/>
      <c r="G189" s="23" t="n"/>
      <c r="H189" s="24">
        <f>IF(ISNUMBER(G189),EDATE(G189,24),"")</f>
        <v/>
      </c>
      <c r="I189" s="24">
        <f>IF(OR(AND(LEN(F189)&gt;0,ISNUMBER(F189)=FALSE),AND(LEN(G189)&gt;0,ISNUMBER(G189)=FALSE)),"Check date",IF(COUNT(F189,H189)=0,"",MIN(F189,H189)))</f>
        <v/>
      </c>
      <c r="J189" s="25">
        <f>IF(ISNUMBER(I189)=FALSE,"",IF(AND(ISNUMBER(H189),I189=H189),"24-month work rule","Registry expiry"))</f>
        <v/>
      </c>
      <c r="K189" s="26" t="n"/>
      <c r="L189" s="24">
        <f>IF(ISNUMBER(I189),I189-IF(ISNUMBER(K189),K189,30),"")</f>
        <v/>
      </c>
      <c r="M189" s="27">
        <f>IF(I189="","",IF(ISNUMBER(I189),I189-TODAY(),"Check date"))</f>
        <v/>
      </c>
      <c r="N189" s="28">
        <f>IF(M189="","",IF(ISNUMBER(M189),IF(M189&lt;0,"Expired",IF(M189&lt;=30,"Due ≤30 days",IF(M189&lt;=90,"Due ≤90 days","OK"))),"Check date"))</f>
        <v/>
      </c>
      <c r="O189" s="24">
        <f>IF(ISNUMBER(E189),EDATE(E189,12*(IFERROR(DATEDIF(E189,TODAY(),"y"),0)+1)),"")</f>
        <v/>
      </c>
      <c r="P189" s="26" t="n"/>
      <c r="Q189" s="26" t="n"/>
      <c r="R189" s="27">
        <f>IF(LEN(A189)=0,"",MAX(0,IF(ISNUMBER(Q189),Q189,12)-N(P189)))</f>
        <v/>
      </c>
      <c r="S189" s="23" t="n"/>
      <c r="T189" s="27">
        <f>IF(S189="","",IF(ISNUMBER(S189),S189-TODAY(),"Check date"))</f>
        <v/>
      </c>
      <c r="U189" s="22" t="n"/>
      <c r="V189" s="22" t="n"/>
      <c r="W189" s="22" t="n"/>
      <c r="X189" s="22" t="n"/>
    </row>
    <row r="190">
      <c r="A190" s="22" t="n"/>
      <c r="B190" s="22" t="n"/>
      <c r="C190" s="22" t="n"/>
      <c r="D190" s="22" t="n"/>
      <c r="E190" s="23" t="n"/>
      <c r="F190" s="23" t="n"/>
      <c r="G190" s="23" t="n"/>
      <c r="H190" s="24">
        <f>IF(ISNUMBER(G190),EDATE(G190,24),"")</f>
        <v/>
      </c>
      <c r="I190" s="24">
        <f>IF(OR(AND(LEN(F190)&gt;0,ISNUMBER(F190)=FALSE),AND(LEN(G190)&gt;0,ISNUMBER(G190)=FALSE)),"Check date",IF(COUNT(F190,H190)=0,"",MIN(F190,H190)))</f>
        <v/>
      </c>
      <c r="J190" s="25">
        <f>IF(ISNUMBER(I190)=FALSE,"",IF(AND(ISNUMBER(H190),I190=H190),"24-month work rule","Registry expiry"))</f>
        <v/>
      </c>
      <c r="K190" s="26" t="n"/>
      <c r="L190" s="24">
        <f>IF(ISNUMBER(I190),I190-IF(ISNUMBER(K190),K190,30),"")</f>
        <v/>
      </c>
      <c r="M190" s="27">
        <f>IF(I190="","",IF(ISNUMBER(I190),I190-TODAY(),"Check date"))</f>
        <v/>
      </c>
      <c r="N190" s="28">
        <f>IF(M190="","",IF(ISNUMBER(M190),IF(M190&lt;0,"Expired",IF(M190&lt;=30,"Due ≤30 days",IF(M190&lt;=90,"Due ≤90 days","OK"))),"Check date"))</f>
        <v/>
      </c>
      <c r="O190" s="24">
        <f>IF(ISNUMBER(E190),EDATE(E190,12*(IFERROR(DATEDIF(E190,TODAY(),"y"),0)+1)),"")</f>
        <v/>
      </c>
      <c r="P190" s="26" t="n"/>
      <c r="Q190" s="26" t="n"/>
      <c r="R190" s="27">
        <f>IF(LEN(A190)=0,"",MAX(0,IF(ISNUMBER(Q190),Q190,12)-N(P190)))</f>
        <v/>
      </c>
      <c r="S190" s="23" t="n"/>
      <c r="T190" s="27">
        <f>IF(S190="","",IF(ISNUMBER(S190),S190-TODAY(),"Check date"))</f>
        <v/>
      </c>
      <c r="U190" s="22" t="n"/>
      <c r="V190" s="22" t="n"/>
      <c r="W190" s="22" t="n"/>
      <c r="X190" s="22" t="n"/>
    </row>
    <row r="191">
      <c r="A191" s="22" t="n"/>
      <c r="B191" s="22" t="n"/>
      <c r="C191" s="22" t="n"/>
      <c r="D191" s="22" t="n"/>
      <c r="E191" s="23" t="n"/>
      <c r="F191" s="23" t="n"/>
      <c r="G191" s="23" t="n"/>
      <c r="H191" s="24">
        <f>IF(ISNUMBER(G191),EDATE(G191,24),"")</f>
        <v/>
      </c>
      <c r="I191" s="24">
        <f>IF(OR(AND(LEN(F191)&gt;0,ISNUMBER(F191)=FALSE),AND(LEN(G191)&gt;0,ISNUMBER(G191)=FALSE)),"Check date",IF(COUNT(F191,H191)=0,"",MIN(F191,H191)))</f>
        <v/>
      </c>
      <c r="J191" s="25">
        <f>IF(ISNUMBER(I191)=FALSE,"",IF(AND(ISNUMBER(H191),I191=H191),"24-month work rule","Registry expiry"))</f>
        <v/>
      </c>
      <c r="K191" s="26" t="n"/>
      <c r="L191" s="24">
        <f>IF(ISNUMBER(I191),I191-IF(ISNUMBER(K191),K191,30),"")</f>
        <v/>
      </c>
      <c r="M191" s="27">
        <f>IF(I191="","",IF(ISNUMBER(I191),I191-TODAY(),"Check date"))</f>
        <v/>
      </c>
      <c r="N191" s="28">
        <f>IF(M191="","",IF(ISNUMBER(M191),IF(M191&lt;0,"Expired",IF(M191&lt;=30,"Due ≤30 days",IF(M191&lt;=90,"Due ≤90 days","OK"))),"Check date"))</f>
        <v/>
      </c>
      <c r="O191" s="24">
        <f>IF(ISNUMBER(E191),EDATE(E191,12*(IFERROR(DATEDIF(E191,TODAY(),"y"),0)+1)),"")</f>
        <v/>
      </c>
      <c r="P191" s="26" t="n"/>
      <c r="Q191" s="26" t="n"/>
      <c r="R191" s="27">
        <f>IF(LEN(A191)=0,"",MAX(0,IF(ISNUMBER(Q191),Q191,12)-N(P191)))</f>
        <v/>
      </c>
      <c r="S191" s="23" t="n"/>
      <c r="T191" s="27">
        <f>IF(S191="","",IF(ISNUMBER(S191),S191-TODAY(),"Check date"))</f>
        <v/>
      </c>
      <c r="U191" s="22" t="n"/>
      <c r="V191" s="22" t="n"/>
      <c r="W191" s="22" t="n"/>
      <c r="X191" s="22" t="n"/>
    </row>
    <row r="192">
      <c r="A192" s="22" t="n"/>
      <c r="B192" s="22" t="n"/>
      <c r="C192" s="22" t="n"/>
      <c r="D192" s="22" t="n"/>
      <c r="E192" s="23" t="n"/>
      <c r="F192" s="23" t="n"/>
      <c r="G192" s="23" t="n"/>
      <c r="H192" s="24">
        <f>IF(ISNUMBER(G192),EDATE(G192,24),"")</f>
        <v/>
      </c>
      <c r="I192" s="24">
        <f>IF(OR(AND(LEN(F192)&gt;0,ISNUMBER(F192)=FALSE),AND(LEN(G192)&gt;0,ISNUMBER(G192)=FALSE)),"Check date",IF(COUNT(F192,H192)=0,"",MIN(F192,H192)))</f>
        <v/>
      </c>
      <c r="J192" s="25">
        <f>IF(ISNUMBER(I192)=FALSE,"",IF(AND(ISNUMBER(H192),I192=H192),"24-month work rule","Registry expiry"))</f>
        <v/>
      </c>
      <c r="K192" s="26" t="n"/>
      <c r="L192" s="24">
        <f>IF(ISNUMBER(I192),I192-IF(ISNUMBER(K192),K192,30),"")</f>
        <v/>
      </c>
      <c r="M192" s="27">
        <f>IF(I192="","",IF(ISNUMBER(I192),I192-TODAY(),"Check date"))</f>
        <v/>
      </c>
      <c r="N192" s="28">
        <f>IF(M192="","",IF(ISNUMBER(M192),IF(M192&lt;0,"Expired",IF(M192&lt;=30,"Due ≤30 days",IF(M192&lt;=90,"Due ≤90 days","OK"))),"Check date"))</f>
        <v/>
      </c>
      <c r="O192" s="24">
        <f>IF(ISNUMBER(E192),EDATE(E192,12*(IFERROR(DATEDIF(E192,TODAY(),"y"),0)+1)),"")</f>
        <v/>
      </c>
      <c r="P192" s="26" t="n"/>
      <c r="Q192" s="26" t="n"/>
      <c r="R192" s="27">
        <f>IF(LEN(A192)=0,"",MAX(0,IF(ISNUMBER(Q192),Q192,12)-N(P192)))</f>
        <v/>
      </c>
      <c r="S192" s="23" t="n"/>
      <c r="T192" s="27">
        <f>IF(S192="","",IF(ISNUMBER(S192),S192-TODAY(),"Check date"))</f>
        <v/>
      </c>
      <c r="U192" s="22" t="n"/>
      <c r="V192" s="22" t="n"/>
      <c r="W192" s="22" t="n"/>
      <c r="X192" s="22" t="n"/>
    </row>
    <row r="193">
      <c r="A193" s="22" t="n"/>
      <c r="B193" s="22" t="n"/>
      <c r="C193" s="22" t="n"/>
      <c r="D193" s="22" t="n"/>
      <c r="E193" s="23" t="n"/>
      <c r="F193" s="23" t="n"/>
      <c r="G193" s="23" t="n"/>
      <c r="H193" s="24">
        <f>IF(ISNUMBER(G193),EDATE(G193,24),"")</f>
        <v/>
      </c>
      <c r="I193" s="24">
        <f>IF(OR(AND(LEN(F193)&gt;0,ISNUMBER(F193)=FALSE),AND(LEN(G193)&gt;0,ISNUMBER(G193)=FALSE)),"Check date",IF(COUNT(F193,H193)=0,"",MIN(F193,H193)))</f>
        <v/>
      </c>
      <c r="J193" s="25">
        <f>IF(ISNUMBER(I193)=FALSE,"",IF(AND(ISNUMBER(H193),I193=H193),"24-month work rule","Registry expiry"))</f>
        <v/>
      </c>
      <c r="K193" s="26" t="n"/>
      <c r="L193" s="24">
        <f>IF(ISNUMBER(I193),I193-IF(ISNUMBER(K193),K193,30),"")</f>
        <v/>
      </c>
      <c r="M193" s="27">
        <f>IF(I193="","",IF(ISNUMBER(I193),I193-TODAY(),"Check date"))</f>
        <v/>
      </c>
      <c r="N193" s="28">
        <f>IF(M193="","",IF(ISNUMBER(M193),IF(M193&lt;0,"Expired",IF(M193&lt;=30,"Due ≤30 days",IF(M193&lt;=90,"Due ≤90 days","OK"))),"Check date"))</f>
        <v/>
      </c>
      <c r="O193" s="24">
        <f>IF(ISNUMBER(E193),EDATE(E193,12*(IFERROR(DATEDIF(E193,TODAY(),"y"),0)+1)),"")</f>
        <v/>
      </c>
      <c r="P193" s="26" t="n"/>
      <c r="Q193" s="26" t="n"/>
      <c r="R193" s="27">
        <f>IF(LEN(A193)=0,"",MAX(0,IF(ISNUMBER(Q193),Q193,12)-N(P193)))</f>
        <v/>
      </c>
      <c r="S193" s="23" t="n"/>
      <c r="T193" s="27">
        <f>IF(S193="","",IF(ISNUMBER(S193),S193-TODAY(),"Check date"))</f>
        <v/>
      </c>
      <c r="U193" s="22" t="n"/>
      <c r="V193" s="22" t="n"/>
      <c r="W193" s="22" t="n"/>
      <c r="X193" s="22" t="n"/>
    </row>
    <row r="194">
      <c r="A194" s="22" t="n"/>
      <c r="B194" s="22" t="n"/>
      <c r="C194" s="22" t="n"/>
      <c r="D194" s="22" t="n"/>
      <c r="E194" s="23" t="n"/>
      <c r="F194" s="23" t="n"/>
      <c r="G194" s="23" t="n"/>
      <c r="H194" s="24">
        <f>IF(ISNUMBER(G194),EDATE(G194,24),"")</f>
        <v/>
      </c>
      <c r="I194" s="24">
        <f>IF(OR(AND(LEN(F194)&gt;0,ISNUMBER(F194)=FALSE),AND(LEN(G194)&gt;0,ISNUMBER(G194)=FALSE)),"Check date",IF(COUNT(F194,H194)=0,"",MIN(F194,H194)))</f>
        <v/>
      </c>
      <c r="J194" s="25">
        <f>IF(ISNUMBER(I194)=FALSE,"",IF(AND(ISNUMBER(H194),I194=H194),"24-month work rule","Registry expiry"))</f>
        <v/>
      </c>
      <c r="K194" s="26" t="n"/>
      <c r="L194" s="24">
        <f>IF(ISNUMBER(I194),I194-IF(ISNUMBER(K194),K194,30),"")</f>
        <v/>
      </c>
      <c r="M194" s="27">
        <f>IF(I194="","",IF(ISNUMBER(I194),I194-TODAY(),"Check date"))</f>
        <v/>
      </c>
      <c r="N194" s="28">
        <f>IF(M194="","",IF(ISNUMBER(M194),IF(M194&lt;0,"Expired",IF(M194&lt;=30,"Due ≤30 days",IF(M194&lt;=90,"Due ≤90 days","OK"))),"Check date"))</f>
        <v/>
      </c>
      <c r="O194" s="24">
        <f>IF(ISNUMBER(E194),EDATE(E194,12*(IFERROR(DATEDIF(E194,TODAY(),"y"),0)+1)),"")</f>
        <v/>
      </c>
      <c r="P194" s="26" t="n"/>
      <c r="Q194" s="26" t="n"/>
      <c r="R194" s="27">
        <f>IF(LEN(A194)=0,"",MAX(0,IF(ISNUMBER(Q194),Q194,12)-N(P194)))</f>
        <v/>
      </c>
      <c r="S194" s="23" t="n"/>
      <c r="T194" s="27">
        <f>IF(S194="","",IF(ISNUMBER(S194),S194-TODAY(),"Check date"))</f>
        <v/>
      </c>
      <c r="U194" s="22" t="n"/>
      <c r="V194" s="22" t="n"/>
      <c r="W194" s="22" t="n"/>
      <c r="X194" s="22" t="n"/>
    </row>
    <row r="195">
      <c r="A195" s="22" t="n"/>
      <c r="B195" s="22" t="n"/>
      <c r="C195" s="22" t="n"/>
      <c r="D195" s="22" t="n"/>
      <c r="E195" s="23" t="n"/>
      <c r="F195" s="23" t="n"/>
      <c r="G195" s="23" t="n"/>
      <c r="H195" s="24">
        <f>IF(ISNUMBER(G195),EDATE(G195,24),"")</f>
        <v/>
      </c>
      <c r="I195" s="24">
        <f>IF(OR(AND(LEN(F195)&gt;0,ISNUMBER(F195)=FALSE),AND(LEN(G195)&gt;0,ISNUMBER(G195)=FALSE)),"Check date",IF(COUNT(F195,H195)=0,"",MIN(F195,H195)))</f>
        <v/>
      </c>
      <c r="J195" s="25">
        <f>IF(ISNUMBER(I195)=FALSE,"",IF(AND(ISNUMBER(H195),I195=H195),"24-month work rule","Registry expiry"))</f>
        <v/>
      </c>
      <c r="K195" s="26" t="n"/>
      <c r="L195" s="24">
        <f>IF(ISNUMBER(I195),I195-IF(ISNUMBER(K195),K195,30),"")</f>
        <v/>
      </c>
      <c r="M195" s="27">
        <f>IF(I195="","",IF(ISNUMBER(I195),I195-TODAY(),"Check date"))</f>
        <v/>
      </c>
      <c r="N195" s="28">
        <f>IF(M195="","",IF(ISNUMBER(M195),IF(M195&lt;0,"Expired",IF(M195&lt;=30,"Due ≤30 days",IF(M195&lt;=90,"Due ≤90 days","OK"))),"Check date"))</f>
        <v/>
      </c>
      <c r="O195" s="24">
        <f>IF(ISNUMBER(E195),EDATE(E195,12*(IFERROR(DATEDIF(E195,TODAY(),"y"),0)+1)),"")</f>
        <v/>
      </c>
      <c r="P195" s="26" t="n"/>
      <c r="Q195" s="26" t="n"/>
      <c r="R195" s="27">
        <f>IF(LEN(A195)=0,"",MAX(0,IF(ISNUMBER(Q195),Q195,12)-N(P195)))</f>
        <v/>
      </c>
      <c r="S195" s="23" t="n"/>
      <c r="T195" s="27">
        <f>IF(S195="","",IF(ISNUMBER(S195),S195-TODAY(),"Check date"))</f>
        <v/>
      </c>
      <c r="U195" s="22" t="n"/>
      <c r="V195" s="22" t="n"/>
      <c r="W195" s="22" t="n"/>
      <c r="X195" s="22" t="n"/>
    </row>
    <row r="196">
      <c r="A196" s="22" t="n"/>
      <c r="B196" s="22" t="n"/>
      <c r="C196" s="22" t="n"/>
      <c r="D196" s="22" t="n"/>
      <c r="E196" s="23" t="n"/>
      <c r="F196" s="23" t="n"/>
      <c r="G196" s="23" t="n"/>
      <c r="H196" s="24">
        <f>IF(ISNUMBER(G196),EDATE(G196,24),"")</f>
        <v/>
      </c>
      <c r="I196" s="24">
        <f>IF(OR(AND(LEN(F196)&gt;0,ISNUMBER(F196)=FALSE),AND(LEN(G196)&gt;0,ISNUMBER(G196)=FALSE)),"Check date",IF(COUNT(F196,H196)=0,"",MIN(F196,H196)))</f>
        <v/>
      </c>
      <c r="J196" s="25">
        <f>IF(ISNUMBER(I196)=FALSE,"",IF(AND(ISNUMBER(H196),I196=H196),"24-month work rule","Registry expiry"))</f>
        <v/>
      </c>
      <c r="K196" s="26" t="n"/>
      <c r="L196" s="24">
        <f>IF(ISNUMBER(I196),I196-IF(ISNUMBER(K196),K196,30),"")</f>
        <v/>
      </c>
      <c r="M196" s="27">
        <f>IF(I196="","",IF(ISNUMBER(I196),I196-TODAY(),"Check date"))</f>
        <v/>
      </c>
      <c r="N196" s="28">
        <f>IF(M196="","",IF(ISNUMBER(M196),IF(M196&lt;0,"Expired",IF(M196&lt;=30,"Due ≤30 days",IF(M196&lt;=90,"Due ≤90 days","OK"))),"Check date"))</f>
        <v/>
      </c>
      <c r="O196" s="24">
        <f>IF(ISNUMBER(E196),EDATE(E196,12*(IFERROR(DATEDIF(E196,TODAY(),"y"),0)+1)),"")</f>
        <v/>
      </c>
      <c r="P196" s="26" t="n"/>
      <c r="Q196" s="26" t="n"/>
      <c r="R196" s="27">
        <f>IF(LEN(A196)=0,"",MAX(0,IF(ISNUMBER(Q196),Q196,12)-N(P196)))</f>
        <v/>
      </c>
      <c r="S196" s="23" t="n"/>
      <c r="T196" s="27">
        <f>IF(S196="","",IF(ISNUMBER(S196),S196-TODAY(),"Check date"))</f>
        <v/>
      </c>
      <c r="U196" s="22" t="n"/>
      <c r="V196" s="22" t="n"/>
      <c r="W196" s="22" t="n"/>
      <c r="X196" s="22" t="n"/>
    </row>
    <row r="197">
      <c r="A197" s="22" t="n"/>
      <c r="B197" s="22" t="n"/>
      <c r="C197" s="22" t="n"/>
      <c r="D197" s="22" t="n"/>
      <c r="E197" s="23" t="n"/>
      <c r="F197" s="23" t="n"/>
      <c r="G197" s="23" t="n"/>
      <c r="H197" s="24">
        <f>IF(ISNUMBER(G197),EDATE(G197,24),"")</f>
        <v/>
      </c>
      <c r="I197" s="24">
        <f>IF(OR(AND(LEN(F197)&gt;0,ISNUMBER(F197)=FALSE),AND(LEN(G197)&gt;0,ISNUMBER(G197)=FALSE)),"Check date",IF(COUNT(F197,H197)=0,"",MIN(F197,H197)))</f>
        <v/>
      </c>
      <c r="J197" s="25">
        <f>IF(ISNUMBER(I197)=FALSE,"",IF(AND(ISNUMBER(H197),I197=H197),"24-month work rule","Registry expiry"))</f>
        <v/>
      </c>
      <c r="K197" s="26" t="n"/>
      <c r="L197" s="24">
        <f>IF(ISNUMBER(I197),I197-IF(ISNUMBER(K197),K197,30),"")</f>
        <v/>
      </c>
      <c r="M197" s="27">
        <f>IF(I197="","",IF(ISNUMBER(I197),I197-TODAY(),"Check date"))</f>
        <v/>
      </c>
      <c r="N197" s="28">
        <f>IF(M197="","",IF(ISNUMBER(M197),IF(M197&lt;0,"Expired",IF(M197&lt;=30,"Due ≤30 days",IF(M197&lt;=90,"Due ≤90 days","OK"))),"Check date"))</f>
        <v/>
      </c>
      <c r="O197" s="24">
        <f>IF(ISNUMBER(E197),EDATE(E197,12*(IFERROR(DATEDIF(E197,TODAY(),"y"),0)+1)),"")</f>
        <v/>
      </c>
      <c r="P197" s="26" t="n"/>
      <c r="Q197" s="26" t="n"/>
      <c r="R197" s="27">
        <f>IF(LEN(A197)=0,"",MAX(0,IF(ISNUMBER(Q197),Q197,12)-N(P197)))</f>
        <v/>
      </c>
      <c r="S197" s="23" t="n"/>
      <c r="T197" s="27">
        <f>IF(S197="","",IF(ISNUMBER(S197),S197-TODAY(),"Check date"))</f>
        <v/>
      </c>
      <c r="U197" s="22" t="n"/>
      <c r="V197" s="22" t="n"/>
      <c r="W197" s="22" t="n"/>
      <c r="X197" s="22" t="n"/>
    </row>
    <row r="198">
      <c r="A198" s="22" t="n"/>
      <c r="B198" s="22" t="n"/>
      <c r="C198" s="22" t="n"/>
      <c r="D198" s="22" t="n"/>
      <c r="E198" s="23" t="n"/>
      <c r="F198" s="23" t="n"/>
      <c r="G198" s="23" t="n"/>
      <c r="H198" s="24">
        <f>IF(ISNUMBER(G198),EDATE(G198,24),"")</f>
        <v/>
      </c>
      <c r="I198" s="24">
        <f>IF(OR(AND(LEN(F198)&gt;0,ISNUMBER(F198)=FALSE),AND(LEN(G198)&gt;0,ISNUMBER(G198)=FALSE)),"Check date",IF(COUNT(F198,H198)=0,"",MIN(F198,H198)))</f>
        <v/>
      </c>
      <c r="J198" s="25">
        <f>IF(ISNUMBER(I198)=FALSE,"",IF(AND(ISNUMBER(H198),I198=H198),"24-month work rule","Registry expiry"))</f>
        <v/>
      </c>
      <c r="K198" s="26" t="n"/>
      <c r="L198" s="24">
        <f>IF(ISNUMBER(I198),I198-IF(ISNUMBER(K198),K198,30),"")</f>
        <v/>
      </c>
      <c r="M198" s="27">
        <f>IF(I198="","",IF(ISNUMBER(I198),I198-TODAY(),"Check date"))</f>
        <v/>
      </c>
      <c r="N198" s="28">
        <f>IF(M198="","",IF(ISNUMBER(M198),IF(M198&lt;0,"Expired",IF(M198&lt;=30,"Due ≤30 days",IF(M198&lt;=90,"Due ≤90 days","OK"))),"Check date"))</f>
        <v/>
      </c>
      <c r="O198" s="24">
        <f>IF(ISNUMBER(E198),EDATE(E198,12*(IFERROR(DATEDIF(E198,TODAY(),"y"),0)+1)),"")</f>
        <v/>
      </c>
      <c r="P198" s="26" t="n"/>
      <c r="Q198" s="26" t="n"/>
      <c r="R198" s="27">
        <f>IF(LEN(A198)=0,"",MAX(0,IF(ISNUMBER(Q198),Q198,12)-N(P198)))</f>
        <v/>
      </c>
      <c r="S198" s="23" t="n"/>
      <c r="T198" s="27">
        <f>IF(S198="","",IF(ISNUMBER(S198),S198-TODAY(),"Check date"))</f>
        <v/>
      </c>
      <c r="U198" s="22" t="n"/>
      <c r="V198" s="22" t="n"/>
      <c r="W198" s="22" t="n"/>
      <c r="X198" s="22" t="n"/>
    </row>
    <row r="199">
      <c r="A199" s="22" t="n"/>
      <c r="B199" s="22" t="n"/>
      <c r="C199" s="22" t="n"/>
      <c r="D199" s="22" t="n"/>
      <c r="E199" s="23" t="n"/>
      <c r="F199" s="23" t="n"/>
      <c r="G199" s="23" t="n"/>
      <c r="H199" s="24">
        <f>IF(ISNUMBER(G199),EDATE(G199,24),"")</f>
        <v/>
      </c>
      <c r="I199" s="24">
        <f>IF(OR(AND(LEN(F199)&gt;0,ISNUMBER(F199)=FALSE),AND(LEN(G199)&gt;0,ISNUMBER(G199)=FALSE)),"Check date",IF(COUNT(F199,H199)=0,"",MIN(F199,H199)))</f>
        <v/>
      </c>
      <c r="J199" s="25">
        <f>IF(ISNUMBER(I199)=FALSE,"",IF(AND(ISNUMBER(H199),I199=H199),"24-month work rule","Registry expiry"))</f>
        <v/>
      </c>
      <c r="K199" s="26" t="n"/>
      <c r="L199" s="24">
        <f>IF(ISNUMBER(I199),I199-IF(ISNUMBER(K199),K199,30),"")</f>
        <v/>
      </c>
      <c r="M199" s="27">
        <f>IF(I199="","",IF(ISNUMBER(I199),I199-TODAY(),"Check date"))</f>
        <v/>
      </c>
      <c r="N199" s="28">
        <f>IF(M199="","",IF(ISNUMBER(M199),IF(M199&lt;0,"Expired",IF(M199&lt;=30,"Due ≤30 days",IF(M199&lt;=90,"Due ≤90 days","OK"))),"Check date"))</f>
        <v/>
      </c>
      <c r="O199" s="24">
        <f>IF(ISNUMBER(E199),EDATE(E199,12*(IFERROR(DATEDIF(E199,TODAY(),"y"),0)+1)),"")</f>
        <v/>
      </c>
      <c r="P199" s="26" t="n"/>
      <c r="Q199" s="26" t="n"/>
      <c r="R199" s="27">
        <f>IF(LEN(A199)=0,"",MAX(0,IF(ISNUMBER(Q199),Q199,12)-N(P199)))</f>
        <v/>
      </c>
      <c r="S199" s="23" t="n"/>
      <c r="T199" s="27">
        <f>IF(S199="","",IF(ISNUMBER(S199),S199-TODAY(),"Check date"))</f>
        <v/>
      </c>
      <c r="U199" s="22" t="n"/>
      <c r="V199" s="22" t="n"/>
      <c r="W199" s="22" t="n"/>
      <c r="X199" s="22" t="n"/>
    </row>
    <row r="200">
      <c r="A200" s="22" t="n"/>
      <c r="B200" s="22" t="n"/>
      <c r="C200" s="22" t="n"/>
      <c r="D200" s="22" t="n"/>
      <c r="E200" s="23" t="n"/>
      <c r="F200" s="23" t="n"/>
      <c r="G200" s="23" t="n"/>
      <c r="H200" s="24">
        <f>IF(ISNUMBER(G200),EDATE(G200,24),"")</f>
        <v/>
      </c>
      <c r="I200" s="24">
        <f>IF(OR(AND(LEN(F200)&gt;0,ISNUMBER(F200)=FALSE),AND(LEN(G200)&gt;0,ISNUMBER(G200)=FALSE)),"Check date",IF(COUNT(F200,H200)=0,"",MIN(F200,H200)))</f>
        <v/>
      </c>
      <c r="J200" s="25">
        <f>IF(ISNUMBER(I200)=FALSE,"",IF(AND(ISNUMBER(H200),I200=H200),"24-month work rule","Registry expiry"))</f>
        <v/>
      </c>
      <c r="K200" s="26" t="n"/>
      <c r="L200" s="24">
        <f>IF(ISNUMBER(I200),I200-IF(ISNUMBER(K200),K200,30),"")</f>
        <v/>
      </c>
      <c r="M200" s="27">
        <f>IF(I200="","",IF(ISNUMBER(I200),I200-TODAY(),"Check date"))</f>
        <v/>
      </c>
      <c r="N200" s="28">
        <f>IF(M200="","",IF(ISNUMBER(M200),IF(M200&lt;0,"Expired",IF(M200&lt;=30,"Due ≤30 days",IF(M200&lt;=90,"Due ≤90 days","OK"))),"Check date"))</f>
        <v/>
      </c>
      <c r="O200" s="24">
        <f>IF(ISNUMBER(E200),EDATE(E200,12*(IFERROR(DATEDIF(E200,TODAY(),"y"),0)+1)),"")</f>
        <v/>
      </c>
      <c r="P200" s="26" t="n"/>
      <c r="Q200" s="26" t="n"/>
      <c r="R200" s="27">
        <f>IF(LEN(A200)=0,"",MAX(0,IF(ISNUMBER(Q200),Q200,12)-N(P200)))</f>
        <v/>
      </c>
      <c r="S200" s="23" t="n"/>
      <c r="T200" s="27">
        <f>IF(S200="","",IF(ISNUMBER(S200),S200-TODAY(),"Check date"))</f>
        <v/>
      </c>
      <c r="U200" s="22" t="n"/>
      <c r="V200" s="22" t="n"/>
      <c r="W200" s="22" t="n"/>
      <c r="X200" s="22" t="n"/>
    </row>
    <row r="201">
      <c r="A201" s="22" t="n"/>
      <c r="B201" s="22" t="n"/>
      <c r="C201" s="22" t="n"/>
      <c r="D201" s="22" t="n"/>
      <c r="E201" s="23" t="n"/>
      <c r="F201" s="23" t="n"/>
      <c r="G201" s="23" t="n"/>
      <c r="H201" s="24">
        <f>IF(ISNUMBER(G201),EDATE(G201,24),"")</f>
        <v/>
      </c>
      <c r="I201" s="24">
        <f>IF(OR(AND(LEN(F201)&gt;0,ISNUMBER(F201)=FALSE),AND(LEN(G201)&gt;0,ISNUMBER(G201)=FALSE)),"Check date",IF(COUNT(F201,H201)=0,"",MIN(F201,H201)))</f>
        <v/>
      </c>
      <c r="J201" s="25">
        <f>IF(ISNUMBER(I201)=FALSE,"",IF(AND(ISNUMBER(H201),I201=H201),"24-month work rule","Registry expiry"))</f>
        <v/>
      </c>
      <c r="K201" s="26" t="n"/>
      <c r="L201" s="24">
        <f>IF(ISNUMBER(I201),I201-IF(ISNUMBER(K201),K201,30),"")</f>
        <v/>
      </c>
      <c r="M201" s="27">
        <f>IF(I201="","",IF(ISNUMBER(I201),I201-TODAY(),"Check date"))</f>
        <v/>
      </c>
      <c r="N201" s="28">
        <f>IF(M201="","",IF(ISNUMBER(M201),IF(M201&lt;0,"Expired",IF(M201&lt;=30,"Due ≤30 days",IF(M201&lt;=90,"Due ≤90 days","OK"))),"Check date"))</f>
        <v/>
      </c>
      <c r="O201" s="24">
        <f>IF(ISNUMBER(E201),EDATE(E201,12*(IFERROR(DATEDIF(E201,TODAY(),"y"),0)+1)),"")</f>
        <v/>
      </c>
      <c r="P201" s="26" t="n"/>
      <c r="Q201" s="26" t="n"/>
      <c r="R201" s="27">
        <f>IF(LEN(A201)=0,"",MAX(0,IF(ISNUMBER(Q201),Q201,12)-N(P201)))</f>
        <v/>
      </c>
      <c r="S201" s="23" t="n"/>
      <c r="T201" s="27">
        <f>IF(S201="","",IF(ISNUMBER(S201),S201-TODAY(),"Check date"))</f>
        <v/>
      </c>
      <c r="U201" s="22" t="n"/>
      <c r="V201" s="22" t="n"/>
      <c r="W201" s="22" t="n"/>
      <c r="X201" s="22" t="n"/>
    </row>
    <row r="202">
      <c r="A202" s="22" t="n"/>
      <c r="B202" s="22" t="n"/>
      <c r="C202" s="22" t="n"/>
      <c r="D202" s="22" t="n"/>
      <c r="E202" s="23" t="n"/>
      <c r="F202" s="23" t="n"/>
      <c r="G202" s="23" t="n"/>
      <c r="H202" s="24">
        <f>IF(ISNUMBER(G202),EDATE(G202,24),"")</f>
        <v/>
      </c>
      <c r="I202" s="24">
        <f>IF(OR(AND(LEN(F202)&gt;0,ISNUMBER(F202)=FALSE),AND(LEN(G202)&gt;0,ISNUMBER(G202)=FALSE)),"Check date",IF(COUNT(F202,H202)=0,"",MIN(F202,H202)))</f>
        <v/>
      </c>
      <c r="J202" s="25">
        <f>IF(ISNUMBER(I202)=FALSE,"",IF(AND(ISNUMBER(H202),I202=H202),"24-month work rule","Registry expiry"))</f>
        <v/>
      </c>
      <c r="K202" s="26" t="n"/>
      <c r="L202" s="24">
        <f>IF(ISNUMBER(I202),I202-IF(ISNUMBER(K202),K202,30),"")</f>
        <v/>
      </c>
      <c r="M202" s="27">
        <f>IF(I202="","",IF(ISNUMBER(I202),I202-TODAY(),"Check date"))</f>
        <v/>
      </c>
      <c r="N202" s="28">
        <f>IF(M202="","",IF(ISNUMBER(M202),IF(M202&lt;0,"Expired",IF(M202&lt;=30,"Due ≤30 days",IF(M202&lt;=90,"Due ≤90 days","OK"))),"Check date"))</f>
        <v/>
      </c>
      <c r="O202" s="24">
        <f>IF(ISNUMBER(E202),EDATE(E202,12*(IFERROR(DATEDIF(E202,TODAY(),"y"),0)+1)),"")</f>
        <v/>
      </c>
      <c r="P202" s="26" t="n"/>
      <c r="Q202" s="26" t="n"/>
      <c r="R202" s="27">
        <f>IF(LEN(A202)=0,"",MAX(0,IF(ISNUMBER(Q202),Q202,12)-N(P202)))</f>
        <v/>
      </c>
      <c r="S202" s="23" t="n"/>
      <c r="T202" s="27">
        <f>IF(S202="","",IF(ISNUMBER(S202),S202-TODAY(),"Check date"))</f>
        <v/>
      </c>
      <c r="U202" s="22" t="n"/>
      <c r="V202" s="22" t="n"/>
      <c r="W202" s="22" t="n"/>
      <c r="X202" s="22" t="n"/>
    </row>
    <row r="203">
      <c r="A203" s="22" t="n"/>
      <c r="B203" s="22" t="n"/>
      <c r="C203" s="22" t="n"/>
      <c r="D203" s="22" t="n"/>
      <c r="E203" s="23" t="n"/>
      <c r="F203" s="23" t="n"/>
      <c r="G203" s="23" t="n"/>
      <c r="H203" s="24">
        <f>IF(ISNUMBER(G203),EDATE(G203,24),"")</f>
        <v/>
      </c>
      <c r="I203" s="24">
        <f>IF(OR(AND(LEN(F203)&gt;0,ISNUMBER(F203)=FALSE),AND(LEN(G203)&gt;0,ISNUMBER(G203)=FALSE)),"Check date",IF(COUNT(F203,H203)=0,"",MIN(F203,H203)))</f>
        <v/>
      </c>
      <c r="J203" s="25">
        <f>IF(ISNUMBER(I203)=FALSE,"",IF(AND(ISNUMBER(H203),I203=H203),"24-month work rule","Registry expiry"))</f>
        <v/>
      </c>
      <c r="K203" s="26" t="n"/>
      <c r="L203" s="24">
        <f>IF(ISNUMBER(I203),I203-IF(ISNUMBER(K203),K203,30),"")</f>
        <v/>
      </c>
      <c r="M203" s="27">
        <f>IF(I203="","",IF(ISNUMBER(I203),I203-TODAY(),"Check date"))</f>
        <v/>
      </c>
      <c r="N203" s="28">
        <f>IF(M203="","",IF(ISNUMBER(M203),IF(M203&lt;0,"Expired",IF(M203&lt;=30,"Due ≤30 days",IF(M203&lt;=90,"Due ≤90 days","OK"))),"Check date"))</f>
        <v/>
      </c>
      <c r="O203" s="24">
        <f>IF(ISNUMBER(E203),EDATE(E203,12*(IFERROR(DATEDIF(E203,TODAY(),"y"),0)+1)),"")</f>
        <v/>
      </c>
      <c r="P203" s="26" t="n"/>
      <c r="Q203" s="26" t="n"/>
      <c r="R203" s="27">
        <f>IF(LEN(A203)=0,"",MAX(0,IF(ISNUMBER(Q203),Q203,12)-N(P203)))</f>
        <v/>
      </c>
      <c r="S203" s="23" t="n"/>
      <c r="T203" s="27">
        <f>IF(S203="","",IF(ISNUMBER(S203),S203-TODAY(),"Check date"))</f>
        <v/>
      </c>
      <c r="U203" s="22" t="n"/>
      <c r="V203" s="22" t="n"/>
      <c r="W203" s="22" t="n"/>
      <c r="X203" s="22" t="n"/>
    </row>
    <row r="204">
      <c r="A204" s="22" t="n"/>
      <c r="B204" s="22" t="n"/>
      <c r="C204" s="22" t="n"/>
      <c r="D204" s="22" t="n"/>
      <c r="E204" s="23" t="n"/>
      <c r="F204" s="23" t="n"/>
      <c r="G204" s="23" t="n"/>
      <c r="H204" s="24">
        <f>IF(ISNUMBER(G204),EDATE(G204,24),"")</f>
        <v/>
      </c>
      <c r="I204" s="24">
        <f>IF(OR(AND(LEN(F204)&gt;0,ISNUMBER(F204)=FALSE),AND(LEN(G204)&gt;0,ISNUMBER(G204)=FALSE)),"Check date",IF(COUNT(F204,H204)=0,"",MIN(F204,H204)))</f>
        <v/>
      </c>
      <c r="J204" s="25">
        <f>IF(ISNUMBER(I204)=FALSE,"",IF(AND(ISNUMBER(H204),I204=H204),"24-month work rule","Registry expiry"))</f>
        <v/>
      </c>
      <c r="K204" s="26" t="n"/>
      <c r="L204" s="24">
        <f>IF(ISNUMBER(I204),I204-IF(ISNUMBER(K204),K204,30),"")</f>
        <v/>
      </c>
      <c r="M204" s="27">
        <f>IF(I204="","",IF(ISNUMBER(I204),I204-TODAY(),"Check date"))</f>
        <v/>
      </c>
      <c r="N204" s="28">
        <f>IF(M204="","",IF(ISNUMBER(M204),IF(M204&lt;0,"Expired",IF(M204&lt;=30,"Due ≤30 days",IF(M204&lt;=90,"Due ≤90 days","OK"))),"Check date"))</f>
        <v/>
      </c>
      <c r="O204" s="24">
        <f>IF(ISNUMBER(E204),EDATE(E204,12*(IFERROR(DATEDIF(E204,TODAY(),"y"),0)+1)),"")</f>
        <v/>
      </c>
      <c r="P204" s="26" t="n"/>
      <c r="Q204" s="26" t="n"/>
      <c r="R204" s="27">
        <f>IF(LEN(A204)=0,"",MAX(0,IF(ISNUMBER(Q204),Q204,12)-N(P204)))</f>
        <v/>
      </c>
      <c r="S204" s="23" t="n"/>
      <c r="T204" s="27">
        <f>IF(S204="","",IF(ISNUMBER(S204),S204-TODAY(),"Check date"))</f>
        <v/>
      </c>
      <c r="U204" s="22" t="n"/>
      <c r="V204" s="22" t="n"/>
      <c r="W204" s="22" t="n"/>
      <c r="X204" s="22" t="n"/>
    </row>
    <row r="205">
      <c r="A205" s="22" t="n"/>
      <c r="B205" s="22" t="n"/>
      <c r="C205" s="22" t="n"/>
      <c r="D205" s="22" t="n"/>
      <c r="E205" s="23" t="n"/>
      <c r="F205" s="23" t="n"/>
      <c r="G205" s="23" t="n"/>
      <c r="H205" s="24">
        <f>IF(ISNUMBER(G205),EDATE(G205,24),"")</f>
        <v/>
      </c>
      <c r="I205" s="24">
        <f>IF(OR(AND(LEN(F205)&gt;0,ISNUMBER(F205)=FALSE),AND(LEN(G205)&gt;0,ISNUMBER(G205)=FALSE)),"Check date",IF(COUNT(F205,H205)=0,"",MIN(F205,H205)))</f>
        <v/>
      </c>
      <c r="J205" s="25">
        <f>IF(ISNUMBER(I205)=FALSE,"",IF(AND(ISNUMBER(H205),I205=H205),"24-month work rule","Registry expiry"))</f>
        <v/>
      </c>
      <c r="K205" s="26" t="n"/>
      <c r="L205" s="24">
        <f>IF(ISNUMBER(I205),I205-IF(ISNUMBER(K205),K205,30),"")</f>
        <v/>
      </c>
      <c r="M205" s="27">
        <f>IF(I205="","",IF(ISNUMBER(I205),I205-TODAY(),"Check date"))</f>
        <v/>
      </c>
      <c r="N205" s="28">
        <f>IF(M205="","",IF(ISNUMBER(M205),IF(M205&lt;0,"Expired",IF(M205&lt;=30,"Due ≤30 days",IF(M205&lt;=90,"Due ≤90 days","OK"))),"Check date"))</f>
        <v/>
      </c>
      <c r="O205" s="24">
        <f>IF(ISNUMBER(E205),EDATE(E205,12*(IFERROR(DATEDIF(E205,TODAY(),"y"),0)+1)),"")</f>
        <v/>
      </c>
      <c r="P205" s="26" t="n"/>
      <c r="Q205" s="26" t="n"/>
      <c r="R205" s="27">
        <f>IF(LEN(A205)=0,"",MAX(0,IF(ISNUMBER(Q205),Q205,12)-N(P205)))</f>
        <v/>
      </c>
      <c r="S205" s="23" t="n"/>
      <c r="T205" s="27">
        <f>IF(S205="","",IF(ISNUMBER(S205),S205-TODAY(),"Check date"))</f>
        <v/>
      </c>
      <c r="U205" s="22" t="n"/>
      <c r="V205" s="22" t="n"/>
      <c r="W205" s="22" t="n"/>
      <c r="X205" s="22" t="n"/>
    </row>
    <row r="206">
      <c r="A206" s="22" t="n"/>
      <c r="B206" s="22" t="n"/>
      <c r="C206" s="22" t="n"/>
      <c r="D206" s="22" t="n"/>
      <c r="E206" s="23" t="n"/>
      <c r="F206" s="23" t="n"/>
      <c r="G206" s="23" t="n"/>
      <c r="H206" s="24">
        <f>IF(ISNUMBER(G206),EDATE(G206,24),"")</f>
        <v/>
      </c>
      <c r="I206" s="24">
        <f>IF(OR(AND(LEN(F206)&gt;0,ISNUMBER(F206)=FALSE),AND(LEN(G206)&gt;0,ISNUMBER(G206)=FALSE)),"Check date",IF(COUNT(F206,H206)=0,"",MIN(F206,H206)))</f>
        <v/>
      </c>
      <c r="J206" s="25">
        <f>IF(ISNUMBER(I206)=FALSE,"",IF(AND(ISNUMBER(H206),I206=H206),"24-month work rule","Registry expiry"))</f>
        <v/>
      </c>
      <c r="K206" s="26" t="n"/>
      <c r="L206" s="24">
        <f>IF(ISNUMBER(I206),I206-IF(ISNUMBER(K206),K206,30),"")</f>
        <v/>
      </c>
      <c r="M206" s="27">
        <f>IF(I206="","",IF(ISNUMBER(I206),I206-TODAY(),"Check date"))</f>
        <v/>
      </c>
      <c r="N206" s="28">
        <f>IF(M206="","",IF(ISNUMBER(M206),IF(M206&lt;0,"Expired",IF(M206&lt;=30,"Due ≤30 days",IF(M206&lt;=90,"Due ≤90 days","OK"))),"Check date"))</f>
        <v/>
      </c>
      <c r="O206" s="24">
        <f>IF(ISNUMBER(E206),EDATE(E206,12*(IFERROR(DATEDIF(E206,TODAY(),"y"),0)+1)),"")</f>
        <v/>
      </c>
      <c r="P206" s="26" t="n"/>
      <c r="Q206" s="26" t="n"/>
      <c r="R206" s="27">
        <f>IF(LEN(A206)=0,"",MAX(0,IF(ISNUMBER(Q206),Q206,12)-N(P206)))</f>
        <v/>
      </c>
      <c r="S206" s="23" t="n"/>
      <c r="T206" s="27">
        <f>IF(S206="","",IF(ISNUMBER(S206),S206-TODAY(),"Check date"))</f>
        <v/>
      </c>
      <c r="U206" s="22" t="n"/>
      <c r="V206" s="22" t="n"/>
      <c r="W206" s="22" t="n"/>
      <c r="X206" s="22" t="n"/>
    </row>
    <row r="207">
      <c r="A207" s="22" t="n"/>
      <c r="B207" s="22" t="n"/>
      <c r="C207" s="22" t="n"/>
      <c r="D207" s="22" t="n"/>
      <c r="E207" s="23" t="n"/>
      <c r="F207" s="23" t="n"/>
      <c r="G207" s="23" t="n"/>
      <c r="H207" s="24">
        <f>IF(ISNUMBER(G207),EDATE(G207,24),"")</f>
        <v/>
      </c>
      <c r="I207" s="24">
        <f>IF(OR(AND(LEN(F207)&gt;0,ISNUMBER(F207)=FALSE),AND(LEN(G207)&gt;0,ISNUMBER(G207)=FALSE)),"Check date",IF(COUNT(F207,H207)=0,"",MIN(F207,H207)))</f>
        <v/>
      </c>
      <c r="J207" s="25">
        <f>IF(ISNUMBER(I207)=FALSE,"",IF(AND(ISNUMBER(H207),I207=H207),"24-month work rule","Registry expiry"))</f>
        <v/>
      </c>
      <c r="K207" s="26" t="n"/>
      <c r="L207" s="24">
        <f>IF(ISNUMBER(I207),I207-IF(ISNUMBER(K207),K207,30),"")</f>
        <v/>
      </c>
      <c r="M207" s="27">
        <f>IF(I207="","",IF(ISNUMBER(I207),I207-TODAY(),"Check date"))</f>
        <v/>
      </c>
      <c r="N207" s="28">
        <f>IF(M207="","",IF(ISNUMBER(M207),IF(M207&lt;0,"Expired",IF(M207&lt;=30,"Due ≤30 days",IF(M207&lt;=90,"Due ≤90 days","OK"))),"Check date"))</f>
        <v/>
      </c>
      <c r="O207" s="24">
        <f>IF(ISNUMBER(E207),EDATE(E207,12*(IFERROR(DATEDIF(E207,TODAY(),"y"),0)+1)),"")</f>
        <v/>
      </c>
      <c r="P207" s="26" t="n"/>
      <c r="Q207" s="26" t="n"/>
      <c r="R207" s="27">
        <f>IF(LEN(A207)=0,"",MAX(0,IF(ISNUMBER(Q207),Q207,12)-N(P207)))</f>
        <v/>
      </c>
      <c r="S207" s="23" t="n"/>
      <c r="T207" s="27">
        <f>IF(S207="","",IF(ISNUMBER(S207),S207-TODAY(),"Check date"))</f>
        <v/>
      </c>
      <c r="U207" s="22" t="n"/>
      <c r="V207" s="22" t="n"/>
      <c r="W207" s="22" t="n"/>
      <c r="X207" s="22" t="n"/>
    </row>
    <row r="208">
      <c r="A208" s="22" t="n"/>
      <c r="B208" s="22" t="n"/>
      <c r="C208" s="22" t="n"/>
      <c r="D208" s="22" t="n"/>
      <c r="E208" s="23" t="n"/>
      <c r="F208" s="23" t="n"/>
      <c r="G208" s="23" t="n"/>
      <c r="H208" s="24">
        <f>IF(ISNUMBER(G208),EDATE(G208,24),"")</f>
        <v/>
      </c>
      <c r="I208" s="24">
        <f>IF(OR(AND(LEN(F208)&gt;0,ISNUMBER(F208)=FALSE),AND(LEN(G208)&gt;0,ISNUMBER(G208)=FALSE)),"Check date",IF(COUNT(F208,H208)=0,"",MIN(F208,H208)))</f>
        <v/>
      </c>
      <c r="J208" s="25">
        <f>IF(ISNUMBER(I208)=FALSE,"",IF(AND(ISNUMBER(H208),I208=H208),"24-month work rule","Registry expiry"))</f>
        <v/>
      </c>
      <c r="K208" s="26" t="n"/>
      <c r="L208" s="24">
        <f>IF(ISNUMBER(I208),I208-IF(ISNUMBER(K208),K208,30),"")</f>
        <v/>
      </c>
      <c r="M208" s="27">
        <f>IF(I208="","",IF(ISNUMBER(I208),I208-TODAY(),"Check date"))</f>
        <v/>
      </c>
      <c r="N208" s="28">
        <f>IF(M208="","",IF(ISNUMBER(M208),IF(M208&lt;0,"Expired",IF(M208&lt;=30,"Due ≤30 days",IF(M208&lt;=90,"Due ≤90 days","OK"))),"Check date"))</f>
        <v/>
      </c>
      <c r="O208" s="24">
        <f>IF(ISNUMBER(E208),EDATE(E208,12*(IFERROR(DATEDIF(E208,TODAY(),"y"),0)+1)),"")</f>
        <v/>
      </c>
      <c r="P208" s="26" t="n"/>
      <c r="Q208" s="26" t="n"/>
      <c r="R208" s="27">
        <f>IF(LEN(A208)=0,"",MAX(0,IF(ISNUMBER(Q208),Q208,12)-N(P208)))</f>
        <v/>
      </c>
      <c r="S208" s="23" t="n"/>
      <c r="T208" s="27">
        <f>IF(S208="","",IF(ISNUMBER(S208),S208-TODAY(),"Check date"))</f>
        <v/>
      </c>
      <c r="U208" s="22" t="n"/>
      <c r="V208" s="22" t="n"/>
      <c r="W208" s="22" t="n"/>
      <c r="X208" s="22" t="n"/>
    </row>
    <row r="209">
      <c r="A209" s="22" t="n"/>
      <c r="B209" s="22" t="n"/>
      <c r="C209" s="22" t="n"/>
      <c r="D209" s="22" t="n"/>
      <c r="E209" s="23" t="n"/>
      <c r="F209" s="23" t="n"/>
      <c r="G209" s="23" t="n"/>
      <c r="H209" s="24">
        <f>IF(ISNUMBER(G209),EDATE(G209,24),"")</f>
        <v/>
      </c>
      <c r="I209" s="24">
        <f>IF(OR(AND(LEN(F209)&gt;0,ISNUMBER(F209)=FALSE),AND(LEN(G209)&gt;0,ISNUMBER(G209)=FALSE)),"Check date",IF(COUNT(F209,H209)=0,"",MIN(F209,H209)))</f>
        <v/>
      </c>
      <c r="J209" s="25">
        <f>IF(ISNUMBER(I209)=FALSE,"",IF(AND(ISNUMBER(H209),I209=H209),"24-month work rule","Registry expiry"))</f>
        <v/>
      </c>
      <c r="K209" s="26" t="n"/>
      <c r="L209" s="24">
        <f>IF(ISNUMBER(I209),I209-IF(ISNUMBER(K209),K209,30),"")</f>
        <v/>
      </c>
      <c r="M209" s="27">
        <f>IF(I209="","",IF(ISNUMBER(I209),I209-TODAY(),"Check date"))</f>
        <v/>
      </c>
      <c r="N209" s="28">
        <f>IF(M209="","",IF(ISNUMBER(M209),IF(M209&lt;0,"Expired",IF(M209&lt;=30,"Due ≤30 days",IF(M209&lt;=90,"Due ≤90 days","OK"))),"Check date"))</f>
        <v/>
      </c>
      <c r="O209" s="24">
        <f>IF(ISNUMBER(E209),EDATE(E209,12*(IFERROR(DATEDIF(E209,TODAY(),"y"),0)+1)),"")</f>
        <v/>
      </c>
      <c r="P209" s="26" t="n"/>
      <c r="Q209" s="26" t="n"/>
      <c r="R209" s="27">
        <f>IF(LEN(A209)=0,"",MAX(0,IF(ISNUMBER(Q209),Q209,12)-N(P209)))</f>
        <v/>
      </c>
      <c r="S209" s="23" t="n"/>
      <c r="T209" s="27">
        <f>IF(S209="","",IF(ISNUMBER(S209),S209-TODAY(),"Check date"))</f>
        <v/>
      </c>
      <c r="U209" s="22" t="n"/>
      <c r="V209" s="22" t="n"/>
      <c r="W209" s="22" t="n"/>
      <c r="X209" s="22" t="n"/>
    </row>
    <row r="210">
      <c r="A210" s="22" t="n"/>
      <c r="B210" s="22" t="n"/>
      <c r="C210" s="22" t="n"/>
      <c r="D210" s="22" t="n"/>
      <c r="E210" s="23" t="n"/>
      <c r="F210" s="23" t="n"/>
      <c r="G210" s="23" t="n"/>
      <c r="H210" s="24">
        <f>IF(ISNUMBER(G210),EDATE(G210,24),"")</f>
        <v/>
      </c>
      <c r="I210" s="24">
        <f>IF(OR(AND(LEN(F210)&gt;0,ISNUMBER(F210)=FALSE),AND(LEN(G210)&gt;0,ISNUMBER(G210)=FALSE)),"Check date",IF(COUNT(F210,H210)=0,"",MIN(F210,H210)))</f>
        <v/>
      </c>
      <c r="J210" s="25">
        <f>IF(ISNUMBER(I210)=FALSE,"",IF(AND(ISNUMBER(H210),I210=H210),"24-month work rule","Registry expiry"))</f>
        <v/>
      </c>
      <c r="K210" s="26" t="n"/>
      <c r="L210" s="24">
        <f>IF(ISNUMBER(I210),I210-IF(ISNUMBER(K210),K210,30),"")</f>
        <v/>
      </c>
      <c r="M210" s="27">
        <f>IF(I210="","",IF(ISNUMBER(I210),I210-TODAY(),"Check date"))</f>
        <v/>
      </c>
      <c r="N210" s="28">
        <f>IF(M210="","",IF(ISNUMBER(M210),IF(M210&lt;0,"Expired",IF(M210&lt;=30,"Due ≤30 days",IF(M210&lt;=90,"Due ≤90 days","OK"))),"Check date"))</f>
        <v/>
      </c>
      <c r="O210" s="24">
        <f>IF(ISNUMBER(E210),EDATE(E210,12*(IFERROR(DATEDIF(E210,TODAY(),"y"),0)+1)),"")</f>
        <v/>
      </c>
      <c r="P210" s="26" t="n"/>
      <c r="Q210" s="26" t="n"/>
      <c r="R210" s="27">
        <f>IF(LEN(A210)=0,"",MAX(0,IF(ISNUMBER(Q210),Q210,12)-N(P210)))</f>
        <v/>
      </c>
      <c r="S210" s="23" t="n"/>
      <c r="T210" s="27">
        <f>IF(S210="","",IF(ISNUMBER(S210),S210-TODAY(),"Check date"))</f>
        <v/>
      </c>
      <c r="U210" s="22" t="n"/>
      <c r="V210" s="22" t="n"/>
      <c r="W210" s="22" t="n"/>
      <c r="X210" s="22" t="n"/>
    </row>
    <row r="211">
      <c r="A211" s="22" t="n"/>
      <c r="B211" s="22" t="n"/>
      <c r="C211" s="22" t="n"/>
      <c r="D211" s="22" t="n"/>
      <c r="E211" s="23" t="n"/>
      <c r="F211" s="23" t="n"/>
      <c r="G211" s="23" t="n"/>
      <c r="H211" s="24">
        <f>IF(ISNUMBER(G211),EDATE(G211,24),"")</f>
        <v/>
      </c>
      <c r="I211" s="24">
        <f>IF(OR(AND(LEN(F211)&gt;0,ISNUMBER(F211)=FALSE),AND(LEN(G211)&gt;0,ISNUMBER(G211)=FALSE)),"Check date",IF(COUNT(F211,H211)=0,"",MIN(F211,H211)))</f>
        <v/>
      </c>
      <c r="J211" s="25">
        <f>IF(ISNUMBER(I211)=FALSE,"",IF(AND(ISNUMBER(H211),I211=H211),"24-month work rule","Registry expiry"))</f>
        <v/>
      </c>
      <c r="K211" s="26" t="n"/>
      <c r="L211" s="24">
        <f>IF(ISNUMBER(I211),I211-IF(ISNUMBER(K211),K211,30),"")</f>
        <v/>
      </c>
      <c r="M211" s="27">
        <f>IF(I211="","",IF(ISNUMBER(I211),I211-TODAY(),"Check date"))</f>
        <v/>
      </c>
      <c r="N211" s="28">
        <f>IF(M211="","",IF(ISNUMBER(M211),IF(M211&lt;0,"Expired",IF(M211&lt;=30,"Due ≤30 days",IF(M211&lt;=90,"Due ≤90 days","OK"))),"Check date"))</f>
        <v/>
      </c>
      <c r="O211" s="24">
        <f>IF(ISNUMBER(E211),EDATE(E211,12*(IFERROR(DATEDIF(E211,TODAY(),"y"),0)+1)),"")</f>
        <v/>
      </c>
      <c r="P211" s="26" t="n"/>
      <c r="Q211" s="26" t="n"/>
      <c r="R211" s="27">
        <f>IF(LEN(A211)=0,"",MAX(0,IF(ISNUMBER(Q211),Q211,12)-N(P211)))</f>
        <v/>
      </c>
      <c r="S211" s="23" t="n"/>
      <c r="T211" s="27">
        <f>IF(S211="","",IF(ISNUMBER(S211),S211-TODAY(),"Check date"))</f>
        <v/>
      </c>
      <c r="U211" s="22" t="n"/>
      <c r="V211" s="22" t="n"/>
      <c r="W211" s="22" t="n"/>
      <c r="X211" s="22" t="n"/>
    </row>
    <row r="212">
      <c r="A212" s="22" t="n"/>
      <c r="B212" s="22" t="n"/>
      <c r="C212" s="22" t="n"/>
      <c r="D212" s="22" t="n"/>
      <c r="E212" s="23" t="n"/>
      <c r="F212" s="23" t="n"/>
      <c r="G212" s="23" t="n"/>
      <c r="H212" s="24">
        <f>IF(ISNUMBER(G212),EDATE(G212,24),"")</f>
        <v/>
      </c>
      <c r="I212" s="24">
        <f>IF(OR(AND(LEN(F212)&gt;0,ISNUMBER(F212)=FALSE),AND(LEN(G212)&gt;0,ISNUMBER(G212)=FALSE)),"Check date",IF(COUNT(F212,H212)=0,"",MIN(F212,H212)))</f>
        <v/>
      </c>
      <c r="J212" s="25">
        <f>IF(ISNUMBER(I212)=FALSE,"",IF(AND(ISNUMBER(H212),I212=H212),"24-month work rule","Registry expiry"))</f>
        <v/>
      </c>
      <c r="K212" s="26" t="n"/>
      <c r="L212" s="24">
        <f>IF(ISNUMBER(I212),I212-IF(ISNUMBER(K212),K212,30),"")</f>
        <v/>
      </c>
      <c r="M212" s="27">
        <f>IF(I212="","",IF(ISNUMBER(I212),I212-TODAY(),"Check date"))</f>
        <v/>
      </c>
      <c r="N212" s="28">
        <f>IF(M212="","",IF(ISNUMBER(M212),IF(M212&lt;0,"Expired",IF(M212&lt;=30,"Due ≤30 days",IF(M212&lt;=90,"Due ≤90 days","OK"))),"Check date"))</f>
        <v/>
      </c>
      <c r="O212" s="24">
        <f>IF(ISNUMBER(E212),EDATE(E212,12*(IFERROR(DATEDIF(E212,TODAY(),"y"),0)+1)),"")</f>
        <v/>
      </c>
      <c r="P212" s="26" t="n"/>
      <c r="Q212" s="26" t="n"/>
      <c r="R212" s="27">
        <f>IF(LEN(A212)=0,"",MAX(0,IF(ISNUMBER(Q212),Q212,12)-N(P212)))</f>
        <v/>
      </c>
      <c r="S212" s="23" t="n"/>
      <c r="T212" s="27">
        <f>IF(S212="","",IF(ISNUMBER(S212),S212-TODAY(),"Check date"))</f>
        <v/>
      </c>
      <c r="U212" s="22" t="n"/>
      <c r="V212" s="22" t="n"/>
      <c r="W212" s="22" t="n"/>
      <c r="X212" s="22" t="n"/>
    </row>
    <row r="213">
      <c r="A213" s="22" t="n"/>
      <c r="B213" s="22" t="n"/>
      <c r="C213" s="22" t="n"/>
      <c r="D213" s="22" t="n"/>
      <c r="E213" s="23" t="n"/>
      <c r="F213" s="23" t="n"/>
      <c r="G213" s="23" t="n"/>
      <c r="H213" s="24">
        <f>IF(ISNUMBER(G213),EDATE(G213,24),"")</f>
        <v/>
      </c>
      <c r="I213" s="24">
        <f>IF(OR(AND(LEN(F213)&gt;0,ISNUMBER(F213)=FALSE),AND(LEN(G213)&gt;0,ISNUMBER(G213)=FALSE)),"Check date",IF(COUNT(F213,H213)=0,"",MIN(F213,H213)))</f>
        <v/>
      </c>
      <c r="J213" s="25">
        <f>IF(ISNUMBER(I213)=FALSE,"",IF(AND(ISNUMBER(H213),I213=H213),"24-month work rule","Registry expiry"))</f>
        <v/>
      </c>
      <c r="K213" s="26" t="n"/>
      <c r="L213" s="24">
        <f>IF(ISNUMBER(I213),I213-IF(ISNUMBER(K213),K213,30),"")</f>
        <v/>
      </c>
      <c r="M213" s="27">
        <f>IF(I213="","",IF(ISNUMBER(I213),I213-TODAY(),"Check date"))</f>
        <v/>
      </c>
      <c r="N213" s="28">
        <f>IF(M213="","",IF(ISNUMBER(M213),IF(M213&lt;0,"Expired",IF(M213&lt;=30,"Due ≤30 days",IF(M213&lt;=90,"Due ≤90 days","OK"))),"Check date"))</f>
        <v/>
      </c>
      <c r="O213" s="24">
        <f>IF(ISNUMBER(E213),EDATE(E213,12*(IFERROR(DATEDIF(E213,TODAY(),"y"),0)+1)),"")</f>
        <v/>
      </c>
      <c r="P213" s="26" t="n"/>
      <c r="Q213" s="26" t="n"/>
      <c r="R213" s="27">
        <f>IF(LEN(A213)=0,"",MAX(0,IF(ISNUMBER(Q213),Q213,12)-N(P213)))</f>
        <v/>
      </c>
      <c r="S213" s="23" t="n"/>
      <c r="T213" s="27">
        <f>IF(S213="","",IF(ISNUMBER(S213),S213-TODAY(),"Check date"))</f>
        <v/>
      </c>
      <c r="U213" s="22" t="n"/>
      <c r="V213" s="22" t="n"/>
      <c r="W213" s="22" t="n"/>
      <c r="X213" s="22" t="n"/>
    </row>
    <row r="214">
      <c r="A214" s="22" t="n"/>
      <c r="B214" s="22" t="n"/>
      <c r="C214" s="22" t="n"/>
      <c r="D214" s="22" t="n"/>
      <c r="E214" s="23" t="n"/>
      <c r="F214" s="23" t="n"/>
      <c r="G214" s="23" t="n"/>
      <c r="H214" s="24">
        <f>IF(ISNUMBER(G214),EDATE(G214,24),"")</f>
        <v/>
      </c>
      <c r="I214" s="24">
        <f>IF(OR(AND(LEN(F214)&gt;0,ISNUMBER(F214)=FALSE),AND(LEN(G214)&gt;0,ISNUMBER(G214)=FALSE)),"Check date",IF(COUNT(F214,H214)=0,"",MIN(F214,H214)))</f>
        <v/>
      </c>
      <c r="J214" s="25">
        <f>IF(ISNUMBER(I214)=FALSE,"",IF(AND(ISNUMBER(H214),I214=H214),"24-month work rule","Registry expiry"))</f>
        <v/>
      </c>
      <c r="K214" s="26" t="n"/>
      <c r="L214" s="24">
        <f>IF(ISNUMBER(I214),I214-IF(ISNUMBER(K214),K214,30),"")</f>
        <v/>
      </c>
      <c r="M214" s="27">
        <f>IF(I214="","",IF(ISNUMBER(I214),I214-TODAY(),"Check date"))</f>
        <v/>
      </c>
      <c r="N214" s="28">
        <f>IF(M214="","",IF(ISNUMBER(M214),IF(M214&lt;0,"Expired",IF(M214&lt;=30,"Due ≤30 days",IF(M214&lt;=90,"Due ≤90 days","OK"))),"Check date"))</f>
        <v/>
      </c>
      <c r="O214" s="24">
        <f>IF(ISNUMBER(E214),EDATE(E214,12*(IFERROR(DATEDIF(E214,TODAY(),"y"),0)+1)),"")</f>
        <v/>
      </c>
      <c r="P214" s="26" t="n"/>
      <c r="Q214" s="26" t="n"/>
      <c r="R214" s="27">
        <f>IF(LEN(A214)=0,"",MAX(0,IF(ISNUMBER(Q214),Q214,12)-N(P214)))</f>
        <v/>
      </c>
      <c r="S214" s="23" t="n"/>
      <c r="T214" s="27">
        <f>IF(S214="","",IF(ISNUMBER(S214),S214-TODAY(),"Check date"))</f>
        <v/>
      </c>
      <c r="U214" s="22" t="n"/>
      <c r="V214" s="22" t="n"/>
      <c r="W214" s="22" t="n"/>
      <c r="X214" s="22" t="n"/>
    </row>
    <row r="215">
      <c r="A215" s="22" t="n"/>
      <c r="B215" s="22" t="n"/>
      <c r="C215" s="22" t="n"/>
      <c r="D215" s="22" t="n"/>
      <c r="E215" s="23" t="n"/>
      <c r="F215" s="23" t="n"/>
      <c r="G215" s="23" t="n"/>
      <c r="H215" s="24">
        <f>IF(ISNUMBER(G215),EDATE(G215,24),"")</f>
        <v/>
      </c>
      <c r="I215" s="24">
        <f>IF(OR(AND(LEN(F215)&gt;0,ISNUMBER(F215)=FALSE),AND(LEN(G215)&gt;0,ISNUMBER(G215)=FALSE)),"Check date",IF(COUNT(F215,H215)=0,"",MIN(F215,H215)))</f>
        <v/>
      </c>
      <c r="J215" s="25">
        <f>IF(ISNUMBER(I215)=FALSE,"",IF(AND(ISNUMBER(H215),I215=H215),"24-month work rule","Registry expiry"))</f>
        <v/>
      </c>
      <c r="K215" s="26" t="n"/>
      <c r="L215" s="24">
        <f>IF(ISNUMBER(I215),I215-IF(ISNUMBER(K215),K215,30),"")</f>
        <v/>
      </c>
      <c r="M215" s="27">
        <f>IF(I215="","",IF(ISNUMBER(I215),I215-TODAY(),"Check date"))</f>
        <v/>
      </c>
      <c r="N215" s="28">
        <f>IF(M215="","",IF(ISNUMBER(M215),IF(M215&lt;0,"Expired",IF(M215&lt;=30,"Due ≤30 days",IF(M215&lt;=90,"Due ≤90 days","OK"))),"Check date"))</f>
        <v/>
      </c>
      <c r="O215" s="24">
        <f>IF(ISNUMBER(E215),EDATE(E215,12*(IFERROR(DATEDIF(E215,TODAY(),"y"),0)+1)),"")</f>
        <v/>
      </c>
      <c r="P215" s="26" t="n"/>
      <c r="Q215" s="26" t="n"/>
      <c r="R215" s="27">
        <f>IF(LEN(A215)=0,"",MAX(0,IF(ISNUMBER(Q215),Q215,12)-N(P215)))</f>
        <v/>
      </c>
      <c r="S215" s="23" t="n"/>
      <c r="T215" s="27">
        <f>IF(S215="","",IF(ISNUMBER(S215),S215-TODAY(),"Check date"))</f>
        <v/>
      </c>
      <c r="U215" s="22" t="n"/>
      <c r="V215" s="22" t="n"/>
      <c r="W215" s="22" t="n"/>
      <c r="X215" s="22" t="n"/>
    </row>
    <row r="216">
      <c r="A216" s="22" t="n"/>
      <c r="B216" s="22" t="n"/>
      <c r="C216" s="22" t="n"/>
      <c r="D216" s="22" t="n"/>
      <c r="E216" s="23" t="n"/>
      <c r="F216" s="23" t="n"/>
      <c r="G216" s="23" t="n"/>
      <c r="H216" s="24">
        <f>IF(ISNUMBER(G216),EDATE(G216,24),"")</f>
        <v/>
      </c>
      <c r="I216" s="24">
        <f>IF(OR(AND(LEN(F216)&gt;0,ISNUMBER(F216)=FALSE),AND(LEN(G216)&gt;0,ISNUMBER(G216)=FALSE)),"Check date",IF(COUNT(F216,H216)=0,"",MIN(F216,H216)))</f>
        <v/>
      </c>
      <c r="J216" s="25">
        <f>IF(ISNUMBER(I216)=FALSE,"",IF(AND(ISNUMBER(H216),I216=H216),"24-month work rule","Registry expiry"))</f>
        <v/>
      </c>
      <c r="K216" s="26" t="n"/>
      <c r="L216" s="24">
        <f>IF(ISNUMBER(I216),I216-IF(ISNUMBER(K216),K216,30),"")</f>
        <v/>
      </c>
      <c r="M216" s="27">
        <f>IF(I216="","",IF(ISNUMBER(I216),I216-TODAY(),"Check date"))</f>
        <v/>
      </c>
      <c r="N216" s="28">
        <f>IF(M216="","",IF(ISNUMBER(M216),IF(M216&lt;0,"Expired",IF(M216&lt;=30,"Due ≤30 days",IF(M216&lt;=90,"Due ≤90 days","OK"))),"Check date"))</f>
        <v/>
      </c>
      <c r="O216" s="24">
        <f>IF(ISNUMBER(E216),EDATE(E216,12*(IFERROR(DATEDIF(E216,TODAY(),"y"),0)+1)),"")</f>
        <v/>
      </c>
      <c r="P216" s="26" t="n"/>
      <c r="Q216" s="26" t="n"/>
      <c r="R216" s="27">
        <f>IF(LEN(A216)=0,"",MAX(0,IF(ISNUMBER(Q216),Q216,12)-N(P216)))</f>
        <v/>
      </c>
      <c r="S216" s="23" t="n"/>
      <c r="T216" s="27">
        <f>IF(S216="","",IF(ISNUMBER(S216),S216-TODAY(),"Check date"))</f>
        <v/>
      </c>
      <c r="U216" s="22" t="n"/>
      <c r="V216" s="22" t="n"/>
      <c r="W216" s="22" t="n"/>
      <c r="X216" s="22" t="n"/>
    </row>
    <row r="217">
      <c r="A217" s="22" t="n"/>
      <c r="B217" s="22" t="n"/>
      <c r="C217" s="22" t="n"/>
      <c r="D217" s="22" t="n"/>
      <c r="E217" s="23" t="n"/>
      <c r="F217" s="23" t="n"/>
      <c r="G217" s="23" t="n"/>
      <c r="H217" s="24">
        <f>IF(ISNUMBER(G217),EDATE(G217,24),"")</f>
        <v/>
      </c>
      <c r="I217" s="24">
        <f>IF(OR(AND(LEN(F217)&gt;0,ISNUMBER(F217)=FALSE),AND(LEN(G217)&gt;0,ISNUMBER(G217)=FALSE)),"Check date",IF(COUNT(F217,H217)=0,"",MIN(F217,H217)))</f>
        <v/>
      </c>
      <c r="J217" s="25">
        <f>IF(ISNUMBER(I217)=FALSE,"",IF(AND(ISNUMBER(H217),I217=H217),"24-month work rule","Registry expiry"))</f>
        <v/>
      </c>
      <c r="K217" s="26" t="n"/>
      <c r="L217" s="24">
        <f>IF(ISNUMBER(I217),I217-IF(ISNUMBER(K217),K217,30),"")</f>
        <v/>
      </c>
      <c r="M217" s="27">
        <f>IF(I217="","",IF(ISNUMBER(I217),I217-TODAY(),"Check date"))</f>
        <v/>
      </c>
      <c r="N217" s="28">
        <f>IF(M217="","",IF(ISNUMBER(M217),IF(M217&lt;0,"Expired",IF(M217&lt;=30,"Due ≤30 days",IF(M217&lt;=90,"Due ≤90 days","OK"))),"Check date"))</f>
        <v/>
      </c>
      <c r="O217" s="24">
        <f>IF(ISNUMBER(E217),EDATE(E217,12*(IFERROR(DATEDIF(E217,TODAY(),"y"),0)+1)),"")</f>
        <v/>
      </c>
      <c r="P217" s="26" t="n"/>
      <c r="Q217" s="26" t="n"/>
      <c r="R217" s="27">
        <f>IF(LEN(A217)=0,"",MAX(0,IF(ISNUMBER(Q217),Q217,12)-N(P217)))</f>
        <v/>
      </c>
      <c r="S217" s="23" t="n"/>
      <c r="T217" s="27">
        <f>IF(S217="","",IF(ISNUMBER(S217),S217-TODAY(),"Check date"))</f>
        <v/>
      </c>
      <c r="U217" s="22" t="n"/>
      <c r="V217" s="22" t="n"/>
      <c r="W217" s="22" t="n"/>
      <c r="X217" s="22" t="n"/>
    </row>
    <row r="218">
      <c r="A218" s="22" t="n"/>
      <c r="B218" s="22" t="n"/>
      <c r="C218" s="22" t="n"/>
      <c r="D218" s="22" t="n"/>
      <c r="E218" s="23" t="n"/>
      <c r="F218" s="23" t="n"/>
      <c r="G218" s="23" t="n"/>
      <c r="H218" s="24">
        <f>IF(ISNUMBER(G218),EDATE(G218,24),"")</f>
        <v/>
      </c>
      <c r="I218" s="24">
        <f>IF(OR(AND(LEN(F218)&gt;0,ISNUMBER(F218)=FALSE),AND(LEN(G218)&gt;0,ISNUMBER(G218)=FALSE)),"Check date",IF(COUNT(F218,H218)=0,"",MIN(F218,H218)))</f>
        <v/>
      </c>
      <c r="J218" s="25">
        <f>IF(ISNUMBER(I218)=FALSE,"",IF(AND(ISNUMBER(H218),I218=H218),"24-month work rule","Registry expiry"))</f>
        <v/>
      </c>
      <c r="K218" s="26" t="n"/>
      <c r="L218" s="24">
        <f>IF(ISNUMBER(I218),I218-IF(ISNUMBER(K218),K218,30),"")</f>
        <v/>
      </c>
      <c r="M218" s="27">
        <f>IF(I218="","",IF(ISNUMBER(I218),I218-TODAY(),"Check date"))</f>
        <v/>
      </c>
      <c r="N218" s="28">
        <f>IF(M218="","",IF(ISNUMBER(M218),IF(M218&lt;0,"Expired",IF(M218&lt;=30,"Due ≤30 days",IF(M218&lt;=90,"Due ≤90 days","OK"))),"Check date"))</f>
        <v/>
      </c>
      <c r="O218" s="24">
        <f>IF(ISNUMBER(E218),EDATE(E218,12*(IFERROR(DATEDIF(E218,TODAY(),"y"),0)+1)),"")</f>
        <v/>
      </c>
      <c r="P218" s="26" t="n"/>
      <c r="Q218" s="26" t="n"/>
      <c r="R218" s="27">
        <f>IF(LEN(A218)=0,"",MAX(0,IF(ISNUMBER(Q218),Q218,12)-N(P218)))</f>
        <v/>
      </c>
      <c r="S218" s="23" t="n"/>
      <c r="T218" s="27">
        <f>IF(S218="","",IF(ISNUMBER(S218),S218-TODAY(),"Check date"))</f>
        <v/>
      </c>
      <c r="U218" s="22" t="n"/>
      <c r="V218" s="22" t="n"/>
      <c r="W218" s="22" t="n"/>
      <c r="X218" s="22" t="n"/>
    </row>
    <row r="219">
      <c r="A219" s="22" t="n"/>
      <c r="B219" s="22" t="n"/>
      <c r="C219" s="22" t="n"/>
      <c r="D219" s="22" t="n"/>
      <c r="E219" s="23" t="n"/>
      <c r="F219" s="23" t="n"/>
      <c r="G219" s="23" t="n"/>
      <c r="H219" s="24">
        <f>IF(ISNUMBER(G219),EDATE(G219,24),"")</f>
        <v/>
      </c>
      <c r="I219" s="24">
        <f>IF(OR(AND(LEN(F219)&gt;0,ISNUMBER(F219)=FALSE),AND(LEN(G219)&gt;0,ISNUMBER(G219)=FALSE)),"Check date",IF(COUNT(F219,H219)=0,"",MIN(F219,H219)))</f>
        <v/>
      </c>
      <c r="J219" s="25">
        <f>IF(ISNUMBER(I219)=FALSE,"",IF(AND(ISNUMBER(H219),I219=H219),"24-month work rule","Registry expiry"))</f>
        <v/>
      </c>
      <c r="K219" s="26" t="n"/>
      <c r="L219" s="24">
        <f>IF(ISNUMBER(I219),I219-IF(ISNUMBER(K219),K219,30),"")</f>
        <v/>
      </c>
      <c r="M219" s="27">
        <f>IF(I219="","",IF(ISNUMBER(I219),I219-TODAY(),"Check date"))</f>
        <v/>
      </c>
      <c r="N219" s="28">
        <f>IF(M219="","",IF(ISNUMBER(M219),IF(M219&lt;0,"Expired",IF(M219&lt;=30,"Due ≤30 days",IF(M219&lt;=90,"Due ≤90 days","OK"))),"Check date"))</f>
        <v/>
      </c>
      <c r="O219" s="24">
        <f>IF(ISNUMBER(E219),EDATE(E219,12*(IFERROR(DATEDIF(E219,TODAY(),"y"),0)+1)),"")</f>
        <v/>
      </c>
      <c r="P219" s="26" t="n"/>
      <c r="Q219" s="26" t="n"/>
      <c r="R219" s="27">
        <f>IF(LEN(A219)=0,"",MAX(0,IF(ISNUMBER(Q219),Q219,12)-N(P219)))</f>
        <v/>
      </c>
      <c r="S219" s="23" t="n"/>
      <c r="T219" s="27">
        <f>IF(S219="","",IF(ISNUMBER(S219),S219-TODAY(),"Check date"))</f>
        <v/>
      </c>
      <c r="U219" s="22" t="n"/>
      <c r="V219" s="22" t="n"/>
      <c r="W219" s="22" t="n"/>
      <c r="X219" s="22" t="n"/>
    </row>
    <row r="220">
      <c r="A220" s="22" t="n"/>
      <c r="B220" s="22" t="n"/>
      <c r="C220" s="22" t="n"/>
      <c r="D220" s="22" t="n"/>
      <c r="E220" s="23" t="n"/>
      <c r="F220" s="23" t="n"/>
      <c r="G220" s="23" t="n"/>
      <c r="H220" s="24">
        <f>IF(ISNUMBER(G220),EDATE(G220,24),"")</f>
        <v/>
      </c>
      <c r="I220" s="24">
        <f>IF(OR(AND(LEN(F220)&gt;0,ISNUMBER(F220)=FALSE),AND(LEN(G220)&gt;0,ISNUMBER(G220)=FALSE)),"Check date",IF(COUNT(F220,H220)=0,"",MIN(F220,H220)))</f>
        <v/>
      </c>
      <c r="J220" s="25">
        <f>IF(ISNUMBER(I220)=FALSE,"",IF(AND(ISNUMBER(H220),I220=H220),"24-month work rule","Registry expiry"))</f>
        <v/>
      </c>
      <c r="K220" s="26" t="n"/>
      <c r="L220" s="24">
        <f>IF(ISNUMBER(I220),I220-IF(ISNUMBER(K220),K220,30),"")</f>
        <v/>
      </c>
      <c r="M220" s="27">
        <f>IF(I220="","",IF(ISNUMBER(I220),I220-TODAY(),"Check date"))</f>
        <v/>
      </c>
      <c r="N220" s="28">
        <f>IF(M220="","",IF(ISNUMBER(M220),IF(M220&lt;0,"Expired",IF(M220&lt;=30,"Due ≤30 days",IF(M220&lt;=90,"Due ≤90 days","OK"))),"Check date"))</f>
        <v/>
      </c>
      <c r="O220" s="24">
        <f>IF(ISNUMBER(E220),EDATE(E220,12*(IFERROR(DATEDIF(E220,TODAY(),"y"),0)+1)),"")</f>
        <v/>
      </c>
      <c r="P220" s="26" t="n"/>
      <c r="Q220" s="26" t="n"/>
      <c r="R220" s="27">
        <f>IF(LEN(A220)=0,"",MAX(0,IF(ISNUMBER(Q220),Q220,12)-N(P220)))</f>
        <v/>
      </c>
      <c r="S220" s="23" t="n"/>
      <c r="T220" s="27">
        <f>IF(S220="","",IF(ISNUMBER(S220),S220-TODAY(),"Check date"))</f>
        <v/>
      </c>
      <c r="U220" s="22" t="n"/>
      <c r="V220" s="22" t="n"/>
      <c r="W220" s="22" t="n"/>
      <c r="X220" s="22" t="n"/>
    </row>
    <row r="221">
      <c r="A221" s="22" t="n"/>
      <c r="B221" s="22" t="n"/>
      <c r="C221" s="22" t="n"/>
      <c r="D221" s="22" t="n"/>
      <c r="E221" s="23" t="n"/>
      <c r="F221" s="23" t="n"/>
      <c r="G221" s="23" t="n"/>
      <c r="H221" s="24">
        <f>IF(ISNUMBER(G221),EDATE(G221,24),"")</f>
        <v/>
      </c>
      <c r="I221" s="24">
        <f>IF(OR(AND(LEN(F221)&gt;0,ISNUMBER(F221)=FALSE),AND(LEN(G221)&gt;0,ISNUMBER(G221)=FALSE)),"Check date",IF(COUNT(F221,H221)=0,"",MIN(F221,H221)))</f>
        <v/>
      </c>
      <c r="J221" s="25">
        <f>IF(ISNUMBER(I221)=FALSE,"",IF(AND(ISNUMBER(H221),I221=H221),"24-month work rule","Registry expiry"))</f>
        <v/>
      </c>
      <c r="K221" s="26" t="n"/>
      <c r="L221" s="24">
        <f>IF(ISNUMBER(I221),I221-IF(ISNUMBER(K221),K221,30),"")</f>
        <v/>
      </c>
      <c r="M221" s="27">
        <f>IF(I221="","",IF(ISNUMBER(I221),I221-TODAY(),"Check date"))</f>
        <v/>
      </c>
      <c r="N221" s="28">
        <f>IF(M221="","",IF(ISNUMBER(M221),IF(M221&lt;0,"Expired",IF(M221&lt;=30,"Due ≤30 days",IF(M221&lt;=90,"Due ≤90 days","OK"))),"Check date"))</f>
        <v/>
      </c>
      <c r="O221" s="24">
        <f>IF(ISNUMBER(E221),EDATE(E221,12*(IFERROR(DATEDIF(E221,TODAY(),"y"),0)+1)),"")</f>
        <v/>
      </c>
      <c r="P221" s="26" t="n"/>
      <c r="Q221" s="26" t="n"/>
      <c r="R221" s="27">
        <f>IF(LEN(A221)=0,"",MAX(0,IF(ISNUMBER(Q221),Q221,12)-N(P221)))</f>
        <v/>
      </c>
      <c r="S221" s="23" t="n"/>
      <c r="T221" s="27">
        <f>IF(S221="","",IF(ISNUMBER(S221),S221-TODAY(),"Check date"))</f>
        <v/>
      </c>
      <c r="U221" s="22" t="n"/>
      <c r="V221" s="22" t="n"/>
      <c r="W221" s="22" t="n"/>
      <c r="X221" s="22" t="n"/>
    </row>
    <row r="222">
      <c r="A222" s="22" t="n"/>
      <c r="B222" s="22" t="n"/>
      <c r="C222" s="22" t="n"/>
      <c r="D222" s="22" t="n"/>
      <c r="E222" s="23" t="n"/>
      <c r="F222" s="23" t="n"/>
      <c r="G222" s="23" t="n"/>
      <c r="H222" s="24">
        <f>IF(ISNUMBER(G222),EDATE(G222,24),"")</f>
        <v/>
      </c>
      <c r="I222" s="24">
        <f>IF(OR(AND(LEN(F222)&gt;0,ISNUMBER(F222)=FALSE),AND(LEN(G222)&gt;0,ISNUMBER(G222)=FALSE)),"Check date",IF(COUNT(F222,H222)=0,"",MIN(F222,H222)))</f>
        <v/>
      </c>
      <c r="J222" s="25">
        <f>IF(ISNUMBER(I222)=FALSE,"",IF(AND(ISNUMBER(H222),I222=H222),"24-month work rule","Registry expiry"))</f>
        <v/>
      </c>
      <c r="K222" s="26" t="n"/>
      <c r="L222" s="24">
        <f>IF(ISNUMBER(I222),I222-IF(ISNUMBER(K222),K222,30),"")</f>
        <v/>
      </c>
      <c r="M222" s="27">
        <f>IF(I222="","",IF(ISNUMBER(I222),I222-TODAY(),"Check date"))</f>
        <v/>
      </c>
      <c r="N222" s="28">
        <f>IF(M222="","",IF(ISNUMBER(M222),IF(M222&lt;0,"Expired",IF(M222&lt;=30,"Due ≤30 days",IF(M222&lt;=90,"Due ≤90 days","OK"))),"Check date"))</f>
        <v/>
      </c>
      <c r="O222" s="24">
        <f>IF(ISNUMBER(E222),EDATE(E222,12*(IFERROR(DATEDIF(E222,TODAY(),"y"),0)+1)),"")</f>
        <v/>
      </c>
      <c r="P222" s="26" t="n"/>
      <c r="Q222" s="26" t="n"/>
      <c r="R222" s="27">
        <f>IF(LEN(A222)=0,"",MAX(0,IF(ISNUMBER(Q222),Q222,12)-N(P222)))</f>
        <v/>
      </c>
      <c r="S222" s="23" t="n"/>
      <c r="T222" s="27">
        <f>IF(S222="","",IF(ISNUMBER(S222),S222-TODAY(),"Check date"))</f>
        <v/>
      </c>
      <c r="U222" s="22" t="n"/>
      <c r="V222" s="22" t="n"/>
      <c r="W222" s="22" t="n"/>
      <c r="X222" s="22" t="n"/>
    </row>
    <row r="223">
      <c r="A223" s="22" t="n"/>
      <c r="B223" s="22" t="n"/>
      <c r="C223" s="22" t="n"/>
      <c r="D223" s="22" t="n"/>
      <c r="E223" s="23" t="n"/>
      <c r="F223" s="23" t="n"/>
      <c r="G223" s="23" t="n"/>
      <c r="H223" s="24">
        <f>IF(ISNUMBER(G223),EDATE(G223,24),"")</f>
        <v/>
      </c>
      <c r="I223" s="24">
        <f>IF(OR(AND(LEN(F223)&gt;0,ISNUMBER(F223)=FALSE),AND(LEN(G223)&gt;0,ISNUMBER(G223)=FALSE)),"Check date",IF(COUNT(F223,H223)=0,"",MIN(F223,H223)))</f>
        <v/>
      </c>
      <c r="J223" s="25">
        <f>IF(ISNUMBER(I223)=FALSE,"",IF(AND(ISNUMBER(H223),I223=H223),"24-month work rule","Registry expiry"))</f>
        <v/>
      </c>
      <c r="K223" s="26" t="n"/>
      <c r="L223" s="24">
        <f>IF(ISNUMBER(I223),I223-IF(ISNUMBER(K223),K223,30),"")</f>
        <v/>
      </c>
      <c r="M223" s="27">
        <f>IF(I223="","",IF(ISNUMBER(I223),I223-TODAY(),"Check date"))</f>
        <v/>
      </c>
      <c r="N223" s="28">
        <f>IF(M223="","",IF(ISNUMBER(M223),IF(M223&lt;0,"Expired",IF(M223&lt;=30,"Due ≤30 days",IF(M223&lt;=90,"Due ≤90 days","OK"))),"Check date"))</f>
        <v/>
      </c>
      <c r="O223" s="24">
        <f>IF(ISNUMBER(E223),EDATE(E223,12*(IFERROR(DATEDIF(E223,TODAY(),"y"),0)+1)),"")</f>
        <v/>
      </c>
      <c r="P223" s="26" t="n"/>
      <c r="Q223" s="26" t="n"/>
      <c r="R223" s="27">
        <f>IF(LEN(A223)=0,"",MAX(0,IF(ISNUMBER(Q223),Q223,12)-N(P223)))</f>
        <v/>
      </c>
      <c r="S223" s="23" t="n"/>
      <c r="T223" s="27">
        <f>IF(S223="","",IF(ISNUMBER(S223),S223-TODAY(),"Check date"))</f>
        <v/>
      </c>
      <c r="U223" s="22" t="n"/>
      <c r="V223" s="22" t="n"/>
      <c r="W223" s="22" t="n"/>
      <c r="X223" s="22" t="n"/>
    </row>
    <row r="224">
      <c r="A224" s="22" t="n"/>
      <c r="B224" s="22" t="n"/>
      <c r="C224" s="22" t="n"/>
      <c r="D224" s="22" t="n"/>
      <c r="E224" s="23" t="n"/>
      <c r="F224" s="23" t="n"/>
      <c r="G224" s="23" t="n"/>
      <c r="H224" s="24">
        <f>IF(ISNUMBER(G224),EDATE(G224,24),"")</f>
        <v/>
      </c>
      <c r="I224" s="24">
        <f>IF(OR(AND(LEN(F224)&gt;0,ISNUMBER(F224)=FALSE),AND(LEN(G224)&gt;0,ISNUMBER(G224)=FALSE)),"Check date",IF(COUNT(F224,H224)=0,"",MIN(F224,H224)))</f>
        <v/>
      </c>
      <c r="J224" s="25">
        <f>IF(ISNUMBER(I224)=FALSE,"",IF(AND(ISNUMBER(H224),I224=H224),"24-month work rule","Registry expiry"))</f>
        <v/>
      </c>
      <c r="K224" s="26" t="n"/>
      <c r="L224" s="24">
        <f>IF(ISNUMBER(I224),I224-IF(ISNUMBER(K224),K224,30),"")</f>
        <v/>
      </c>
      <c r="M224" s="27">
        <f>IF(I224="","",IF(ISNUMBER(I224),I224-TODAY(),"Check date"))</f>
        <v/>
      </c>
      <c r="N224" s="28">
        <f>IF(M224="","",IF(ISNUMBER(M224),IF(M224&lt;0,"Expired",IF(M224&lt;=30,"Due ≤30 days",IF(M224&lt;=90,"Due ≤90 days","OK"))),"Check date"))</f>
        <v/>
      </c>
      <c r="O224" s="24">
        <f>IF(ISNUMBER(E224),EDATE(E224,12*(IFERROR(DATEDIF(E224,TODAY(),"y"),0)+1)),"")</f>
        <v/>
      </c>
      <c r="P224" s="26" t="n"/>
      <c r="Q224" s="26" t="n"/>
      <c r="R224" s="27">
        <f>IF(LEN(A224)=0,"",MAX(0,IF(ISNUMBER(Q224),Q224,12)-N(P224)))</f>
        <v/>
      </c>
      <c r="S224" s="23" t="n"/>
      <c r="T224" s="27">
        <f>IF(S224="","",IF(ISNUMBER(S224),S224-TODAY(),"Check date"))</f>
        <v/>
      </c>
      <c r="U224" s="22" t="n"/>
      <c r="V224" s="22" t="n"/>
      <c r="W224" s="22" t="n"/>
      <c r="X224" s="22" t="n"/>
    </row>
    <row r="225">
      <c r="A225" s="22" t="n"/>
      <c r="B225" s="22" t="n"/>
      <c r="C225" s="22" t="n"/>
      <c r="D225" s="22" t="n"/>
      <c r="E225" s="23" t="n"/>
      <c r="F225" s="23" t="n"/>
      <c r="G225" s="23" t="n"/>
      <c r="H225" s="24">
        <f>IF(ISNUMBER(G225),EDATE(G225,24),"")</f>
        <v/>
      </c>
      <c r="I225" s="24">
        <f>IF(OR(AND(LEN(F225)&gt;0,ISNUMBER(F225)=FALSE),AND(LEN(G225)&gt;0,ISNUMBER(G225)=FALSE)),"Check date",IF(COUNT(F225,H225)=0,"",MIN(F225,H225)))</f>
        <v/>
      </c>
      <c r="J225" s="25">
        <f>IF(ISNUMBER(I225)=FALSE,"",IF(AND(ISNUMBER(H225),I225=H225),"24-month work rule","Registry expiry"))</f>
        <v/>
      </c>
      <c r="K225" s="26" t="n"/>
      <c r="L225" s="24">
        <f>IF(ISNUMBER(I225),I225-IF(ISNUMBER(K225),K225,30),"")</f>
        <v/>
      </c>
      <c r="M225" s="27">
        <f>IF(I225="","",IF(ISNUMBER(I225),I225-TODAY(),"Check date"))</f>
        <v/>
      </c>
      <c r="N225" s="28">
        <f>IF(M225="","",IF(ISNUMBER(M225),IF(M225&lt;0,"Expired",IF(M225&lt;=30,"Due ≤30 days",IF(M225&lt;=90,"Due ≤90 days","OK"))),"Check date"))</f>
        <v/>
      </c>
      <c r="O225" s="24">
        <f>IF(ISNUMBER(E225),EDATE(E225,12*(IFERROR(DATEDIF(E225,TODAY(),"y"),0)+1)),"")</f>
        <v/>
      </c>
      <c r="P225" s="26" t="n"/>
      <c r="Q225" s="26" t="n"/>
      <c r="R225" s="27">
        <f>IF(LEN(A225)=0,"",MAX(0,IF(ISNUMBER(Q225),Q225,12)-N(P225)))</f>
        <v/>
      </c>
      <c r="S225" s="23" t="n"/>
      <c r="T225" s="27">
        <f>IF(S225="","",IF(ISNUMBER(S225),S225-TODAY(),"Check date"))</f>
        <v/>
      </c>
      <c r="U225" s="22" t="n"/>
      <c r="V225" s="22" t="n"/>
      <c r="W225" s="22" t="n"/>
      <c r="X225" s="22" t="n"/>
    </row>
    <row r="226">
      <c r="A226" s="22" t="n"/>
      <c r="B226" s="22" t="n"/>
      <c r="C226" s="22" t="n"/>
      <c r="D226" s="22" t="n"/>
      <c r="E226" s="23" t="n"/>
      <c r="F226" s="23" t="n"/>
      <c r="G226" s="23" t="n"/>
      <c r="H226" s="24">
        <f>IF(ISNUMBER(G226),EDATE(G226,24),"")</f>
        <v/>
      </c>
      <c r="I226" s="24">
        <f>IF(OR(AND(LEN(F226)&gt;0,ISNUMBER(F226)=FALSE),AND(LEN(G226)&gt;0,ISNUMBER(G226)=FALSE)),"Check date",IF(COUNT(F226,H226)=0,"",MIN(F226,H226)))</f>
        <v/>
      </c>
      <c r="J226" s="25">
        <f>IF(ISNUMBER(I226)=FALSE,"",IF(AND(ISNUMBER(H226),I226=H226),"24-month work rule","Registry expiry"))</f>
        <v/>
      </c>
      <c r="K226" s="26" t="n"/>
      <c r="L226" s="24">
        <f>IF(ISNUMBER(I226),I226-IF(ISNUMBER(K226),K226,30),"")</f>
        <v/>
      </c>
      <c r="M226" s="27">
        <f>IF(I226="","",IF(ISNUMBER(I226),I226-TODAY(),"Check date"))</f>
        <v/>
      </c>
      <c r="N226" s="28">
        <f>IF(M226="","",IF(ISNUMBER(M226),IF(M226&lt;0,"Expired",IF(M226&lt;=30,"Due ≤30 days",IF(M226&lt;=90,"Due ≤90 days","OK"))),"Check date"))</f>
        <v/>
      </c>
      <c r="O226" s="24">
        <f>IF(ISNUMBER(E226),EDATE(E226,12*(IFERROR(DATEDIF(E226,TODAY(),"y"),0)+1)),"")</f>
        <v/>
      </c>
      <c r="P226" s="26" t="n"/>
      <c r="Q226" s="26" t="n"/>
      <c r="R226" s="27">
        <f>IF(LEN(A226)=0,"",MAX(0,IF(ISNUMBER(Q226),Q226,12)-N(P226)))</f>
        <v/>
      </c>
      <c r="S226" s="23" t="n"/>
      <c r="T226" s="27">
        <f>IF(S226="","",IF(ISNUMBER(S226),S226-TODAY(),"Check date"))</f>
        <v/>
      </c>
      <c r="U226" s="22" t="n"/>
      <c r="V226" s="22" t="n"/>
      <c r="W226" s="22" t="n"/>
      <c r="X226" s="22" t="n"/>
    </row>
    <row r="227">
      <c r="A227" s="22" t="n"/>
      <c r="B227" s="22" t="n"/>
      <c r="C227" s="22" t="n"/>
      <c r="D227" s="22" t="n"/>
      <c r="E227" s="23" t="n"/>
      <c r="F227" s="23" t="n"/>
      <c r="G227" s="23" t="n"/>
      <c r="H227" s="24">
        <f>IF(ISNUMBER(G227),EDATE(G227,24),"")</f>
        <v/>
      </c>
      <c r="I227" s="24">
        <f>IF(OR(AND(LEN(F227)&gt;0,ISNUMBER(F227)=FALSE),AND(LEN(G227)&gt;0,ISNUMBER(G227)=FALSE)),"Check date",IF(COUNT(F227,H227)=0,"",MIN(F227,H227)))</f>
        <v/>
      </c>
      <c r="J227" s="25">
        <f>IF(ISNUMBER(I227)=FALSE,"",IF(AND(ISNUMBER(H227),I227=H227),"24-month work rule","Registry expiry"))</f>
        <v/>
      </c>
      <c r="K227" s="26" t="n"/>
      <c r="L227" s="24">
        <f>IF(ISNUMBER(I227),I227-IF(ISNUMBER(K227),K227,30),"")</f>
        <v/>
      </c>
      <c r="M227" s="27">
        <f>IF(I227="","",IF(ISNUMBER(I227),I227-TODAY(),"Check date"))</f>
        <v/>
      </c>
      <c r="N227" s="28">
        <f>IF(M227="","",IF(ISNUMBER(M227),IF(M227&lt;0,"Expired",IF(M227&lt;=30,"Due ≤30 days",IF(M227&lt;=90,"Due ≤90 days","OK"))),"Check date"))</f>
        <v/>
      </c>
      <c r="O227" s="24">
        <f>IF(ISNUMBER(E227),EDATE(E227,12*(IFERROR(DATEDIF(E227,TODAY(),"y"),0)+1)),"")</f>
        <v/>
      </c>
      <c r="P227" s="26" t="n"/>
      <c r="Q227" s="26" t="n"/>
      <c r="R227" s="27">
        <f>IF(LEN(A227)=0,"",MAX(0,IF(ISNUMBER(Q227),Q227,12)-N(P227)))</f>
        <v/>
      </c>
      <c r="S227" s="23" t="n"/>
      <c r="T227" s="27">
        <f>IF(S227="","",IF(ISNUMBER(S227),S227-TODAY(),"Check date"))</f>
        <v/>
      </c>
      <c r="U227" s="22" t="n"/>
      <c r="V227" s="22" t="n"/>
      <c r="W227" s="22" t="n"/>
      <c r="X227" s="22" t="n"/>
    </row>
    <row r="228">
      <c r="A228" s="22" t="n"/>
      <c r="B228" s="22" t="n"/>
      <c r="C228" s="22" t="n"/>
      <c r="D228" s="22" t="n"/>
      <c r="E228" s="23" t="n"/>
      <c r="F228" s="23" t="n"/>
      <c r="G228" s="23" t="n"/>
      <c r="H228" s="24">
        <f>IF(ISNUMBER(G228),EDATE(G228,24),"")</f>
        <v/>
      </c>
      <c r="I228" s="24">
        <f>IF(OR(AND(LEN(F228)&gt;0,ISNUMBER(F228)=FALSE),AND(LEN(G228)&gt;0,ISNUMBER(G228)=FALSE)),"Check date",IF(COUNT(F228,H228)=0,"",MIN(F228,H228)))</f>
        <v/>
      </c>
      <c r="J228" s="25">
        <f>IF(ISNUMBER(I228)=FALSE,"",IF(AND(ISNUMBER(H228),I228=H228),"24-month work rule","Registry expiry"))</f>
        <v/>
      </c>
      <c r="K228" s="26" t="n"/>
      <c r="L228" s="24">
        <f>IF(ISNUMBER(I228),I228-IF(ISNUMBER(K228),K228,30),"")</f>
        <v/>
      </c>
      <c r="M228" s="27">
        <f>IF(I228="","",IF(ISNUMBER(I228),I228-TODAY(),"Check date"))</f>
        <v/>
      </c>
      <c r="N228" s="28">
        <f>IF(M228="","",IF(ISNUMBER(M228),IF(M228&lt;0,"Expired",IF(M228&lt;=30,"Due ≤30 days",IF(M228&lt;=90,"Due ≤90 days","OK"))),"Check date"))</f>
        <v/>
      </c>
      <c r="O228" s="24">
        <f>IF(ISNUMBER(E228),EDATE(E228,12*(IFERROR(DATEDIF(E228,TODAY(),"y"),0)+1)),"")</f>
        <v/>
      </c>
      <c r="P228" s="26" t="n"/>
      <c r="Q228" s="26" t="n"/>
      <c r="R228" s="27">
        <f>IF(LEN(A228)=0,"",MAX(0,IF(ISNUMBER(Q228),Q228,12)-N(P228)))</f>
        <v/>
      </c>
      <c r="S228" s="23" t="n"/>
      <c r="T228" s="27">
        <f>IF(S228="","",IF(ISNUMBER(S228),S228-TODAY(),"Check date"))</f>
        <v/>
      </c>
      <c r="U228" s="22" t="n"/>
      <c r="V228" s="22" t="n"/>
      <c r="W228" s="22" t="n"/>
      <c r="X228" s="22" t="n"/>
    </row>
    <row r="229">
      <c r="A229" s="22" t="n"/>
      <c r="B229" s="22" t="n"/>
      <c r="C229" s="22" t="n"/>
      <c r="D229" s="22" t="n"/>
      <c r="E229" s="23" t="n"/>
      <c r="F229" s="23" t="n"/>
      <c r="G229" s="23" t="n"/>
      <c r="H229" s="24">
        <f>IF(ISNUMBER(G229),EDATE(G229,24),"")</f>
        <v/>
      </c>
      <c r="I229" s="24">
        <f>IF(OR(AND(LEN(F229)&gt;0,ISNUMBER(F229)=FALSE),AND(LEN(G229)&gt;0,ISNUMBER(G229)=FALSE)),"Check date",IF(COUNT(F229,H229)=0,"",MIN(F229,H229)))</f>
        <v/>
      </c>
      <c r="J229" s="25">
        <f>IF(ISNUMBER(I229)=FALSE,"",IF(AND(ISNUMBER(H229),I229=H229),"24-month work rule","Registry expiry"))</f>
        <v/>
      </c>
      <c r="K229" s="26" t="n"/>
      <c r="L229" s="24">
        <f>IF(ISNUMBER(I229),I229-IF(ISNUMBER(K229),K229,30),"")</f>
        <v/>
      </c>
      <c r="M229" s="27">
        <f>IF(I229="","",IF(ISNUMBER(I229),I229-TODAY(),"Check date"))</f>
        <v/>
      </c>
      <c r="N229" s="28">
        <f>IF(M229="","",IF(ISNUMBER(M229),IF(M229&lt;0,"Expired",IF(M229&lt;=30,"Due ≤30 days",IF(M229&lt;=90,"Due ≤90 days","OK"))),"Check date"))</f>
        <v/>
      </c>
      <c r="O229" s="24">
        <f>IF(ISNUMBER(E229),EDATE(E229,12*(IFERROR(DATEDIF(E229,TODAY(),"y"),0)+1)),"")</f>
        <v/>
      </c>
      <c r="P229" s="26" t="n"/>
      <c r="Q229" s="26" t="n"/>
      <c r="R229" s="27">
        <f>IF(LEN(A229)=0,"",MAX(0,IF(ISNUMBER(Q229),Q229,12)-N(P229)))</f>
        <v/>
      </c>
      <c r="S229" s="23" t="n"/>
      <c r="T229" s="27">
        <f>IF(S229="","",IF(ISNUMBER(S229),S229-TODAY(),"Check date"))</f>
        <v/>
      </c>
      <c r="U229" s="22" t="n"/>
      <c r="V229" s="22" t="n"/>
      <c r="W229" s="22" t="n"/>
      <c r="X229" s="22" t="n"/>
    </row>
    <row r="230">
      <c r="A230" s="22" t="n"/>
      <c r="B230" s="22" t="n"/>
      <c r="C230" s="22" t="n"/>
      <c r="D230" s="22" t="n"/>
      <c r="E230" s="23" t="n"/>
      <c r="F230" s="23" t="n"/>
      <c r="G230" s="23" t="n"/>
      <c r="H230" s="24">
        <f>IF(ISNUMBER(G230),EDATE(G230,24),"")</f>
        <v/>
      </c>
      <c r="I230" s="24">
        <f>IF(OR(AND(LEN(F230)&gt;0,ISNUMBER(F230)=FALSE),AND(LEN(G230)&gt;0,ISNUMBER(G230)=FALSE)),"Check date",IF(COUNT(F230,H230)=0,"",MIN(F230,H230)))</f>
        <v/>
      </c>
      <c r="J230" s="25">
        <f>IF(ISNUMBER(I230)=FALSE,"",IF(AND(ISNUMBER(H230),I230=H230),"24-month work rule","Registry expiry"))</f>
        <v/>
      </c>
      <c r="K230" s="26" t="n"/>
      <c r="L230" s="24">
        <f>IF(ISNUMBER(I230),I230-IF(ISNUMBER(K230),K230,30),"")</f>
        <v/>
      </c>
      <c r="M230" s="27">
        <f>IF(I230="","",IF(ISNUMBER(I230),I230-TODAY(),"Check date"))</f>
        <v/>
      </c>
      <c r="N230" s="28">
        <f>IF(M230="","",IF(ISNUMBER(M230),IF(M230&lt;0,"Expired",IF(M230&lt;=30,"Due ≤30 days",IF(M230&lt;=90,"Due ≤90 days","OK"))),"Check date"))</f>
        <v/>
      </c>
      <c r="O230" s="24">
        <f>IF(ISNUMBER(E230),EDATE(E230,12*(IFERROR(DATEDIF(E230,TODAY(),"y"),0)+1)),"")</f>
        <v/>
      </c>
      <c r="P230" s="26" t="n"/>
      <c r="Q230" s="26" t="n"/>
      <c r="R230" s="27">
        <f>IF(LEN(A230)=0,"",MAX(0,IF(ISNUMBER(Q230),Q230,12)-N(P230)))</f>
        <v/>
      </c>
      <c r="S230" s="23" t="n"/>
      <c r="T230" s="27">
        <f>IF(S230="","",IF(ISNUMBER(S230),S230-TODAY(),"Check date"))</f>
        <v/>
      </c>
      <c r="U230" s="22" t="n"/>
      <c r="V230" s="22" t="n"/>
      <c r="W230" s="22" t="n"/>
      <c r="X230" s="22" t="n"/>
    </row>
    <row r="231">
      <c r="A231" s="22" t="n"/>
      <c r="B231" s="22" t="n"/>
      <c r="C231" s="22" t="n"/>
      <c r="D231" s="22" t="n"/>
      <c r="E231" s="23" t="n"/>
      <c r="F231" s="23" t="n"/>
      <c r="G231" s="23" t="n"/>
      <c r="H231" s="24">
        <f>IF(ISNUMBER(G231),EDATE(G231,24),"")</f>
        <v/>
      </c>
      <c r="I231" s="24">
        <f>IF(OR(AND(LEN(F231)&gt;0,ISNUMBER(F231)=FALSE),AND(LEN(G231)&gt;0,ISNUMBER(G231)=FALSE)),"Check date",IF(COUNT(F231,H231)=0,"",MIN(F231,H231)))</f>
        <v/>
      </c>
      <c r="J231" s="25">
        <f>IF(ISNUMBER(I231)=FALSE,"",IF(AND(ISNUMBER(H231),I231=H231),"24-month work rule","Registry expiry"))</f>
        <v/>
      </c>
      <c r="K231" s="26" t="n"/>
      <c r="L231" s="24">
        <f>IF(ISNUMBER(I231),I231-IF(ISNUMBER(K231),K231,30),"")</f>
        <v/>
      </c>
      <c r="M231" s="27">
        <f>IF(I231="","",IF(ISNUMBER(I231),I231-TODAY(),"Check date"))</f>
        <v/>
      </c>
      <c r="N231" s="28">
        <f>IF(M231="","",IF(ISNUMBER(M231),IF(M231&lt;0,"Expired",IF(M231&lt;=30,"Due ≤30 days",IF(M231&lt;=90,"Due ≤90 days","OK"))),"Check date"))</f>
        <v/>
      </c>
      <c r="O231" s="24">
        <f>IF(ISNUMBER(E231),EDATE(E231,12*(IFERROR(DATEDIF(E231,TODAY(),"y"),0)+1)),"")</f>
        <v/>
      </c>
      <c r="P231" s="26" t="n"/>
      <c r="Q231" s="26" t="n"/>
      <c r="R231" s="27">
        <f>IF(LEN(A231)=0,"",MAX(0,IF(ISNUMBER(Q231),Q231,12)-N(P231)))</f>
        <v/>
      </c>
      <c r="S231" s="23" t="n"/>
      <c r="T231" s="27">
        <f>IF(S231="","",IF(ISNUMBER(S231),S231-TODAY(),"Check date"))</f>
        <v/>
      </c>
      <c r="U231" s="22" t="n"/>
      <c r="V231" s="22" t="n"/>
      <c r="W231" s="22" t="n"/>
      <c r="X231" s="22" t="n"/>
    </row>
    <row r="232">
      <c r="A232" s="22" t="n"/>
      <c r="B232" s="22" t="n"/>
      <c r="C232" s="22" t="n"/>
      <c r="D232" s="22" t="n"/>
      <c r="E232" s="23" t="n"/>
      <c r="F232" s="23" t="n"/>
      <c r="G232" s="23" t="n"/>
      <c r="H232" s="24">
        <f>IF(ISNUMBER(G232),EDATE(G232,24),"")</f>
        <v/>
      </c>
      <c r="I232" s="24">
        <f>IF(OR(AND(LEN(F232)&gt;0,ISNUMBER(F232)=FALSE),AND(LEN(G232)&gt;0,ISNUMBER(G232)=FALSE)),"Check date",IF(COUNT(F232,H232)=0,"",MIN(F232,H232)))</f>
        <v/>
      </c>
      <c r="J232" s="25">
        <f>IF(ISNUMBER(I232)=FALSE,"",IF(AND(ISNUMBER(H232),I232=H232),"24-month work rule","Registry expiry"))</f>
        <v/>
      </c>
      <c r="K232" s="26" t="n"/>
      <c r="L232" s="24">
        <f>IF(ISNUMBER(I232),I232-IF(ISNUMBER(K232),K232,30),"")</f>
        <v/>
      </c>
      <c r="M232" s="27">
        <f>IF(I232="","",IF(ISNUMBER(I232),I232-TODAY(),"Check date"))</f>
        <v/>
      </c>
      <c r="N232" s="28">
        <f>IF(M232="","",IF(ISNUMBER(M232),IF(M232&lt;0,"Expired",IF(M232&lt;=30,"Due ≤30 days",IF(M232&lt;=90,"Due ≤90 days","OK"))),"Check date"))</f>
        <v/>
      </c>
      <c r="O232" s="24">
        <f>IF(ISNUMBER(E232),EDATE(E232,12*(IFERROR(DATEDIF(E232,TODAY(),"y"),0)+1)),"")</f>
        <v/>
      </c>
      <c r="P232" s="26" t="n"/>
      <c r="Q232" s="26" t="n"/>
      <c r="R232" s="27">
        <f>IF(LEN(A232)=0,"",MAX(0,IF(ISNUMBER(Q232),Q232,12)-N(P232)))</f>
        <v/>
      </c>
      <c r="S232" s="23" t="n"/>
      <c r="T232" s="27">
        <f>IF(S232="","",IF(ISNUMBER(S232),S232-TODAY(),"Check date"))</f>
        <v/>
      </c>
      <c r="U232" s="22" t="n"/>
      <c r="V232" s="22" t="n"/>
      <c r="W232" s="22" t="n"/>
      <c r="X232" s="22" t="n"/>
    </row>
    <row r="233">
      <c r="A233" s="22" t="n"/>
      <c r="B233" s="22" t="n"/>
      <c r="C233" s="22" t="n"/>
      <c r="D233" s="22" t="n"/>
      <c r="E233" s="23" t="n"/>
      <c r="F233" s="23" t="n"/>
      <c r="G233" s="23" t="n"/>
      <c r="H233" s="24">
        <f>IF(ISNUMBER(G233),EDATE(G233,24),"")</f>
        <v/>
      </c>
      <c r="I233" s="24">
        <f>IF(OR(AND(LEN(F233)&gt;0,ISNUMBER(F233)=FALSE),AND(LEN(G233)&gt;0,ISNUMBER(G233)=FALSE)),"Check date",IF(COUNT(F233,H233)=0,"",MIN(F233,H233)))</f>
        <v/>
      </c>
      <c r="J233" s="25">
        <f>IF(ISNUMBER(I233)=FALSE,"",IF(AND(ISNUMBER(H233),I233=H233),"24-month work rule","Registry expiry"))</f>
        <v/>
      </c>
      <c r="K233" s="26" t="n"/>
      <c r="L233" s="24">
        <f>IF(ISNUMBER(I233),I233-IF(ISNUMBER(K233),K233,30),"")</f>
        <v/>
      </c>
      <c r="M233" s="27">
        <f>IF(I233="","",IF(ISNUMBER(I233),I233-TODAY(),"Check date"))</f>
        <v/>
      </c>
      <c r="N233" s="28">
        <f>IF(M233="","",IF(ISNUMBER(M233),IF(M233&lt;0,"Expired",IF(M233&lt;=30,"Due ≤30 days",IF(M233&lt;=90,"Due ≤90 days","OK"))),"Check date"))</f>
        <v/>
      </c>
      <c r="O233" s="24">
        <f>IF(ISNUMBER(E233),EDATE(E233,12*(IFERROR(DATEDIF(E233,TODAY(),"y"),0)+1)),"")</f>
        <v/>
      </c>
      <c r="P233" s="26" t="n"/>
      <c r="Q233" s="26" t="n"/>
      <c r="R233" s="27">
        <f>IF(LEN(A233)=0,"",MAX(0,IF(ISNUMBER(Q233),Q233,12)-N(P233)))</f>
        <v/>
      </c>
      <c r="S233" s="23" t="n"/>
      <c r="T233" s="27">
        <f>IF(S233="","",IF(ISNUMBER(S233),S233-TODAY(),"Check date"))</f>
        <v/>
      </c>
      <c r="U233" s="22" t="n"/>
      <c r="V233" s="22" t="n"/>
      <c r="W233" s="22" t="n"/>
      <c r="X233" s="22" t="n"/>
    </row>
    <row r="234">
      <c r="A234" s="22" t="n"/>
      <c r="B234" s="22" t="n"/>
      <c r="C234" s="22" t="n"/>
      <c r="D234" s="22" t="n"/>
      <c r="E234" s="23" t="n"/>
      <c r="F234" s="23" t="n"/>
      <c r="G234" s="23" t="n"/>
      <c r="H234" s="24">
        <f>IF(ISNUMBER(G234),EDATE(G234,24),"")</f>
        <v/>
      </c>
      <c r="I234" s="24">
        <f>IF(OR(AND(LEN(F234)&gt;0,ISNUMBER(F234)=FALSE),AND(LEN(G234)&gt;0,ISNUMBER(G234)=FALSE)),"Check date",IF(COUNT(F234,H234)=0,"",MIN(F234,H234)))</f>
        <v/>
      </c>
      <c r="J234" s="25">
        <f>IF(ISNUMBER(I234)=FALSE,"",IF(AND(ISNUMBER(H234),I234=H234),"24-month work rule","Registry expiry"))</f>
        <v/>
      </c>
      <c r="K234" s="26" t="n"/>
      <c r="L234" s="24">
        <f>IF(ISNUMBER(I234),I234-IF(ISNUMBER(K234),K234,30),"")</f>
        <v/>
      </c>
      <c r="M234" s="27">
        <f>IF(I234="","",IF(ISNUMBER(I234),I234-TODAY(),"Check date"))</f>
        <v/>
      </c>
      <c r="N234" s="28">
        <f>IF(M234="","",IF(ISNUMBER(M234),IF(M234&lt;0,"Expired",IF(M234&lt;=30,"Due ≤30 days",IF(M234&lt;=90,"Due ≤90 days","OK"))),"Check date"))</f>
        <v/>
      </c>
      <c r="O234" s="24">
        <f>IF(ISNUMBER(E234),EDATE(E234,12*(IFERROR(DATEDIF(E234,TODAY(),"y"),0)+1)),"")</f>
        <v/>
      </c>
      <c r="P234" s="26" t="n"/>
      <c r="Q234" s="26" t="n"/>
      <c r="R234" s="27">
        <f>IF(LEN(A234)=0,"",MAX(0,IF(ISNUMBER(Q234),Q234,12)-N(P234)))</f>
        <v/>
      </c>
      <c r="S234" s="23" t="n"/>
      <c r="T234" s="27">
        <f>IF(S234="","",IF(ISNUMBER(S234),S234-TODAY(),"Check date"))</f>
        <v/>
      </c>
      <c r="U234" s="22" t="n"/>
      <c r="V234" s="22" t="n"/>
      <c r="W234" s="22" t="n"/>
      <c r="X234" s="22" t="n"/>
    </row>
    <row r="235">
      <c r="A235" s="22" t="n"/>
      <c r="B235" s="22" t="n"/>
      <c r="C235" s="22" t="n"/>
      <c r="D235" s="22" t="n"/>
      <c r="E235" s="23" t="n"/>
      <c r="F235" s="23" t="n"/>
      <c r="G235" s="23" t="n"/>
      <c r="H235" s="24">
        <f>IF(ISNUMBER(G235),EDATE(G235,24),"")</f>
        <v/>
      </c>
      <c r="I235" s="24">
        <f>IF(OR(AND(LEN(F235)&gt;0,ISNUMBER(F235)=FALSE),AND(LEN(G235)&gt;0,ISNUMBER(G235)=FALSE)),"Check date",IF(COUNT(F235,H235)=0,"",MIN(F235,H235)))</f>
        <v/>
      </c>
      <c r="J235" s="25">
        <f>IF(ISNUMBER(I235)=FALSE,"",IF(AND(ISNUMBER(H235),I235=H235),"24-month work rule","Registry expiry"))</f>
        <v/>
      </c>
      <c r="K235" s="26" t="n"/>
      <c r="L235" s="24">
        <f>IF(ISNUMBER(I235),I235-IF(ISNUMBER(K235),K235,30),"")</f>
        <v/>
      </c>
      <c r="M235" s="27">
        <f>IF(I235="","",IF(ISNUMBER(I235),I235-TODAY(),"Check date"))</f>
        <v/>
      </c>
      <c r="N235" s="28">
        <f>IF(M235="","",IF(ISNUMBER(M235),IF(M235&lt;0,"Expired",IF(M235&lt;=30,"Due ≤30 days",IF(M235&lt;=90,"Due ≤90 days","OK"))),"Check date"))</f>
        <v/>
      </c>
      <c r="O235" s="24">
        <f>IF(ISNUMBER(E235),EDATE(E235,12*(IFERROR(DATEDIF(E235,TODAY(),"y"),0)+1)),"")</f>
        <v/>
      </c>
      <c r="P235" s="26" t="n"/>
      <c r="Q235" s="26" t="n"/>
      <c r="R235" s="27">
        <f>IF(LEN(A235)=0,"",MAX(0,IF(ISNUMBER(Q235),Q235,12)-N(P235)))</f>
        <v/>
      </c>
      <c r="S235" s="23" t="n"/>
      <c r="T235" s="27">
        <f>IF(S235="","",IF(ISNUMBER(S235),S235-TODAY(),"Check date"))</f>
        <v/>
      </c>
      <c r="U235" s="22" t="n"/>
      <c r="V235" s="22" t="n"/>
      <c r="W235" s="22" t="n"/>
      <c r="X235" s="22" t="n"/>
    </row>
    <row r="236">
      <c r="A236" s="22" t="n"/>
      <c r="B236" s="22" t="n"/>
      <c r="C236" s="22" t="n"/>
      <c r="D236" s="22" t="n"/>
      <c r="E236" s="23" t="n"/>
      <c r="F236" s="23" t="n"/>
      <c r="G236" s="23" t="n"/>
      <c r="H236" s="24">
        <f>IF(ISNUMBER(G236),EDATE(G236,24),"")</f>
        <v/>
      </c>
      <c r="I236" s="24">
        <f>IF(OR(AND(LEN(F236)&gt;0,ISNUMBER(F236)=FALSE),AND(LEN(G236)&gt;0,ISNUMBER(G236)=FALSE)),"Check date",IF(COUNT(F236,H236)=0,"",MIN(F236,H236)))</f>
        <v/>
      </c>
      <c r="J236" s="25">
        <f>IF(ISNUMBER(I236)=FALSE,"",IF(AND(ISNUMBER(H236),I236=H236),"24-month work rule","Registry expiry"))</f>
        <v/>
      </c>
      <c r="K236" s="26" t="n"/>
      <c r="L236" s="24">
        <f>IF(ISNUMBER(I236),I236-IF(ISNUMBER(K236),K236,30),"")</f>
        <v/>
      </c>
      <c r="M236" s="27">
        <f>IF(I236="","",IF(ISNUMBER(I236),I236-TODAY(),"Check date"))</f>
        <v/>
      </c>
      <c r="N236" s="28">
        <f>IF(M236="","",IF(ISNUMBER(M236),IF(M236&lt;0,"Expired",IF(M236&lt;=30,"Due ≤30 days",IF(M236&lt;=90,"Due ≤90 days","OK"))),"Check date"))</f>
        <v/>
      </c>
      <c r="O236" s="24">
        <f>IF(ISNUMBER(E236),EDATE(E236,12*(IFERROR(DATEDIF(E236,TODAY(),"y"),0)+1)),"")</f>
        <v/>
      </c>
      <c r="P236" s="26" t="n"/>
      <c r="Q236" s="26" t="n"/>
      <c r="R236" s="27">
        <f>IF(LEN(A236)=0,"",MAX(0,IF(ISNUMBER(Q236),Q236,12)-N(P236)))</f>
        <v/>
      </c>
      <c r="S236" s="23" t="n"/>
      <c r="T236" s="27">
        <f>IF(S236="","",IF(ISNUMBER(S236),S236-TODAY(),"Check date"))</f>
        <v/>
      </c>
      <c r="U236" s="22" t="n"/>
      <c r="V236" s="22" t="n"/>
      <c r="W236" s="22" t="n"/>
      <c r="X236" s="22" t="n"/>
    </row>
    <row r="237">
      <c r="A237" s="22" t="n"/>
      <c r="B237" s="22" t="n"/>
      <c r="C237" s="22" t="n"/>
      <c r="D237" s="22" t="n"/>
      <c r="E237" s="23" t="n"/>
      <c r="F237" s="23" t="n"/>
      <c r="G237" s="23" t="n"/>
      <c r="H237" s="24">
        <f>IF(ISNUMBER(G237),EDATE(G237,24),"")</f>
        <v/>
      </c>
      <c r="I237" s="24">
        <f>IF(OR(AND(LEN(F237)&gt;0,ISNUMBER(F237)=FALSE),AND(LEN(G237)&gt;0,ISNUMBER(G237)=FALSE)),"Check date",IF(COUNT(F237,H237)=0,"",MIN(F237,H237)))</f>
        <v/>
      </c>
      <c r="J237" s="25">
        <f>IF(ISNUMBER(I237)=FALSE,"",IF(AND(ISNUMBER(H237),I237=H237),"24-month work rule","Registry expiry"))</f>
        <v/>
      </c>
      <c r="K237" s="26" t="n"/>
      <c r="L237" s="24">
        <f>IF(ISNUMBER(I237),I237-IF(ISNUMBER(K237),K237,30),"")</f>
        <v/>
      </c>
      <c r="M237" s="27">
        <f>IF(I237="","",IF(ISNUMBER(I237),I237-TODAY(),"Check date"))</f>
        <v/>
      </c>
      <c r="N237" s="28">
        <f>IF(M237="","",IF(ISNUMBER(M237),IF(M237&lt;0,"Expired",IF(M237&lt;=30,"Due ≤30 days",IF(M237&lt;=90,"Due ≤90 days","OK"))),"Check date"))</f>
        <v/>
      </c>
      <c r="O237" s="24">
        <f>IF(ISNUMBER(E237),EDATE(E237,12*(IFERROR(DATEDIF(E237,TODAY(),"y"),0)+1)),"")</f>
        <v/>
      </c>
      <c r="P237" s="26" t="n"/>
      <c r="Q237" s="26" t="n"/>
      <c r="R237" s="27">
        <f>IF(LEN(A237)=0,"",MAX(0,IF(ISNUMBER(Q237),Q237,12)-N(P237)))</f>
        <v/>
      </c>
      <c r="S237" s="23" t="n"/>
      <c r="T237" s="27">
        <f>IF(S237="","",IF(ISNUMBER(S237),S237-TODAY(),"Check date"))</f>
        <v/>
      </c>
      <c r="U237" s="22" t="n"/>
      <c r="V237" s="22" t="n"/>
      <c r="W237" s="22" t="n"/>
      <c r="X237" s="22" t="n"/>
    </row>
    <row r="238">
      <c r="A238" s="22" t="n"/>
      <c r="B238" s="22" t="n"/>
      <c r="C238" s="22" t="n"/>
      <c r="D238" s="22" t="n"/>
      <c r="E238" s="23" t="n"/>
      <c r="F238" s="23" t="n"/>
      <c r="G238" s="23" t="n"/>
      <c r="H238" s="24">
        <f>IF(ISNUMBER(G238),EDATE(G238,24),"")</f>
        <v/>
      </c>
      <c r="I238" s="24">
        <f>IF(OR(AND(LEN(F238)&gt;0,ISNUMBER(F238)=FALSE),AND(LEN(G238)&gt;0,ISNUMBER(G238)=FALSE)),"Check date",IF(COUNT(F238,H238)=0,"",MIN(F238,H238)))</f>
        <v/>
      </c>
      <c r="J238" s="25">
        <f>IF(ISNUMBER(I238)=FALSE,"",IF(AND(ISNUMBER(H238),I238=H238),"24-month work rule","Registry expiry"))</f>
        <v/>
      </c>
      <c r="K238" s="26" t="n"/>
      <c r="L238" s="24">
        <f>IF(ISNUMBER(I238),I238-IF(ISNUMBER(K238),K238,30),"")</f>
        <v/>
      </c>
      <c r="M238" s="27">
        <f>IF(I238="","",IF(ISNUMBER(I238),I238-TODAY(),"Check date"))</f>
        <v/>
      </c>
      <c r="N238" s="28">
        <f>IF(M238="","",IF(ISNUMBER(M238),IF(M238&lt;0,"Expired",IF(M238&lt;=30,"Due ≤30 days",IF(M238&lt;=90,"Due ≤90 days","OK"))),"Check date"))</f>
        <v/>
      </c>
      <c r="O238" s="24">
        <f>IF(ISNUMBER(E238),EDATE(E238,12*(IFERROR(DATEDIF(E238,TODAY(),"y"),0)+1)),"")</f>
        <v/>
      </c>
      <c r="P238" s="26" t="n"/>
      <c r="Q238" s="26" t="n"/>
      <c r="R238" s="27">
        <f>IF(LEN(A238)=0,"",MAX(0,IF(ISNUMBER(Q238),Q238,12)-N(P238)))</f>
        <v/>
      </c>
      <c r="S238" s="23" t="n"/>
      <c r="T238" s="27">
        <f>IF(S238="","",IF(ISNUMBER(S238),S238-TODAY(),"Check date"))</f>
        <v/>
      </c>
      <c r="U238" s="22" t="n"/>
      <c r="V238" s="22" t="n"/>
      <c r="W238" s="22" t="n"/>
      <c r="X238" s="22" t="n"/>
    </row>
    <row r="239">
      <c r="A239" s="22" t="n"/>
      <c r="B239" s="22" t="n"/>
      <c r="C239" s="22" t="n"/>
      <c r="D239" s="22" t="n"/>
      <c r="E239" s="23" t="n"/>
      <c r="F239" s="23" t="n"/>
      <c r="G239" s="23" t="n"/>
      <c r="H239" s="24">
        <f>IF(ISNUMBER(G239),EDATE(G239,24),"")</f>
        <v/>
      </c>
      <c r="I239" s="24">
        <f>IF(OR(AND(LEN(F239)&gt;0,ISNUMBER(F239)=FALSE),AND(LEN(G239)&gt;0,ISNUMBER(G239)=FALSE)),"Check date",IF(COUNT(F239,H239)=0,"",MIN(F239,H239)))</f>
        <v/>
      </c>
      <c r="J239" s="25">
        <f>IF(ISNUMBER(I239)=FALSE,"",IF(AND(ISNUMBER(H239),I239=H239),"24-month work rule","Registry expiry"))</f>
        <v/>
      </c>
      <c r="K239" s="26" t="n"/>
      <c r="L239" s="24">
        <f>IF(ISNUMBER(I239),I239-IF(ISNUMBER(K239),K239,30),"")</f>
        <v/>
      </c>
      <c r="M239" s="27">
        <f>IF(I239="","",IF(ISNUMBER(I239),I239-TODAY(),"Check date"))</f>
        <v/>
      </c>
      <c r="N239" s="28">
        <f>IF(M239="","",IF(ISNUMBER(M239),IF(M239&lt;0,"Expired",IF(M239&lt;=30,"Due ≤30 days",IF(M239&lt;=90,"Due ≤90 days","OK"))),"Check date"))</f>
        <v/>
      </c>
      <c r="O239" s="24">
        <f>IF(ISNUMBER(E239),EDATE(E239,12*(IFERROR(DATEDIF(E239,TODAY(),"y"),0)+1)),"")</f>
        <v/>
      </c>
      <c r="P239" s="26" t="n"/>
      <c r="Q239" s="26" t="n"/>
      <c r="R239" s="27">
        <f>IF(LEN(A239)=0,"",MAX(0,IF(ISNUMBER(Q239),Q239,12)-N(P239)))</f>
        <v/>
      </c>
      <c r="S239" s="23" t="n"/>
      <c r="T239" s="27">
        <f>IF(S239="","",IF(ISNUMBER(S239),S239-TODAY(),"Check date"))</f>
        <v/>
      </c>
      <c r="U239" s="22" t="n"/>
      <c r="V239" s="22" t="n"/>
      <c r="W239" s="22" t="n"/>
      <c r="X239" s="22" t="n"/>
    </row>
    <row r="240">
      <c r="A240" s="22" t="n"/>
      <c r="B240" s="22" t="n"/>
      <c r="C240" s="22" t="n"/>
      <c r="D240" s="22" t="n"/>
      <c r="E240" s="23" t="n"/>
      <c r="F240" s="23" t="n"/>
      <c r="G240" s="23" t="n"/>
      <c r="H240" s="24">
        <f>IF(ISNUMBER(G240),EDATE(G240,24),"")</f>
        <v/>
      </c>
      <c r="I240" s="24">
        <f>IF(OR(AND(LEN(F240)&gt;0,ISNUMBER(F240)=FALSE),AND(LEN(G240)&gt;0,ISNUMBER(G240)=FALSE)),"Check date",IF(COUNT(F240,H240)=0,"",MIN(F240,H240)))</f>
        <v/>
      </c>
      <c r="J240" s="25">
        <f>IF(ISNUMBER(I240)=FALSE,"",IF(AND(ISNUMBER(H240),I240=H240),"24-month work rule","Registry expiry"))</f>
        <v/>
      </c>
      <c r="K240" s="26" t="n"/>
      <c r="L240" s="24">
        <f>IF(ISNUMBER(I240),I240-IF(ISNUMBER(K240),K240,30),"")</f>
        <v/>
      </c>
      <c r="M240" s="27">
        <f>IF(I240="","",IF(ISNUMBER(I240),I240-TODAY(),"Check date"))</f>
        <v/>
      </c>
      <c r="N240" s="28">
        <f>IF(M240="","",IF(ISNUMBER(M240),IF(M240&lt;0,"Expired",IF(M240&lt;=30,"Due ≤30 days",IF(M240&lt;=90,"Due ≤90 days","OK"))),"Check date"))</f>
        <v/>
      </c>
      <c r="O240" s="24">
        <f>IF(ISNUMBER(E240),EDATE(E240,12*(IFERROR(DATEDIF(E240,TODAY(),"y"),0)+1)),"")</f>
        <v/>
      </c>
      <c r="P240" s="26" t="n"/>
      <c r="Q240" s="26" t="n"/>
      <c r="R240" s="27">
        <f>IF(LEN(A240)=0,"",MAX(0,IF(ISNUMBER(Q240),Q240,12)-N(P240)))</f>
        <v/>
      </c>
      <c r="S240" s="23" t="n"/>
      <c r="T240" s="27">
        <f>IF(S240="","",IF(ISNUMBER(S240),S240-TODAY(),"Check date"))</f>
        <v/>
      </c>
      <c r="U240" s="22" t="n"/>
      <c r="V240" s="22" t="n"/>
      <c r="W240" s="22" t="n"/>
      <c r="X240" s="22" t="n"/>
    </row>
    <row r="241">
      <c r="A241" s="22" t="n"/>
      <c r="B241" s="22" t="n"/>
      <c r="C241" s="22" t="n"/>
      <c r="D241" s="22" t="n"/>
      <c r="E241" s="23" t="n"/>
      <c r="F241" s="23" t="n"/>
      <c r="G241" s="23" t="n"/>
      <c r="H241" s="24">
        <f>IF(ISNUMBER(G241),EDATE(G241,24),"")</f>
        <v/>
      </c>
      <c r="I241" s="24">
        <f>IF(OR(AND(LEN(F241)&gt;0,ISNUMBER(F241)=FALSE),AND(LEN(G241)&gt;0,ISNUMBER(G241)=FALSE)),"Check date",IF(COUNT(F241,H241)=0,"",MIN(F241,H241)))</f>
        <v/>
      </c>
      <c r="J241" s="25">
        <f>IF(ISNUMBER(I241)=FALSE,"",IF(AND(ISNUMBER(H241),I241=H241),"24-month work rule","Registry expiry"))</f>
        <v/>
      </c>
      <c r="K241" s="26" t="n"/>
      <c r="L241" s="24">
        <f>IF(ISNUMBER(I241),I241-IF(ISNUMBER(K241),K241,30),"")</f>
        <v/>
      </c>
      <c r="M241" s="27">
        <f>IF(I241="","",IF(ISNUMBER(I241),I241-TODAY(),"Check date"))</f>
        <v/>
      </c>
      <c r="N241" s="28">
        <f>IF(M241="","",IF(ISNUMBER(M241),IF(M241&lt;0,"Expired",IF(M241&lt;=30,"Due ≤30 days",IF(M241&lt;=90,"Due ≤90 days","OK"))),"Check date"))</f>
        <v/>
      </c>
      <c r="O241" s="24">
        <f>IF(ISNUMBER(E241),EDATE(E241,12*(IFERROR(DATEDIF(E241,TODAY(),"y"),0)+1)),"")</f>
        <v/>
      </c>
      <c r="P241" s="26" t="n"/>
      <c r="Q241" s="26" t="n"/>
      <c r="R241" s="27">
        <f>IF(LEN(A241)=0,"",MAX(0,IF(ISNUMBER(Q241),Q241,12)-N(P241)))</f>
        <v/>
      </c>
      <c r="S241" s="23" t="n"/>
      <c r="T241" s="27">
        <f>IF(S241="","",IF(ISNUMBER(S241),S241-TODAY(),"Check date"))</f>
        <v/>
      </c>
      <c r="U241" s="22" t="n"/>
      <c r="V241" s="22" t="n"/>
      <c r="W241" s="22" t="n"/>
      <c r="X241" s="22" t="n"/>
    </row>
    <row r="242">
      <c r="A242" s="22" t="n"/>
      <c r="B242" s="22" t="n"/>
      <c r="C242" s="22" t="n"/>
      <c r="D242" s="22" t="n"/>
      <c r="E242" s="23" t="n"/>
      <c r="F242" s="23" t="n"/>
      <c r="G242" s="23" t="n"/>
      <c r="H242" s="24">
        <f>IF(ISNUMBER(G242),EDATE(G242,24),"")</f>
        <v/>
      </c>
      <c r="I242" s="24">
        <f>IF(OR(AND(LEN(F242)&gt;0,ISNUMBER(F242)=FALSE),AND(LEN(G242)&gt;0,ISNUMBER(G242)=FALSE)),"Check date",IF(COUNT(F242,H242)=0,"",MIN(F242,H242)))</f>
        <v/>
      </c>
      <c r="J242" s="25">
        <f>IF(ISNUMBER(I242)=FALSE,"",IF(AND(ISNUMBER(H242),I242=H242),"24-month work rule","Registry expiry"))</f>
        <v/>
      </c>
      <c r="K242" s="26" t="n"/>
      <c r="L242" s="24">
        <f>IF(ISNUMBER(I242),I242-IF(ISNUMBER(K242),K242,30),"")</f>
        <v/>
      </c>
      <c r="M242" s="27">
        <f>IF(I242="","",IF(ISNUMBER(I242),I242-TODAY(),"Check date"))</f>
        <v/>
      </c>
      <c r="N242" s="28">
        <f>IF(M242="","",IF(ISNUMBER(M242),IF(M242&lt;0,"Expired",IF(M242&lt;=30,"Due ≤30 days",IF(M242&lt;=90,"Due ≤90 days","OK"))),"Check date"))</f>
        <v/>
      </c>
      <c r="O242" s="24">
        <f>IF(ISNUMBER(E242),EDATE(E242,12*(IFERROR(DATEDIF(E242,TODAY(),"y"),0)+1)),"")</f>
        <v/>
      </c>
      <c r="P242" s="26" t="n"/>
      <c r="Q242" s="26" t="n"/>
      <c r="R242" s="27">
        <f>IF(LEN(A242)=0,"",MAX(0,IF(ISNUMBER(Q242),Q242,12)-N(P242)))</f>
        <v/>
      </c>
      <c r="S242" s="23" t="n"/>
      <c r="T242" s="27">
        <f>IF(S242="","",IF(ISNUMBER(S242),S242-TODAY(),"Check date"))</f>
        <v/>
      </c>
      <c r="U242" s="22" t="n"/>
      <c r="V242" s="22" t="n"/>
      <c r="W242" s="22" t="n"/>
      <c r="X242" s="22" t="n"/>
    </row>
    <row r="243">
      <c r="A243" s="22" t="n"/>
      <c r="B243" s="22" t="n"/>
      <c r="C243" s="22" t="n"/>
      <c r="D243" s="22" t="n"/>
      <c r="E243" s="23" t="n"/>
      <c r="F243" s="23" t="n"/>
      <c r="G243" s="23" t="n"/>
      <c r="H243" s="24">
        <f>IF(ISNUMBER(G243),EDATE(G243,24),"")</f>
        <v/>
      </c>
      <c r="I243" s="24">
        <f>IF(OR(AND(LEN(F243)&gt;0,ISNUMBER(F243)=FALSE),AND(LEN(G243)&gt;0,ISNUMBER(G243)=FALSE)),"Check date",IF(COUNT(F243,H243)=0,"",MIN(F243,H243)))</f>
        <v/>
      </c>
      <c r="J243" s="25">
        <f>IF(ISNUMBER(I243)=FALSE,"",IF(AND(ISNUMBER(H243),I243=H243),"24-month work rule","Registry expiry"))</f>
        <v/>
      </c>
      <c r="K243" s="26" t="n"/>
      <c r="L243" s="24">
        <f>IF(ISNUMBER(I243),I243-IF(ISNUMBER(K243),K243,30),"")</f>
        <v/>
      </c>
      <c r="M243" s="27">
        <f>IF(I243="","",IF(ISNUMBER(I243),I243-TODAY(),"Check date"))</f>
        <v/>
      </c>
      <c r="N243" s="28">
        <f>IF(M243="","",IF(ISNUMBER(M243),IF(M243&lt;0,"Expired",IF(M243&lt;=30,"Due ≤30 days",IF(M243&lt;=90,"Due ≤90 days","OK"))),"Check date"))</f>
        <v/>
      </c>
      <c r="O243" s="24">
        <f>IF(ISNUMBER(E243),EDATE(E243,12*(IFERROR(DATEDIF(E243,TODAY(),"y"),0)+1)),"")</f>
        <v/>
      </c>
      <c r="P243" s="26" t="n"/>
      <c r="Q243" s="26" t="n"/>
      <c r="R243" s="27">
        <f>IF(LEN(A243)=0,"",MAX(0,IF(ISNUMBER(Q243),Q243,12)-N(P243)))</f>
        <v/>
      </c>
      <c r="S243" s="23" t="n"/>
      <c r="T243" s="27">
        <f>IF(S243="","",IF(ISNUMBER(S243),S243-TODAY(),"Check date"))</f>
        <v/>
      </c>
      <c r="U243" s="22" t="n"/>
      <c r="V243" s="22" t="n"/>
      <c r="W243" s="22" t="n"/>
      <c r="X243" s="22" t="n"/>
    </row>
    <row r="244">
      <c r="A244" s="22" t="n"/>
      <c r="B244" s="22" t="n"/>
      <c r="C244" s="22" t="n"/>
      <c r="D244" s="22" t="n"/>
      <c r="E244" s="23" t="n"/>
      <c r="F244" s="23" t="n"/>
      <c r="G244" s="23" t="n"/>
      <c r="H244" s="24">
        <f>IF(ISNUMBER(G244),EDATE(G244,24),"")</f>
        <v/>
      </c>
      <c r="I244" s="24">
        <f>IF(OR(AND(LEN(F244)&gt;0,ISNUMBER(F244)=FALSE),AND(LEN(G244)&gt;0,ISNUMBER(G244)=FALSE)),"Check date",IF(COUNT(F244,H244)=0,"",MIN(F244,H244)))</f>
        <v/>
      </c>
      <c r="J244" s="25">
        <f>IF(ISNUMBER(I244)=FALSE,"",IF(AND(ISNUMBER(H244),I244=H244),"24-month work rule","Registry expiry"))</f>
        <v/>
      </c>
      <c r="K244" s="26" t="n"/>
      <c r="L244" s="24">
        <f>IF(ISNUMBER(I244),I244-IF(ISNUMBER(K244),K244,30),"")</f>
        <v/>
      </c>
      <c r="M244" s="27">
        <f>IF(I244="","",IF(ISNUMBER(I244),I244-TODAY(),"Check date"))</f>
        <v/>
      </c>
      <c r="N244" s="28">
        <f>IF(M244="","",IF(ISNUMBER(M244),IF(M244&lt;0,"Expired",IF(M244&lt;=30,"Due ≤30 days",IF(M244&lt;=90,"Due ≤90 days","OK"))),"Check date"))</f>
        <v/>
      </c>
      <c r="O244" s="24">
        <f>IF(ISNUMBER(E244),EDATE(E244,12*(IFERROR(DATEDIF(E244,TODAY(),"y"),0)+1)),"")</f>
        <v/>
      </c>
      <c r="P244" s="26" t="n"/>
      <c r="Q244" s="26" t="n"/>
      <c r="R244" s="27">
        <f>IF(LEN(A244)=0,"",MAX(0,IF(ISNUMBER(Q244),Q244,12)-N(P244)))</f>
        <v/>
      </c>
      <c r="S244" s="23" t="n"/>
      <c r="T244" s="27">
        <f>IF(S244="","",IF(ISNUMBER(S244),S244-TODAY(),"Check date"))</f>
        <v/>
      </c>
      <c r="U244" s="22" t="n"/>
      <c r="V244" s="22" t="n"/>
      <c r="W244" s="22" t="n"/>
      <c r="X244" s="22" t="n"/>
    </row>
    <row r="245">
      <c r="A245" s="22" t="n"/>
      <c r="B245" s="22" t="n"/>
      <c r="C245" s="22" t="n"/>
      <c r="D245" s="22" t="n"/>
      <c r="E245" s="23" t="n"/>
      <c r="F245" s="23" t="n"/>
      <c r="G245" s="23" t="n"/>
      <c r="H245" s="24">
        <f>IF(ISNUMBER(G245),EDATE(G245,24),"")</f>
        <v/>
      </c>
      <c r="I245" s="24">
        <f>IF(OR(AND(LEN(F245)&gt;0,ISNUMBER(F245)=FALSE),AND(LEN(G245)&gt;0,ISNUMBER(G245)=FALSE)),"Check date",IF(COUNT(F245,H245)=0,"",MIN(F245,H245)))</f>
        <v/>
      </c>
      <c r="J245" s="25">
        <f>IF(ISNUMBER(I245)=FALSE,"",IF(AND(ISNUMBER(H245),I245=H245),"24-month work rule","Registry expiry"))</f>
        <v/>
      </c>
      <c r="K245" s="26" t="n"/>
      <c r="L245" s="24">
        <f>IF(ISNUMBER(I245),I245-IF(ISNUMBER(K245),K245,30),"")</f>
        <v/>
      </c>
      <c r="M245" s="27">
        <f>IF(I245="","",IF(ISNUMBER(I245),I245-TODAY(),"Check date"))</f>
        <v/>
      </c>
      <c r="N245" s="28">
        <f>IF(M245="","",IF(ISNUMBER(M245),IF(M245&lt;0,"Expired",IF(M245&lt;=30,"Due ≤30 days",IF(M245&lt;=90,"Due ≤90 days","OK"))),"Check date"))</f>
        <v/>
      </c>
      <c r="O245" s="24">
        <f>IF(ISNUMBER(E245),EDATE(E245,12*(IFERROR(DATEDIF(E245,TODAY(),"y"),0)+1)),"")</f>
        <v/>
      </c>
      <c r="P245" s="26" t="n"/>
      <c r="Q245" s="26" t="n"/>
      <c r="R245" s="27">
        <f>IF(LEN(A245)=0,"",MAX(0,IF(ISNUMBER(Q245),Q245,12)-N(P245)))</f>
        <v/>
      </c>
      <c r="S245" s="23" t="n"/>
      <c r="T245" s="27">
        <f>IF(S245="","",IF(ISNUMBER(S245),S245-TODAY(),"Check date"))</f>
        <v/>
      </c>
      <c r="U245" s="22" t="n"/>
      <c r="V245" s="22" t="n"/>
      <c r="W245" s="22" t="n"/>
      <c r="X245" s="22" t="n"/>
    </row>
    <row r="246">
      <c r="A246" s="22" t="n"/>
      <c r="B246" s="22" t="n"/>
      <c r="C246" s="22" t="n"/>
      <c r="D246" s="22" t="n"/>
      <c r="E246" s="23" t="n"/>
      <c r="F246" s="23" t="n"/>
      <c r="G246" s="23" t="n"/>
      <c r="H246" s="24">
        <f>IF(ISNUMBER(G246),EDATE(G246,24),"")</f>
        <v/>
      </c>
      <c r="I246" s="24">
        <f>IF(OR(AND(LEN(F246)&gt;0,ISNUMBER(F246)=FALSE),AND(LEN(G246)&gt;0,ISNUMBER(G246)=FALSE)),"Check date",IF(COUNT(F246,H246)=0,"",MIN(F246,H246)))</f>
        <v/>
      </c>
      <c r="J246" s="25">
        <f>IF(ISNUMBER(I246)=FALSE,"",IF(AND(ISNUMBER(H246),I246=H246),"24-month work rule","Registry expiry"))</f>
        <v/>
      </c>
      <c r="K246" s="26" t="n"/>
      <c r="L246" s="24">
        <f>IF(ISNUMBER(I246),I246-IF(ISNUMBER(K246),K246,30),"")</f>
        <v/>
      </c>
      <c r="M246" s="27">
        <f>IF(I246="","",IF(ISNUMBER(I246),I246-TODAY(),"Check date"))</f>
        <v/>
      </c>
      <c r="N246" s="28">
        <f>IF(M246="","",IF(ISNUMBER(M246),IF(M246&lt;0,"Expired",IF(M246&lt;=30,"Due ≤30 days",IF(M246&lt;=90,"Due ≤90 days","OK"))),"Check date"))</f>
        <v/>
      </c>
      <c r="O246" s="24">
        <f>IF(ISNUMBER(E246),EDATE(E246,12*(IFERROR(DATEDIF(E246,TODAY(),"y"),0)+1)),"")</f>
        <v/>
      </c>
      <c r="P246" s="26" t="n"/>
      <c r="Q246" s="26" t="n"/>
      <c r="R246" s="27">
        <f>IF(LEN(A246)=0,"",MAX(0,IF(ISNUMBER(Q246),Q246,12)-N(P246)))</f>
        <v/>
      </c>
      <c r="S246" s="23" t="n"/>
      <c r="T246" s="27">
        <f>IF(S246="","",IF(ISNUMBER(S246),S246-TODAY(),"Check date"))</f>
        <v/>
      </c>
      <c r="U246" s="22" t="n"/>
      <c r="V246" s="22" t="n"/>
      <c r="W246" s="22" t="n"/>
      <c r="X246" s="22" t="n"/>
    </row>
    <row r="247">
      <c r="A247" s="22" t="n"/>
      <c r="B247" s="22" t="n"/>
      <c r="C247" s="22" t="n"/>
      <c r="D247" s="22" t="n"/>
      <c r="E247" s="23" t="n"/>
      <c r="F247" s="23" t="n"/>
      <c r="G247" s="23" t="n"/>
      <c r="H247" s="24">
        <f>IF(ISNUMBER(G247),EDATE(G247,24),"")</f>
        <v/>
      </c>
      <c r="I247" s="24">
        <f>IF(OR(AND(LEN(F247)&gt;0,ISNUMBER(F247)=FALSE),AND(LEN(G247)&gt;0,ISNUMBER(G247)=FALSE)),"Check date",IF(COUNT(F247,H247)=0,"",MIN(F247,H247)))</f>
        <v/>
      </c>
      <c r="J247" s="25">
        <f>IF(ISNUMBER(I247)=FALSE,"",IF(AND(ISNUMBER(H247),I247=H247),"24-month work rule","Registry expiry"))</f>
        <v/>
      </c>
      <c r="K247" s="26" t="n"/>
      <c r="L247" s="24">
        <f>IF(ISNUMBER(I247),I247-IF(ISNUMBER(K247),K247,30),"")</f>
        <v/>
      </c>
      <c r="M247" s="27">
        <f>IF(I247="","",IF(ISNUMBER(I247),I247-TODAY(),"Check date"))</f>
        <v/>
      </c>
      <c r="N247" s="28">
        <f>IF(M247="","",IF(ISNUMBER(M247),IF(M247&lt;0,"Expired",IF(M247&lt;=30,"Due ≤30 days",IF(M247&lt;=90,"Due ≤90 days","OK"))),"Check date"))</f>
        <v/>
      </c>
      <c r="O247" s="24">
        <f>IF(ISNUMBER(E247),EDATE(E247,12*(IFERROR(DATEDIF(E247,TODAY(),"y"),0)+1)),"")</f>
        <v/>
      </c>
      <c r="P247" s="26" t="n"/>
      <c r="Q247" s="26" t="n"/>
      <c r="R247" s="27">
        <f>IF(LEN(A247)=0,"",MAX(0,IF(ISNUMBER(Q247),Q247,12)-N(P247)))</f>
        <v/>
      </c>
      <c r="S247" s="23" t="n"/>
      <c r="T247" s="27">
        <f>IF(S247="","",IF(ISNUMBER(S247),S247-TODAY(),"Check date"))</f>
        <v/>
      </c>
      <c r="U247" s="22" t="n"/>
      <c r="V247" s="22" t="n"/>
      <c r="W247" s="22" t="n"/>
      <c r="X247" s="22" t="n"/>
    </row>
    <row r="248">
      <c r="A248" s="22" t="n"/>
      <c r="B248" s="22" t="n"/>
      <c r="C248" s="22" t="n"/>
      <c r="D248" s="22" t="n"/>
      <c r="E248" s="23" t="n"/>
      <c r="F248" s="23" t="n"/>
      <c r="G248" s="23" t="n"/>
      <c r="H248" s="24">
        <f>IF(ISNUMBER(G248),EDATE(G248,24),"")</f>
        <v/>
      </c>
      <c r="I248" s="24">
        <f>IF(OR(AND(LEN(F248)&gt;0,ISNUMBER(F248)=FALSE),AND(LEN(G248)&gt;0,ISNUMBER(G248)=FALSE)),"Check date",IF(COUNT(F248,H248)=0,"",MIN(F248,H248)))</f>
        <v/>
      </c>
      <c r="J248" s="25">
        <f>IF(ISNUMBER(I248)=FALSE,"",IF(AND(ISNUMBER(H248),I248=H248),"24-month work rule","Registry expiry"))</f>
        <v/>
      </c>
      <c r="K248" s="26" t="n"/>
      <c r="L248" s="24">
        <f>IF(ISNUMBER(I248),I248-IF(ISNUMBER(K248),K248,30),"")</f>
        <v/>
      </c>
      <c r="M248" s="27">
        <f>IF(I248="","",IF(ISNUMBER(I248),I248-TODAY(),"Check date"))</f>
        <v/>
      </c>
      <c r="N248" s="28">
        <f>IF(M248="","",IF(ISNUMBER(M248),IF(M248&lt;0,"Expired",IF(M248&lt;=30,"Due ≤30 days",IF(M248&lt;=90,"Due ≤90 days","OK"))),"Check date"))</f>
        <v/>
      </c>
      <c r="O248" s="24">
        <f>IF(ISNUMBER(E248),EDATE(E248,12*(IFERROR(DATEDIF(E248,TODAY(),"y"),0)+1)),"")</f>
        <v/>
      </c>
      <c r="P248" s="26" t="n"/>
      <c r="Q248" s="26" t="n"/>
      <c r="R248" s="27">
        <f>IF(LEN(A248)=0,"",MAX(0,IF(ISNUMBER(Q248),Q248,12)-N(P248)))</f>
        <v/>
      </c>
      <c r="S248" s="23" t="n"/>
      <c r="T248" s="27">
        <f>IF(S248="","",IF(ISNUMBER(S248),S248-TODAY(),"Check date"))</f>
        <v/>
      </c>
      <c r="U248" s="22" t="n"/>
      <c r="V248" s="22" t="n"/>
      <c r="W248" s="22" t="n"/>
      <c r="X248" s="22" t="n"/>
    </row>
    <row r="249">
      <c r="A249" s="22" t="n"/>
      <c r="B249" s="22" t="n"/>
      <c r="C249" s="22" t="n"/>
      <c r="D249" s="22" t="n"/>
      <c r="E249" s="23" t="n"/>
      <c r="F249" s="23" t="n"/>
      <c r="G249" s="23" t="n"/>
      <c r="H249" s="24">
        <f>IF(ISNUMBER(G249),EDATE(G249,24),"")</f>
        <v/>
      </c>
      <c r="I249" s="24">
        <f>IF(OR(AND(LEN(F249)&gt;0,ISNUMBER(F249)=FALSE),AND(LEN(G249)&gt;0,ISNUMBER(G249)=FALSE)),"Check date",IF(COUNT(F249,H249)=0,"",MIN(F249,H249)))</f>
        <v/>
      </c>
      <c r="J249" s="25">
        <f>IF(ISNUMBER(I249)=FALSE,"",IF(AND(ISNUMBER(H249),I249=H249),"24-month work rule","Registry expiry"))</f>
        <v/>
      </c>
      <c r="K249" s="26" t="n"/>
      <c r="L249" s="24">
        <f>IF(ISNUMBER(I249),I249-IF(ISNUMBER(K249),K249,30),"")</f>
        <v/>
      </c>
      <c r="M249" s="27">
        <f>IF(I249="","",IF(ISNUMBER(I249),I249-TODAY(),"Check date"))</f>
        <v/>
      </c>
      <c r="N249" s="28">
        <f>IF(M249="","",IF(ISNUMBER(M249),IF(M249&lt;0,"Expired",IF(M249&lt;=30,"Due ≤30 days",IF(M249&lt;=90,"Due ≤90 days","OK"))),"Check date"))</f>
        <v/>
      </c>
      <c r="O249" s="24">
        <f>IF(ISNUMBER(E249),EDATE(E249,12*(IFERROR(DATEDIF(E249,TODAY(),"y"),0)+1)),"")</f>
        <v/>
      </c>
      <c r="P249" s="26" t="n"/>
      <c r="Q249" s="26" t="n"/>
      <c r="R249" s="27">
        <f>IF(LEN(A249)=0,"",MAX(0,IF(ISNUMBER(Q249),Q249,12)-N(P249)))</f>
        <v/>
      </c>
      <c r="S249" s="23" t="n"/>
      <c r="T249" s="27">
        <f>IF(S249="","",IF(ISNUMBER(S249),S249-TODAY(),"Check date"))</f>
        <v/>
      </c>
      <c r="U249" s="22" t="n"/>
      <c r="V249" s="22" t="n"/>
      <c r="W249" s="22" t="n"/>
      <c r="X249" s="22" t="n"/>
    </row>
    <row r="250">
      <c r="A250" s="22" t="n"/>
      <c r="B250" s="22" t="n"/>
      <c r="C250" s="22" t="n"/>
      <c r="D250" s="22" t="n"/>
      <c r="E250" s="23" t="n"/>
      <c r="F250" s="23" t="n"/>
      <c r="G250" s="23" t="n"/>
      <c r="H250" s="24">
        <f>IF(ISNUMBER(G250),EDATE(G250,24),"")</f>
        <v/>
      </c>
      <c r="I250" s="24">
        <f>IF(OR(AND(LEN(F250)&gt;0,ISNUMBER(F250)=FALSE),AND(LEN(G250)&gt;0,ISNUMBER(G250)=FALSE)),"Check date",IF(COUNT(F250,H250)=0,"",MIN(F250,H250)))</f>
        <v/>
      </c>
      <c r="J250" s="25">
        <f>IF(ISNUMBER(I250)=FALSE,"",IF(AND(ISNUMBER(H250),I250=H250),"24-month work rule","Registry expiry"))</f>
        <v/>
      </c>
      <c r="K250" s="26" t="n"/>
      <c r="L250" s="24">
        <f>IF(ISNUMBER(I250),I250-IF(ISNUMBER(K250),K250,30),"")</f>
        <v/>
      </c>
      <c r="M250" s="27">
        <f>IF(I250="","",IF(ISNUMBER(I250),I250-TODAY(),"Check date"))</f>
        <v/>
      </c>
      <c r="N250" s="28">
        <f>IF(M250="","",IF(ISNUMBER(M250),IF(M250&lt;0,"Expired",IF(M250&lt;=30,"Due ≤30 days",IF(M250&lt;=90,"Due ≤90 days","OK"))),"Check date"))</f>
        <v/>
      </c>
      <c r="O250" s="24">
        <f>IF(ISNUMBER(E250),EDATE(E250,12*(IFERROR(DATEDIF(E250,TODAY(),"y"),0)+1)),"")</f>
        <v/>
      </c>
      <c r="P250" s="26" t="n"/>
      <c r="Q250" s="26" t="n"/>
      <c r="R250" s="27">
        <f>IF(LEN(A250)=0,"",MAX(0,IF(ISNUMBER(Q250),Q250,12)-N(P250)))</f>
        <v/>
      </c>
      <c r="S250" s="23" t="n"/>
      <c r="T250" s="27">
        <f>IF(S250="","",IF(ISNUMBER(S250),S250-TODAY(),"Check date"))</f>
        <v/>
      </c>
      <c r="U250" s="22" t="n"/>
      <c r="V250" s="22" t="n"/>
      <c r="W250" s="22" t="n"/>
      <c r="X250" s="22" t="n"/>
    </row>
    <row r="251">
      <c r="A251" s="22" t="n"/>
      <c r="B251" s="22" t="n"/>
      <c r="C251" s="22" t="n"/>
      <c r="D251" s="22" t="n"/>
      <c r="E251" s="23" t="n"/>
      <c r="F251" s="23" t="n"/>
      <c r="G251" s="23" t="n"/>
      <c r="H251" s="24">
        <f>IF(ISNUMBER(G251),EDATE(G251,24),"")</f>
        <v/>
      </c>
      <c r="I251" s="24">
        <f>IF(OR(AND(LEN(F251)&gt;0,ISNUMBER(F251)=FALSE),AND(LEN(G251)&gt;0,ISNUMBER(G251)=FALSE)),"Check date",IF(COUNT(F251,H251)=0,"",MIN(F251,H251)))</f>
        <v/>
      </c>
      <c r="J251" s="25">
        <f>IF(ISNUMBER(I251)=FALSE,"",IF(AND(ISNUMBER(H251),I251=H251),"24-month work rule","Registry expiry"))</f>
        <v/>
      </c>
      <c r="K251" s="26" t="n"/>
      <c r="L251" s="24">
        <f>IF(ISNUMBER(I251),I251-IF(ISNUMBER(K251),K251,30),"")</f>
        <v/>
      </c>
      <c r="M251" s="27">
        <f>IF(I251="","",IF(ISNUMBER(I251),I251-TODAY(),"Check date"))</f>
        <v/>
      </c>
      <c r="N251" s="28">
        <f>IF(M251="","",IF(ISNUMBER(M251),IF(M251&lt;0,"Expired",IF(M251&lt;=30,"Due ≤30 days",IF(M251&lt;=90,"Due ≤90 days","OK"))),"Check date"))</f>
        <v/>
      </c>
      <c r="O251" s="24">
        <f>IF(ISNUMBER(E251),EDATE(E251,12*(IFERROR(DATEDIF(E251,TODAY(),"y"),0)+1)),"")</f>
        <v/>
      </c>
      <c r="P251" s="26" t="n"/>
      <c r="Q251" s="26" t="n"/>
      <c r="R251" s="27">
        <f>IF(LEN(A251)=0,"",MAX(0,IF(ISNUMBER(Q251),Q251,12)-N(P251)))</f>
        <v/>
      </c>
      <c r="S251" s="23" t="n"/>
      <c r="T251" s="27">
        <f>IF(S251="","",IF(ISNUMBER(S251),S251-TODAY(),"Check date"))</f>
        <v/>
      </c>
      <c r="U251" s="22" t="n"/>
      <c r="V251" s="22" t="n"/>
      <c r="W251" s="22" t="n"/>
      <c r="X251" s="22" t="n"/>
    </row>
    <row r="252">
      <c r="A252" s="22" t="n"/>
      <c r="B252" s="22" t="n"/>
      <c r="C252" s="22" t="n"/>
      <c r="D252" s="22" t="n"/>
      <c r="E252" s="23" t="n"/>
      <c r="F252" s="23" t="n"/>
      <c r="G252" s="23" t="n"/>
      <c r="H252" s="24">
        <f>IF(ISNUMBER(G252),EDATE(G252,24),"")</f>
        <v/>
      </c>
      <c r="I252" s="24">
        <f>IF(OR(AND(LEN(F252)&gt;0,ISNUMBER(F252)=FALSE),AND(LEN(G252)&gt;0,ISNUMBER(G252)=FALSE)),"Check date",IF(COUNT(F252,H252)=0,"",MIN(F252,H252)))</f>
        <v/>
      </c>
      <c r="J252" s="25">
        <f>IF(ISNUMBER(I252)=FALSE,"",IF(AND(ISNUMBER(H252),I252=H252),"24-month work rule","Registry expiry"))</f>
        <v/>
      </c>
      <c r="K252" s="26" t="n"/>
      <c r="L252" s="24">
        <f>IF(ISNUMBER(I252),I252-IF(ISNUMBER(K252),K252,30),"")</f>
        <v/>
      </c>
      <c r="M252" s="27">
        <f>IF(I252="","",IF(ISNUMBER(I252),I252-TODAY(),"Check date"))</f>
        <v/>
      </c>
      <c r="N252" s="28">
        <f>IF(M252="","",IF(ISNUMBER(M252),IF(M252&lt;0,"Expired",IF(M252&lt;=30,"Due ≤30 days",IF(M252&lt;=90,"Due ≤90 days","OK"))),"Check date"))</f>
        <v/>
      </c>
      <c r="O252" s="24">
        <f>IF(ISNUMBER(E252),EDATE(E252,12*(IFERROR(DATEDIF(E252,TODAY(),"y"),0)+1)),"")</f>
        <v/>
      </c>
      <c r="P252" s="26" t="n"/>
      <c r="Q252" s="26" t="n"/>
      <c r="R252" s="27">
        <f>IF(LEN(A252)=0,"",MAX(0,IF(ISNUMBER(Q252),Q252,12)-N(P252)))</f>
        <v/>
      </c>
      <c r="S252" s="23" t="n"/>
      <c r="T252" s="27">
        <f>IF(S252="","",IF(ISNUMBER(S252),S252-TODAY(),"Check date"))</f>
        <v/>
      </c>
      <c r="U252" s="22" t="n"/>
      <c r="V252" s="22" t="n"/>
      <c r="W252" s="22" t="n"/>
      <c r="X252" s="22" t="n"/>
    </row>
    <row r="253">
      <c r="A253" s="22" t="n"/>
      <c r="B253" s="22" t="n"/>
      <c r="C253" s="22" t="n"/>
      <c r="D253" s="22" t="n"/>
      <c r="E253" s="23" t="n"/>
      <c r="F253" s="23" t="n"/>
      <c r="G253" s="23" t="n"/>
      <c r="H253" s="24">
        <f>IF(ISNUMBER(G253),EDATE(G253,24),"")</f>
        <v/>
      </c>
      <c r="I253" s="24">
        <f>IF(OR(AND(LEN(F253)&gt;0,ISNUMBER(F253)=FALSE),AND(LEN(G253)&gt;0,ISNUMBER(G253)=FALSE)),"Check date",IF(COUNT(F253,H253)=0,"",MIN(F253,H253)))</f>
        <v/>
      </c>
      <c r="J253" s="25">
        <f>IF(ISNUMBER(I253)=FALSE,"",IF(AND(ISNUMBER(H253),I253=H253),"24-month work rule","Registry expiry"))</f>
        <v/>
      </c>
      <c r="K253" s="26" t="n"/>
      <c r="L253" s="24">
        <f>IF(ISNUMBER(I253),I253-IF(ISNUMBER(K253),K253,30),"")</f>
        <v/>
      </c>
      <c r="M253" s="27">
        <f>IF(I253="","",IF(ISNUMBER(I253),I253-TODAY(),"Check date"))</f>
        <v/>
      </c>
      <c r="N253" s="28">
        <f>IF(M253="","",IF(ISNUMBER(M253),IF(M253&lt;0,"Expired",IF(M253&lt;=30,"Due ≤30 days",IF(M253&lt;=90,"Due ≤90 days","OK"))),"Check date"))</f>
        <v/>
      </c>
      <c r="O253" s="24">
        <f>IF(ISNUMBER(E253),EDATE(E253,12*(IFERROR(DATEDIF(E253,TODAY(),"y"),0)+1)),"")</f>
        <v/>
      </c>
      <c r="P253" s="26" t="n"/>
      <c r="Q253" s="26" t="n"/>
      <c r="R253" s="27">
        <f>IF(LEN(A253)=0,"",MAX(0,IF(ISNUMBER(Q253),Q253,12)-N(P253)))</f>
        <v/>
      </c>
      <c r="S253" s="23" t="n"/>
      <c r="T253" s="27">
        <f>IF(S253="","",IF(ISNUMBER(S253),S253-TODAY(),"Check date"))</f>
        <v/>
      </c>
      <c r="U253" s="22" t="n"/>
      <c r="V253" s="22" t="n"/>
      <c r="W253" s="22" t="n"/>
      <c r="X253" s="22" t="n"/>
    </row>
    <row r="254">
      <c r="A254" s="22" t="n"/>
      <c r="B254" s="22" t="n"/>
      <c r="C254" s="22" t="n"/>
      <c r="D254" s="22" t="n"/>
      <c r="E254" s="23" t="n"/>
      <c r="F254" s="23" t="n"/>
      <c r="G254" s="23" t="n"/>
      <c r="H254" s="24">
        <f>IF(ISNUMBER(G254),EDATE(G254,24),"")</f>
        <v/>
      </c>
      <c r="I254" s="24">
        <f>IF(OR(AND(LEN(F254)&gt;0,ISNUMBER(F254)=FALSE),AND(LEN(G254)&gt;0,ISNUMBER(G254)=FALSE)),"Check date",IF(COUNT(F254,H254)=0,"",MIN(F254,H254)))</f>
        <v/>
      </c>
      <c r="J254" s="25">
        <f>IF(ISNUMBER(I254)=FALSE,"",IF(AND(ISNUMBER(H254),I254=H254),"24-month work rule","Registry expiry"))</f>
        <v/>
      </c>
      <c r="K254" s="26" t="n"/>
      <c r="L254" s="24">
        <f>IF(ISNUMBER(I254),I254-IF(ISNUMBER(K254),K254,30),"")</f>
        <v/>
      </c>
      <c r="M254" s="27">
        <f>IF(I254="","",IF(ISNUMBER(I254),I254-TODAY(),"Check date"))</f>
        <v/>
      </c>
      <c r="N254" s="28">
        <f>IF(M254="","",IF(ISNUMBER(M254),IF(M254&lt;0,"Expired",IF(M254&lt;=30,"Due ≤30 days",IF(M254&lt;=90,"Due ≤90 days","OK"))),"Check date"))</f>
        <v/>
      </c>
      <c r="O254" s="24">
        <f>IF(ISNUMBER(E254),EDATE(E254,12*(IFERROR(DATEDIF(E254,TODAY(),"y"),0)+1)),"")</f>
        <v/>
      </c>
      <c r="P254" s="26" t="n"/>
      <c r="Q254" s="26" t="n"/>
      <c r="R254" s="27">
        <f>IF(LEN(A254)=0,"",MAX(0,IF(ISNUMBER(Q254),Q254,12)-N(P254)))</f>
        <v/>
      </c>
      <c r="S254" s="23" t="n"/>
      <c r="T254" s="27">
        <f>IF(S254="","",IF(ISNUMBER(S254),S254-TODAY(),"Check date"))</f>
        <v/>
      </c>
      <c r="U254" s="22" t="n"/>
      <c r="V254" s="22" t="n"/>
      <c r="W254" s="22" t="n"/>
      <c r="X254" s="22" t="n"/>
    </row>
    <row r="255">
      <c r="A255" s="22" t="n"/>
      <c r="B255" s="22" t="n"/>
      <c r="C255" s="22" t="n"/>
      <c r="D255" s="22" t="n"/>
      <c r="E255" s="23" t="n"/>
      <c r="F255" s="23" t="n"/>
      <c r="G255" s="23" t="n"/>
      <c r="H255" s="24">
        <f>IF(ISNUMBER(G255),EDATE(G255,24),"")</f>
        <v/>
      </c>
      <c r="I255" s="24">
        <f>IF(OR(AND(LEN(F255)&gt;0,ISNUMBER(F255)=FALSE),AND(LEN(G255)&gt;0,ISNUMBER(G255)=FALSE)),"Check date",IF(COUNT(F255,H255)=0,"",MIN(F255,H255)))</f>
        <v/>
      </c>
      <c r="J255" s="25">
        <f>IF(ISNUMBER(I255)=FALSE,"",IF(AND(ISNUMBER(H255),I255=H255),"24-month work rule","Registry expiry"))</f>
        <v/>
      </c>
      <c r="K255" s="26" t="n"/>
      <c r="L255" s="24">
        <f>IF(ISNUMBER(I255),I255-IF(ISNUMBER(K255),K255,30),"")</f>
        <v/>
      </c>
      <c r="M255" s="27">
        <f>IF(I255="","",IF(ISNUMBER(I255),I255-TODAY(),"Check date"))</f>
        <v/>
      </c>
      <c r="N255" s="28">
        <f>IF(M255="","",IF(ISNUMBER(M255),IF(M255&lt;0,"Expired",IF(M255&lt;=30,"Due ≤30 days",IF(M255&lt;=90,"Due ≤90 days","OK"))),"Check date"))</f>
        <v/>
      </c>
      <c r="O255" s="24">
        <f>IF(ISNUMBER(E255),EDATE(E255,12*(IFERROR(DATEDIF(E255,TODAY(),"y"),0)+1)),"")</f>
        <v/>
      </c>
      <c r="P255" s="26" t="n"/>
      <c r="Q255" s="26" t="n"/>
      <c r="R255" s="27">
        <f>IF(LEN(A255)=0,"",MAX(0,IF(ISNUMBER(Q255),Q255,12)-N(P255)))</f>
        <v/>
      </c>
      <c r="S255" s="23" t="n"/>
      <c r="T255" s="27">
        <f>IF(S255="","",IF(ISNUMBER(S255),S255-TODAY(),"Check date"))</f>
        <v/>
      </c>
      <c r="U255" s="22" t="n"/>
      <c r="V255" s="22" t="n"/>
      <c r="W255" s="22" t="n"/>
      <c r="X255" s="22" t="n"/>
    </row>
    <row r="256">
      <c r="A256" s="22" t="n"/>
      <c r="B256" s="22" t="n"/>
      <c r="C256" s="22" t="n"/>
      <c r="D256" s="22" t="n"/>
      <c r="E256" s="23" t="n"/>
      <c r="F256" s="23" t="n"/>
      <c r="G256" s="23" t="n"/>
      <c r="H256" s="24">
        <f>IF(ISNUMBER(G256),EDATE(G256,24),"")</f>
        <v/>
      </c>
      <c r="I256" s="24">
        <f>IF(OR(AND(LEN(F256)&gt;0,ISNUMBER(F256)=FALSE),AND(LEN(G256)&gt;0,ISNUMBER(G256)=FALSE)),"Check date",IF(COUNT(F256,H256)=0,"",MIN(F256,H256)))</f>
        <v/>
      </c>
      <c r="J256" s="25">
        <f>IF(ISNUMBER(I256)=FALSE,"",IF(AND(ISNUMBER(H256),I256=H256),"24-month work rule","Registry expiry"))</f>
        <v/>
      </c>
      <c r="K256" s="26" t="n"/>
      <c r="L256" s="24">
        <f>IF(ISNUMBER(I256),I256-IF(ISNUMBER(K256),K256,30),"")</f>
        <v/>
      </c>
      <c r="M256" s="27">
        <f>IF(I256="","",IF(ISNUMBER(I256),I256-TODAY(),"Check date"))</f>
        <v/>
      </c>
      <c r="N256" s="28">
        <f>IF(M256="","",IF(ISNUMBER(M256),IF(M256&lt;0,"Expired",IF(M256&lt;=30,"Due ≤30 days",IF(M256&lt;=90,"Due ≤90 days","OK"))),"Check date"))</f>
        <v/>
      </c>
      <c r="O256" s="24">
        <f>IF(ISNUMBER(E256),EDATE(E256,12*(IFERROR(DATEDIF(E256,TODAY(),"y"),0)+1)),"")</f>
        <v/>
      </c>
      <c r="P256" s="26" t="n"/>
      <c r="Q256" s="26" t="n"/>
      <c r="R256" s="27">
        <f>IF(LEN(A256)=0,"",MAX(0,IF(ISNUMBER(Q256),Q256,12)-N(P256)))</f>
        <v/>
      </c>
      <c r="S256" s="23" t="n"/>
      <c r="T256" s="27">
        <f>IF(S256="","",IF(ISNUMBER(S256),S256-TODAY(),"Check date"))</f>
        <v/>
      </c>
      <c r="U256" s="22" t="n"/>
      <c r="V256" s="22" t="n"/>
      <c r="W256" s="22" t="n"/>
      <c r="X256" s="22" t="n"/>
    </row>
    <row r="257">
      <c r="A257" s="22" t="n"/>
      <c r="B257" s="22" t="n"/>
      <c r="C257" s="22" t="n"/>
      <c r="D257" s="22" t="n"/>
      <c r="E257" s="23" t="n"/>
      <c r="F257" s="23" t="n"/>
      <c r="G257" s="23" t="n"/>
      <c r="H257" s="24">
        <f>IF(ISNUMBER(G257),EDATE(G257,24),"")</f>
        <v/>
      </c>
      <c r="I257" s="24">
        <f>IF(OR(AND(LEN(F257)&gt;0,ISNUMBER(F257)=FALSE),AND(LEN(G257)&gt;0,ISNUMBER(G257)=FALSE)),"Check date",IF(COUNT(F257,H257)=0,"",MIN(F257,H257)))</f>
        <v/>
      </c>
      <c r="J257" s="25">
        <f>IF(ISNUMBER(I257)=FALSE,"",IF(AND(ISNUMBER(H257),I257=H257),"24-month work rule","Registry expiry"))</f>
        <v/>
      </c>
      <c r="K257" s="26" t="n"/>
      <c r="L257" s="24">
        <f>IF(ISNUMBER(I257),I257-IF(ISNUMBER(K257),K257,30),"")</f>
        <v/>
      </c>
      <c r="M257" s="27">
        <f>IF(I257="","",IF(ISNUMBER(I257),I257-TODAY(),"Check date"))</f>
        <v/>
      </c>
      <c r="N257" s="28">
        <f>IF(M257="","",IF(ISNUMBER(M257),IF(M257&lt;0,"Expired",IF(M257&lt;=30,"Due ≤30 days",IF(M257&lt;=90,"Due ≤90 days","OK"))),"Check date"))</f>
        <v/>
      </c>
      <c r="O257" s="24">
        <f>IF(ISNUMBER(E257),EDATE(E257,12*(IFERROR(DATEDIF(E257,TODAY(),"y"),0)+1)),"")</f>
        <v/>
      </c>
      <c r="P257" s="26" t="n"/>
      <c r="Q257" s="26" t="n"/>
      <c r="R257" s="27">
        <f>IF(LEN(A257)=0,"",MAX(0,IF(ISNUMBER(Q257),Q257,12)-N(P257)))</f>
        <v/>
      </c>
      <c r="S257" s="23" t="n"/>
      <c r="T257" s="27">
        <f>IF(S257="","",IF(ISNUMBER(S257),S257-TODAY(),"Check date"))</f>
        <v/>
      </c>
      <c r="U257" s="22" t="n"/>
      <c r="V257" s="22" t="n"/>
      <c r="W257" s="22" t="n"/>
      <c r="X257" s="22" t="n"/>
    </row>
    <row r="258">
      <c r="A258" s="22" t="n"/>
      <c r="B258" s="22" t="n"/>
      <c r="C258" s="22" t="n"/>
      <c r="D258" s="22" t="n"/>
      <c r="E258" s="23" t="n"/>
      <c r="F258" s="23" t="n"/>
      <c r="G258" s="23" t="n"/>
      <c r="H258" s="24">
        <f>IF(ISNUMBER(G258),EDATE(G258,24),"")</f>
        <v/>
      </c>
      <c r="I258" s="24">
        <f>IF(OR(AND(LEN(F258)&gt;0,ISNUMBER(F258)=FALSE),AND(LEN(G258)&gt;0,ISNUMBER(G258)=FALSE)),"Check date",IF(COUNT(F258,H258)=0,"",MIN(F258,H258)))</f>
        <v/>
      </c>
      <c r="J258" s="25">
        <f>IF(ISNUMBER(I258)=FALSE,"",IF(AND(ISNUMBER(H258),I258=H258),"24-month work rule","Registry expiry"))</f>
        <v/>
      </c>
      <c r="K258" s="26" t="n"/>
      <c r="L258" s="24">
        <f>IF(ISNUMBER(I258),I258-IF(ISNUMBER(K258),K258,30),"")</f>
        <v/>
      </c>
      <c r="M258" s="27">
        <f>IF(I258="","",IF(ISNUMBER(I258),I258-TODAY(),"Check date"))</f>
        <v/>
      </c>
      <c r="N258" s="28">
        <f>IF(M258="","",IF(ISNUMBER(M258),IF(M258&lt;0,"Expired",IF(M258&lt;=30,"Due ≤30 days",IF(M258&lt;=90,"Due ≤90 days","OK"))),"Check date"))</f>
        <v/>
      </c>
      <c r="O258" s="24">
        <f>IF(ISNUMBER(E258),EDATE(E258,12*(IFERROR(DATEDIF(E258,TODAY(),"y"),0)+1)),"")</f>
        <v/>
      </c>
      <c r="P258" s="26" t="n"/>
      <c r="Q258" s="26" t="n"/>
      <c r="R258" s="27">
        <f>IF(LEN(A258)=0,"",MAX(0,IF(ISNUMBER(Q258),Q258,12)-N(P258)))</f>
        <v/>
      </c>
      <c r="S258" s="23" t="n"/>
      <c r="T258" s="27">
        <f>IF(S258="","",IF(ISNUMBER(S258),S258-TODAY(),"Check date"))</f>
        <v/>
      </c>
      <c r="U258" s="22" t="n"/>
      <c r="V258" s="22" t="n"/>
      <c r="W258" s="22" t="n"/>
      <c r="X258" s="22" t="n"/>
    </row>
    <row r="259">
      <c r="A259" s="22" t="n"/>
      <c r="B259" s="22" t="n"/>
      <c r="C259" s="22" t="n"/>
      <c r="D259" s="22" t="n"/>
      <c r="E259" s="23" t="n"/>
      <c r="F259" s="23" t="n"/>
      <c r="G259" s="23" t="n"/>
      <c r="H259" s="24">
        <f>IF(ISNUMBER(G259),EDATE(G259,24),"")</f>
        <v/>
      </c>
      <c r="I259" s="24">
        <f>IF(OR(AND(LEN(F259)&gt;0,ISNUMBER(F259)=FALSE),AND(LEN(G259)&gt;0,ISNUMBER(G259)=FALSE)),"Check date",IF(COUNT(F259,H259)=0,"",MIN(F259,H259)))</f>
        <v/>
      </c>
      <c r="J259" s="25">
        <f>IF(ISNUMBER(I259)=FALSE,"",IF(AND(ISNUMBER(H259),I259=H259),"24-month work rule","Registry expiry"))</f>
        <v/>
      </c>
      <c r="K259" s="26" t="n"/>
      <c r="L259" s="24">
        <f>IF(ISNUMBER(I259),I259-IF(ISNUMBER(K259),K259,30),"")</f>
        <v/>
      </c>
      <c r="M259" s="27">
        <f>IF(I259="","",IF(ISNUMBER(I259),I259-TODAY(),"Check date"))</f>
        <v/>
      </c>
      <c r="N259" s="28">
        <f>IF(M259="","",IF(ISNUMBER(M259),IF(M259&lt;0,"Expired",IF(M259&lt;=30,"Due ≤30 days",IF(M259&lt;=90,"Due ≤90 days","OK"))),"Check date"))</f>
        <v/>
      </c>
      <c r="O259" s="24">
        <f>IF(ISNUMBER(E259),EDATE(E259,12*(IFERROR(DATEDIF(E259,TODAY(),"y"),0)+1)),"")</f>
        <v/>
      </c>
      <c r="P259" s="26" t="n"/>
      <c r="Q259" s="26" t="n"/>
      <c r="R259" s="27">
        <f>IF(LEN(A259)=0,"",MAX(0,IF(ISNUMBER(Q259),Q259,12)-N(P259)))</f>
        <v/>
      </c>
      <c r="S259" s="23" t="n"/>
      <c r="T259" s="27">
        <f>IF(S259="","",IF(ISNUMBER(S259),S259-TODAY(),"Check date"))</f>
        <v/>
      </c>
      <c r="U259" s="22" t="n"/>
      <c r="V259" s="22" t="n"/>
      <c r="W259" s="22" t="n"/>
      <c r="X259" s="22" t="n"/>
    </row>
    <row r="260">
      <c r="A260" s="22" t="n"/>
      <c r="B260" s="22" t="n"/>
      <c r="C260" s="22" t="n"/>
      <c r="D260" s="22" t="n"/>
      <c r="E260" s="23" t="n"/>
      <c r="F260" s="23" t="n"/>
      <c r="G260" s="23" t="n"/>
      <c r="H260" s="24">
        <f>IF(ISNUMBER(G260),EDATE(G260,24),"")</f>
        <v/>
      </c>
      <c r="I260" s="24">
        <f>IF(OR(AND(LEN(F260)&gt;0,ISNUMBER(F260)=FALSE),AND(LEN(G260)&gt;0,ISNUMBER(G260)=FALSE)),"Check date",IF(COUNT(F260,H260)=0,"",MIN(F260,H260)))</f>
        <v/>
      </c>
      <c r="J260" s="25">
        <f>IF(ISNUMBER(I260)=FALSE,"",IF(AND(ISNUMBER(H260),I260=H260),"24-month work rule","Registry expiry"))</f>
        <v/>
      </c>
      <c r="K260" s="26" t="n"/>
      <c r="L260" s="24">
        <f>IF(ISNUMBER(I260),I260-IF(ISNUMBER(K260),K260,30),"")</f>
        <v/>
      </c>
      <c r="M260" s="27">
        <f>IF(I260="","",IF(ISNUMBER(I260),I260-TODAY(),"Check date"))</f>
        <v/>
      </c>
      <c r="N260" s="28">
        <f>IF(M260="","",IF(ISNUMBER(M260),IF(M260&lt;0,"Expired",IF(M260&lt;=30,"Due ≤30 days",IF(M260&lt;=90,"Due ≤90 days","OK"))),"Check date"))</f>
        <v/>
      </c>
      <c r="O260" s="24">
        <f>IF(ISNUMBER(E260),EDATE(E260,12*(IFERROR(DATEDIF(E260,TODAY(),"y"),0)+1)),"")</f>
        <v/>
      </c>
      <c r="P260" s="26" t="n"/>
      <c r="Q260" s="26" t="n"/>
      <c r="R260" s="27">
        <f>IF(LEN(A260)=0,"",MAX(0,IF(ISNUMBER(Q260),Q260,12)-N(P260)))</f>
        <v/>
      </c>
      <c r="S260" s="23" t="n"/>
      <c r="T260" s="27">
        <f>IF(S260="","",IF(ISNUMBER(S260),S260-TODAY(),"Check date"))</f>
        <v/>
      </c>
      <c r="U260" s="22" t="n"/>
      <c r="V260" s="22" t="n"/>
      <c r="W260" s="22" t="n"/>
      <c r="X260" s="22" t="n"/>
    </row>
    <row r="261">
      <c r="A261" s="22" t="n"/>
      <c r="B261" s="22" t="n"/>
      <c r="C261" s="22" t="n"/>
      <c r="D261" s="22" t="n"/>
      <c r="E261" s="23" t="n"/>
      <c r="F261" s="23" t="n"/>
      <c r="G261" s="23" t="n"/>
      <c r="H261" s="24">
        <f>IF(ISNUMBER(G261),EDATE(G261,24),"")</f>
        <v/>
      </c>
      <c r="I261" s="24">
        <f>IF(OR(AND(LEN(F261)&gt;0,ISNUMBER(F261)=FALSE),AND(LEN(G261)&gt;0,ISNUMBER(G261)=FALSE)),"Check date",IF(COUNT(F261,H261)=0,"",MIN(F261,H261)))</f>
        <v/>
      </c>
      <c r="J261" s="25">
        <f>IF(ISNUMBER(I261)=FALSE,"",IF(AND(ISNUMBER(H261),I261=H261),"24-month work rule","Registry expiry"))</f>
        <v/>
      </c>
      <c r="K261" s="26" t="n"/>
      <c r="L261" s="24">
        <f>IF(ISNUMBER(I261),I261-IF(ISNUMBER(K261),K261,30),"")</f>
        <v/>
      </c>
      <c r="M261" s="27">
        <f>IF(I261="","",IF(ISNUMBER(I261),I261-TODAY(),"Check date"))</f>
        <v/>
      </c>
      <c r="N261" s="28">
        <f>IF(M261="","",IF(ISNUMBER(M261),IF(M261&lt;0,"Expired",IF(M261&lt;=30,"Due ≤30 days",IF(M261&lt;=90,"Due ≤90 days","OK"))),"Check date"))</f>
        <v/>
      </c>
      <c r="O261" s="24">
        <f>IF(ISNUMBER(E261),EDATE(E261,12*(IFERROR(DATEDIF(E261,TODAY(),"y"),0)+1)),"")</f>
        <v/>
      </c>
      <c r="P261" s="26" t="n"/>
      <c r="Q261" s="26" t="n"/>
      <c r="R261" s="27">
        <f>IF(LEN(A261)=0,"",MAX(0,IF(ISNUMBER(Q261),Q261,12)-N(P261)))</f>
        <v/>
      </c>
      <c r="S261" s="23" t="n"/>
      <c r="T261" s="27">
        <f>IF(S261="","",IF(ISNUMBER(S261),S261-TODAY(),"Check date"))</f>
        <v/>
      </c>
      <c r="U261" s="22" t="n"/>
      <c r="V261" s="22" t="n"/>
      <c r="W261" s="22" t="n"/>
      <c r="X261" s="22" t="n"/>
    </row>
    <row r="262">
      <c r="A262" s="22" t="n"/>
      <c r="B262" s="22" t="n"/>
      <c r="C262" s="22" t="n"/>
      <c r="D262" s="22" t="n"/>
      <c r="E262" s="23" t="n"/>
      <c r="F262" s="23" t="n"/>
      <c r="G262" s="23" t="n"/>
      <c r="H262" s="24">
        <f>IF(ISNUMBER(G262),EDATE(G262,24),"")</f>
        <v/>
      </c>
      <c r="I262" s="24">
        <f>IF(OR(AND(LEN(F262)&gt;0,ISNUMBER(F262)=FALSE),AND(LEN(G262)&gt;0,ISNUMBER(G262)=FALSE)),"Check date",IF(COUNT(F262,H262)=0,"",MIN(F262,H262)))</f>
        <v/>
      </c>
      <c r="J262" s="25">
        <f>IF(ISNUMBER(I262)=FALSE,"",IF(AND(ISNUMBER(H262),I262=H262),"24-month work rule","Registry expiry"))</f>
        <v/>
      </c>
      <c r="K262" s="26" t="n"/>
      <c r="L262" s="24">
        <f>IF(ISNUMBER(I262),I262-IF(ISNUMBER(K262),K262,30),"")</f>
        <v/>
      </c>
      <c r="M262" s="27">
        <f>IF(I262="","",IF(ISNUMBER(I262),I262-TODAY(),"Check date"))</f>
        <v/>
      </c>
      <c r="N262" s="28">
        <f>IF(M262="","",IF(ISNUMBER(M262),IF(M262&lt;0,"Expired",IF(M262&lt;=30,"Due ≤30 days",IF(M262&lt;=90,"Due ≤90 days","OK"))),"Check date"))</f>
        <v/>
      </c>
      <c r="O262" s="24">
        <f>IF(ISNUMBER(E262),EDATE(E262,12*(IFERROR(DATEDIF(E262,TODAY(),"y"),0)+1)),"")</f>
        <v/>
      </c>
      <c r="P262" s="26" t="n"/>
      <c r="Q262" s="26" t="n"/>
      <c r="R262" s="27">
        <f>IF(LEN(A262)=0,"",MAX(0,IF(ISNUMBER(Q262),Q262,12)-N(P262)))</f>
        <v/>
      </c>
      <c r="S262" s="23" t="n"/>
      <c r="T262" s="27">
        <f>IF(S262="","",IF(ISNUMBER(S262),S262-TODAY(),"Check date"))</f>
        <v/>
      </c>
      <c r="U262" s="22" t="n"/>
      <c r="V262" s="22" t="n"/>
      <c r="W262" s="22" t="n"/>
      <c r="X262" s="22" t="n"/>
    </row>
    <row r="263">
      <c r="A263" s="22" t="n"/>
      <c r="B263" s="22" t="n"/>
      <c r="C263" s="22" t="n"/>
      <c r="D263" s="22" t="n"/>
      <c r="E263" s="23" t="n"/>
      <c r="F263" s="23" t="n"/>
      <c r="G263" s="23" t="n"/>
      <c r="H263" s="24">
        <f>IF(ISNUMBER(G263),EDATE(G263,24),"")</f>
        <v/>
      </c>
      <c r="I263" s="24">
        <f>IF(OR(AND(LEN(F263)&gt;0,ISNUMBER(F263)=FALSE),AND(LEN(G263)&gt;0,ISNUMBER(G263)=FALSE)),"Check date",IF(COUNT(F263,H263)=0,"",MIN(F263,H263)))</f>
        <v/>
      </c>
      <c r="J263" s="25">
        <f>IF(ISNUMBER(I263)=FALSE,"",IF(AND(ISNUMBER(H263),I263=H263),"24-month work rule","Registry expiry"))</f>
        <v/>
      </c>
      <c r="K263" s="26" t="n"/>
      <c r="L263" s="24">
        <f>IF(ISNUMBER(I263),I263-IF(ISNUMBER(K263),K263,30),"")</f>
        <v/>
      </c>
      <c r="M263" s="27">
        <f>IF(I263="","",IF(ISNUMBER(I263),I263-TODAY(),"Check date"))</f>
        <v/>
      </c>
      <c r="N263" s="28">
        <f>IF(M263="","",IF(ISNUMBER(M263),IF(M263&lt;0,"Expired",IF(M263&lt;=30,"Due ≤30 days",IF(M263&lt;=90,"Due ≤90 days","OK"))),"Check date"))</f>
        <v/>
      </c>
      <c r="O263" s="24">
        <f>IF(ISNUMBER(E263),EDATE(E263,12*(IFERROR(DATEDIF(E263,TODAY(),"y"),0)+1)),"")</f>
        <v/>
      </c>
      <c r="P263" s="26" t="n"/>
      <c r="Q263" s="26" t="n"/>
      <c r="R263" s="27">
        <f>IF(LEN(A263)=0,"",MAX(0,IF(ISNUMBER(Q263),Q263,12)-N(P263)))</f>
        <v/>
      </c>
      <c r="S263" s="23" t="n"/>
      <c r="T263" s="27">
        <f>IF(S263="","",IF(ISNUMBER(S263),S263-TODAY(),"Check date"))</f>
        <v/>
      </c>
      <c r="U263" s="22" t="n"/>
      <c r="V263" s="22" t="n"/>
      <c r="W263" s="22" t="n"/>
      <c r="X263" s="22" t="n"/>
    </row>
    <row r="264">
      <c r="A264" s="22" t="n"/>
      <c r="B264" s="22" t="n"/>
      <c r="C264" s="22" t="n"/>
      <c r="D264" s="22" t="n"/>
      <c r="E264" s="23" t="n"/>
      <c r="F264" s="23" t="n"/>
      <c r="G264" s="23" t="n"/>
      <c r="H264" s="24">
        <f>IF(ISNUMBER(G264),EDATE(G264,24),"")</f>
        <v/>
      </c>
      <c r="I264" s="24">
        <f>IF(OR(AND(LEN(F264)&gt;0,ISNUMBER(F264)=FALSE),AND(LEN(G264)&gt;0,ISNUMBER(G264)=FALSE)),"Check date",IF(COUNT(F264,H264)=0,"",MIN(F264,H264)))</f>
        <v/>
      </c>
      <c r="J264" s="25">
        <f>IF(ISNUMBER(I264)=FALSE,"",IF(AND(ISNUMBER(H264),I264=H264),"24-month work rule","Registry expiry"))</f>
        <v/>
      </c>
      <c r="K264" s="26" t="n"/>
      <c r="L264" s="24">
        <f>IF(ISNUMBER(I264),I264-IF(ISNUMBER(K264),K264,30),"")</f>
        <v/>
      </c>
      <c r="M264" s="27">
        <f>IF(I264="","",IF(ISNUMBER(I264),I264-TODAY(),"Check date"))</f>
        <v/>
      </c>
      <c r="N264" s="28">
        <f>IF(M264="","",IF(ISNUMBER(M264),IF(M264&lt;0,"Expired",IF(M264&lt;=30,"Due ≤30 days",IF(M264&lt;=90,"Due ≤90 days","OK"))),"Check date"))</f>
        <v/>
      </c>
      <c r="O264" s="24">
        <f>IF(ISNUMBER(E264),EDATE(E264,12*(IFERROR(DATEDIF(E264,TODAY(),"y"),0)+1)),"")</f>
        <v/>
      </c>
      <c r="P264" s="26" t="n"/>
      <c r="Q264" s="26" t="n"/>
      <c r="R264" s="27">
        <f>IF(LEN(A264)=0,"",MAX(0,IF(ISNUMBER(Q264),Q264,12)-N(P264)))</f>
        <v/>
      </c>
      <c r="S264" s="23" t="n"/>
      <c r="T264" s="27">
        <f>IF(S264="","",IF(ISNUMBER(S264),S264-TODAY(),"Check date"))</f>
        <v/>
      </c>
      <c r="U264" s="22" t="n"/>
      <c r="V264" s="22" t="n"/>
      <c r="W264" s="22" t="n"/>
      <c r="X264" s="22" t="n"/>
    </row>
    <row r="265">
      <c r="A265" s="22" t="n"/>
      <c r="B265" s="22" t="n"/>
      <c r="C265" s="22" t="n"/>
      <c r="D265" s="22" t="n"/>
      <c r="E265" s="23" t="n"/>
      <c r="F265" s="23" t="n"/>
      <c r="G265" s="23" t="n"/>
      <c r="H265" s="24">
        <f>IF(ISNUMBER(G265),EDATE(G265,24),"")</f>
        <v/>
      </c>
      <c r="I265" s="24">
        <f>IF(OR(AND(LEN(F265)&gt;0,ISNUMBER(F265)=FALSE),AND(LEN(G265)&gt;0,ISNUMBER(G265)=FALSE)),"Check date",IF(COUNT(F265,H265)=0,"",MIN(F265,H265)))</f>
        <v/>
      </c>
      <c r="J265" s="25">
        <f>IF(ISNUMBER(I265)=FALSE,"",IF(AND(ISNUMBER(H265),I265=H265),"24-month work rule","Registry expiry"))</f>
        <v/>
      </c>
      <c r="K265" s="26" t="n"/>
      <c r="L265" s="24">
        <f>IF(ISNUMBER(I265),I265-IF(ISNUMBER(K265),K265,30),"")</f>
        <v/>
      </c>
      <c r="M265" s="27">
        <f>IF(I265="","",IF(ISNUMBER(I265),I265-TODAY(),"Check date"))</f>
        <v/>
      </c>
      <c r="N265" s="28">
        <f>IF(M265="","",IF(ISNUMBER(M265),IF(M265&lt;0,"Expired",IF(M265&lt;=30,"Due ≤30 days",IF(M265&lt;=90,"Due ≤90 days","OK"))),"Check date"))</f>
        <v/>
      </c>
      <c r="O265" s="24">
        <f>IF(ISNUMBER(E265),EDATE(E265,12*(IFERROR(DATEDIF(E265,TODAY(),"y"),0)+1)),"")</f>
        <v/>
      </c>
      <c r="P265" s="26" t="n"/>
      <c r="Q265" s="26" t="n"/>
      <c r="R265" s="27">
        <f>IF(LEN(A265)=0,"",MAX(0,IF(ISNUMBER(Q265),Q265,12)-N(P265)))</f>
        <v/>
      </c>
      <c r="S265" s="23" t="n"/>
      <c r="T265" s="27">
        <f>IF(S265="","",IF(ISNUMBER(S265),S265-TODAY(),"Check date"))</f>
        <v/>
      </c>
      <c r="U265" s="22" t="n"/>
      <c r="V265" s="22" t="n"/>
      <c r="W265" s="22" t="n"/>
      <c r="X265" s="22" t="n"/>
    </row>
    <row r="266">
      <c r="A266" s="22" t="n"/>
      <c r="B266" s="22" t="n"/>
      <c r="C266" s="22" t="n"/>
      <c r="D266" s="22" t="n"/>
      <c r="E266" s="23" t="n"/>
      <c r="F266" s="23" t="n"/>
      <c r="G266" s="23" t="n"/>
      <c r="H266" s="24">
        <f>IF(ISNUMBER(G266),EDATE(G266,24),"")</f>
        <v/>
      </c>
      <c r="I266" s="24">
        <f>IF(OR(AND(LEN(F266)&gt;0,ISNUMBER(F266)=FALSE),AND(LEN(G266)&gt;0,ISNUMBER(G266)=FALSE)),"Check date",IF(COUNT(F266,H266)=0,"",MIN(F266,H266)))</f>
        <v/>
      </c>
      <c r="J266" s="25">
        <f>IF(ISNUMBER(I266)=FALSE,"",IF(AND(ISNUMBER(H266),I266=H266),"24-month work rule","Registry expiry"))</f>
        <v/>
      </c>
      <c r="K266" s="26" t="n"/>
      <c r="L266" s="24">
        <f>IF(ISNUMBER(I266),I266-IF(ISNUMBER(K266),K266,30),"")</f>
        <v/>
      </c>
      <c r="M266" s="27">
        <f>IF(I266="","",IF(ISNUMBER(I266),I266-TODAY(),"Check date"))</f>
        <v/>
      </c>
      <c r="N266" s="28">
        <f>IF(M266="","",IF(ISNUMBER(M266),IF(M266&lt;0,"Expired",IF(M266&lt;=30,"Due ≤30 days",IF(M266&lt;=90,"Due ≤90 days","OK"))),"Check date"))</f>
        <v/>
      </c>
      <c r="O266" s="24">
        <f>IF(ISNUMBER(E266),EDATE(E266,12*(IFERROR(DATEDIF(E266,TODAY(),"y"),0)+1)),"")</f>
        <v/>
      </c>
      <c r="P266" s="26" t="n"/>
      <c r="Q266" s="26" t="n"/>
      <c r="R266" s="27">
        <f>IF(LEN(A266)=0,"",MAX(0,IF(ISNUMBER(Q266),Q266,12)-N(P266)))</f>
        <v/>
      </c>
      <c r="S266" s="23" t="n"/>
      <c r="T266" s="27">
        <f>IF(S266="","",IF(ISNUMBER(S266),S266-TODAY(),"Check date"))</f>
        <v/>
      </c>
      <c r="U266" s="22" t="n"/>
      <c r="V266" s="22" t="n"/>
      <c r="W266" s="22" t="n"/>
      <c r="X266" s="22" t="n"/>
    </row>
    <row r="267">
      <c r="A267" s="22" t="n"/>
      <c r="B267" s="22" t="n"/>
      <c r="C267" s="22" t="n"/>
      <c r="D267" s="22" t="n"/>
      <c r="E267" s="23" t="n"/>
      <c r="F267" s="23" t="n"/>
      <c r="G267" s="23" t="n"/>
      <c r="H267" s="24">
        <f>IF(ISNUMBER(G267),EDATE(G267,24),"")</f>
        <v/>
      </c>
      <c r="I267" s="24">
        <f>IF(OR(AND(LEN(F267)&gt;0,ISNUMBER(F267)=FALSE),AND(LEN(G267)&gt;0,ISNUMBER(G267)=FALSE)),"Check date",IF(COUNT(F267,H267)=0,"",MIN(F267,H267)))</f>
        <v/>
      </c>
      <c r="J267" s="25">
        <f>IF(ISNUMBER(I267)=FALSE,"",IF(AND(ISNUMBER(H267),I267=H267),"24-month work rule","Registry expiry"))</f>
        <v/>
      </c>
      <c r="K267" s="26" t="n"/>
      <c r="L267" s="24">
        <f>IF(ISNUMBER(I267),I267-IF(ISNUMBER(K267),K267,30),"")</f>
        <v/>
      </c>
      <c r="M267" s="27">
        <f>IF(I267="","",IF(ISNUMBER(I267),I267-TODAY(),"Check date"))</f>
        <v/>
      </c>
      <c r="N267" s="28">
        <f>IF(M267="","",IF(ISNUMBER(M267),IF(M267&lt;0,"Expired",IF(M267&lt;=30,"Due ≤30 days",IF(M267&lt;=90,"Due ≤90 days","OK"))),"Check date"))</f>
        <v/>
      </c>
      <c r="O267" s="24">
        <f>IF(ISNUMBER(E267),EDATE(E267,12*(IFERROR(DATEDIF(E267,TODAY(),"y"),0)+1)),"")</f>
        <v/>
      </c>
      <c r="P267" s="26" t="n"/>
      <c r="Q267" s="26" t="n"/>
      <c r="R267" s="27">
        <f>IF(LEN(A267)=0,"",MAX(0,IF(ISNUMBER(Q267),Q267,12)-N(P267)))</f>
        <v/>
      </c>
      <c r="S267" s="23" t="n"/>
      <c r="T267" s="27">
        <f>IF(S267="","",IF(ISNUMBER(S267),S267-TODAY(),"Check date"))</f>
        <v/>
      </c>
      <c r="U267" s="22" t="n"/>
      <c r="V267" s="22" t="n"/>
      <c r="W267" s="22" t="n"/>
      <c r="X267" s="22" t="n"/>
    </row>
    <row r="268">
      <c r="A268" s="22" t="n"/>
      <c r="B268" s="22" t="n"/>
      <c r="C268" s="22" t="n"/>
      <c r="D268" s="22" t="n"/>
      <c r="E268" s="23" t="n"/>
      <c r="F268" s="23" t="n"/>
      <c r="G268" s="23" t="n"/>
      <c r="H268" s="24">
        <f>IF(ISNUMBER(G268),EDATE(G268,24),"")</f>
        <v/>
      </c>
      <c r="I268" s="24">
        <f>IF(OR(AND(LEN(F268)&gt;0,ISNUMBER(F268)=FALSE),AND(LEN(G268)&gt;0,ISNUMBER(G268)=FALSE)),"Check date",IF(COUNT(F268,H268)=0,"",MIN(F268,H268)))</f>
        <v/>
      </c>
      <c r="J268" s="25">
        <f>IF(ISNUMBER(I268)=FALSE,"",IF(AND(ISNUMBER(H268),I268=H268),"24-month work rule","Registry expiry"))</f>
        <v/>
      </c>
      <c r="K268" s="26" t="n"/>
      <c r="L268" s="24">
        <f>IF(ISNUMBER(I268),I268-IF(ISNUMBER(K268),K268,30),"")</f>
        <v/>
      </c>
      <c r="M268" s="27">
        <f>IF(I268="","",IF(ISNUMBER(I268),I268-TODAY(),"Check date"))</f>
        <v/>
      </c>
      <c r="N268" s="28">
        <f>IF(M268="","",IF(ISNUMBER(M268),IF(M268&lt;0,"Expired",IF(M268&lt;=30,"Due ≤30 days",IF(M268&lt;=90,"Due ≤90 days","OK"))),"Check date"))</f>
        <v/>
      </c>
      <c r="O268" s="24">
        <f>IF(ISNUMBER(E268),EDATE(E268,12*(IFERROR(DATEDIF(E268,TODAY(),"y"),0)+1)),"")</f>
        <v/>
      </c>
      <c r="P268" s="26" t="n"/>
      <c r="Q268" s="26" t="n"/>
      <c r="R268" s="27">
        <f>IF(LEN(A268)=0,"",MAX(0,IF(ISNUMBER(Q268),Q268,12)-N(P268)))</f>
        <v/>
      </c>
      <c r="S268" s="23" t="n"/>
      <c r="T268" s="27">
        <f>IF(S268="","",IF(ISNUMBER(S268),S268-TODAY(),"Check date"))</f>
        <v/>
      </c>
      <c r="U268" s="22" t="n"/>
      <c r="V268" s="22" t="n"/>
      <c r="W268" s="22" t="n"/>
      <c r="X268" s="22" t="n"/>
    </row>
    <row r="269">
      <c r="A269" s="22" t="n"/>
      <c r="B269" s="22" t="n"/>
      <c r="C269" s="22" t="n"/>
      <c r="D269" s="22" t="n"/>
      <c r="E269" s="23" t="n"/>
      <c r="F269" s="23" t="n"/>
      <c r="G269" s="23" t="n"/>
      <c r="H269" s="24">
        <f>IF(ISNUMBER(G269),EDATE(G269,24),"")</f>
        <v/>
      </c>
      <c r="I269" s="24">
        <f>IF(OR(AND(LEN(F269)&gt;0,ISNUMBER(F269)=FALSE),AND(LEN(G269)&gt;0,ISNUMBER(G269)=FALSE)),"Check date",IF(COUNT(F269,H269)=0,"",MIN(F269,H269)))</f>
        <v/>
      </c>
      <c r="J269" s="25">
        <f>IF(ISNUMBER(I269)=FALSE,"",IF(AND(ISNUMBER(H269),I269=H269),"24-month work rule","Registry expiry"))</f>
        <v/>
      </c>
      <c r="K269" s="26" t="n"/>
      <c r="L269" s="24">
        <f>IF(ISNUMBER(I269),I269-IF(ISNUMBER(K269),K269,30),"")</f>
        <v/>
      </c>
      <c r="M269" s="27">
        <f>IF(I269="","",IF(ISNUMBER(I269),I269-TODAY(),"Check date"))</f>
        <v/>
      </c>
      <c r="N269" s="28">
        <f>IF(M269="","",IF(ISNUMBER(M269),IF(M269&lt;0,"Expired",IF(M269&lt;=30,"Due ≤30 days",IF(M269&lt;=90,"Due ≤90 days","OK"))),"Check date"))</f>
        <v/>
      </c>
      <c r="O269" s="24">
        <f>IF(ISNUMBER(E269),EDATE(E269,12*(IFERROR(DATEDIF(E269,TODAY(),"y"),0)+1)),"")</f>
        <v/>
      </c>
      <c r="P269" s="26" t="n"/>
      <c r="Q269" s="26" t="n"/>
      <c r="R269" s="27">
        <f>IF(LEN(A269)=0,"",MAX(0,IF(ISNUMBER(Q269),Q269,12)-N(P269)))</f>
        <v/>
      </c>
      <c r="S269" s="23" t="n"/>
      <c r="T269" s="27">
        <f>IF(S269="","",IF(ISNUMBER(S269),S269-TODAY(),"Check date"))</f>
        <v/>
      </c>
      <c r="U269" s="22" t="n"/>
      <c r="V269" s="22" t="n"/>
      <c r="W269" s="22" t="n"/>
      <c r="X269" s="22" t="n"/>
    </row>
    <row r="270">
      <c r="A270" s="22" t="n"/>
      <c r="B270" s="22" t="n"/>
      <c r="C270" s="22" t="n"/>
      <c r="D270" s="22" t="n"/>
      <c r="E270" s="23" t="n"/>
      <c r="F270" s="23" t="n"/>
      <c r="G270" s="23" t="n"/>
      <c r="H270" s="24">
        <f>IF(ISNUMBER(G270),EDATE(G270,24),"")</f>
        <v/>
      </c>
      <c r="I270" s="24">
        <f>IF(OR(AND(LEN(F270)&gt;0,ISNUMBER(F270)=FALSE),AND(LEN(G270)&gt;0,ISNUMBER(G270)=FALSE)),"Check date",IF(COUNT(F270,H270)=0,"",MIN(F270,H270)))</f>
        <v/>
      </c>
      <c r="J270" s="25">
        <f>IF(ISNUMBER(I270)=FALSE,"",IF(AND(ISNUMBER(H270),I270=H270),"24-month work rule","Registry expiry"))</f>
        <v/>
      </c>
      <c r="K270" s="26" t="n"/>
      <c r="L270" s="24">
        <f>IF(ISNUMBER(I270),I270-IF(ISNUMBER(K270),K270,30),"")</f>
        <v/>
      </c>
      <c r="M270" s="27">
        <f>IF(I270="","",IF(ISNUMBER(I270),I270-TODAY(),"Check date"))</f>
        <v/>
      </c>
      <c r="N270" s="28">
        <f>IF(M270="","",IF(ISNUMBER(M270),IF(M270&lt;0,"Expired",IF(M270&lt;=30,"Due ≤30 days",IF(M270&lt;=90,"Due ≤90 days","OK"))),"Check date"))</f>
        <v/>
      </c>
      <c r="O270" s="24">
        <f>IF(ISNUMBER(E270),EDATE(E270,12*(IFERROR(DATEDIF(E270,TODAY(),"y"),0)+1)),"")</f>
        <v/>
      </c>
      <c r="P270" s="26" t="n"/>
      <c r="Q270" s="26" t="n"/>
      <c r="R270" s="27">
        <f>IF(LEN(A270)=0,"",MAX(0,IF(ISNUMBER(Q270),Q270,12)-N(P270)))</f>
        <v/>
      </c>
      <c r="S270" s="23" t="n"/>
      <c r="T270" s="27">
        <f>IF(S270="","",IF(ISNUMBER(S270),S270-TODAY(),"Check date"))</f>
        <v/>
      </c>
      <c r="U270" s="22" t="n"/>
      <c r="V270" s="22" t="n"/>
      <c r="W270" s="22" t="n"/>
      <c r="X270" s="22" t="n"/>
    </row>
    <row r="271">
      <c r="A271" s="22" t="n"/>
      <c r="B271" s="22" t="n"/>
      <c r="C271" s="22" t="n"/>
      <c r="D271" s="22" t="n"/>
      <c r="E271" s="23" t="n"/>
      <c r="F271" s="23" t="n"/>
      <c r="G271" s="23" t="n"/>
      <c r="H271" s="24">
        <f>IF(ISNUMBER(G271),EDATE(G271,24),"")</f>
        <v/>
      </c>
      <c r="I271" s="24">
        <f>IF(OR(AND(LEN(F271)&gt;0,ISNUMBER(F271)=FALSE),AND(LEN(G271)&gt;0,ISNUMBER(G271)=FALSE)),"Check date",IF(COUNT(F271,H271)=0,"",MIN(F271,H271)))</f>
        <v/>
      </c>
      <c r="J271" s="25">
        <f>IF(ISNUMBER(I271)=FALSE,"",IF(AND(ISNUMBER(H271),I271=H271),"24-month work rule","Registry expiry"))</f>
        <v/>
      </c>
      <c r="K271" s="26" t="n"/>
      <c r="L271" s="24">
        <f>IF(ISNUMBER(I271),I271-IF(ISNUMBER(K271),K271,30),"")</f>
        <v/>
      </c>
      <c r="M271" s="27">
        <f>IF(I271="","",IF(ISNUMBER(I271),I271-TODAY(),"Check date"))</f>
        <v/>
      </c>
      <c r="N271" s="28">
        <f>IF(M271="","",IF(ISNUMBER(M271),IF(M271&lt;0,"Expired",IF(M271&lt;=30,"Due ≤30 days",IF(M271&lt;=90,"Due ≤90 days","OK"))),"Check date"))</f>
        <v/>
      </c>
      <c r="O271" s="24">
        <f>IF(ISNUMBER(E271),EDATE(E271,12*(IFERROR(DATEDIF(E271,TODAY(),"y"),0)+1)),"")</f>
        <v/>
      </c>
      <c r="P271" s="26" t="n"/>
      <c r="Q271" s="26" t="n"/>
      <c r="R271" s="27">
        <f>IF(LEN(A271)=0,"",MAX(0,IF(ISNUMBER(Q271),Q271,12)-N(P271)))</f>
        <v/>
      </c>
      <c r="S271" s="23" t="n"/>
      <c r="T271" s="27">
        <f>IF(S271="","",IF(ISNUMBER(S271),S271-TODAY(),"Check date"))</f>
        <v/>
      </c>
      <c r="U271" s="22" t="n"/>
      <c r="V271" s="22" t="n"/>
      <c r="W271" s="22" t="n"/>
      <c r="X271" s="22" t="n"/>
    </row>
    <row r="272">
      <c r="A272" s="22" t="n"/>
      <c r="B272" s="22" t="n"/>
      <c r="C272" s="22" t="n"/>
      <c r="D272" s="22" t="n"/>
      <c r="E272" s="23" t="n"/>
      <c r="F272" s="23" t="n"/>
      <c r="G272" s="23" t="n"/>
      <c r="H272" s="24">
        <f>IF(ISNUMBER(G272),EDATE(G272,24),"")</f>
        <v/>
      </c>
      <c r="I272" s="24">
        <f>IF(OR(AND(LEN(F272)&gt;0,ISNUMBER(F272)=FALSE),AND(LEN(G272)&gt;0,ISNUMBER(G272)=FALSE)),"Check date",IF(COUNT(F272,H272)=0,"",MIN(F272,H272)))</f>
        <v/>
      </c>
      <c r="J272" s="25">
        <f>IF(ISNUMBER(I272)=FALSE,"",IF(AND(ISNUMBER(H272),I272=H272),"24-month work rule","Registry expiry"))</f>
        <v/>
      </c>
      <c r="K272" s="26" t="n"/>
      <c r="L272" s="24">
        <f>IF(ISNUMBER(I272),I272-IF(ISNUMBER(K272),K272,30),"")</f>
        <v/>
      </c>
      <c r="M272" s="27">
        <f>IF(I272="","",IF(ISNUMBER(I272),I272-TODAY(),"Check date"))</f>
        <v/>
      </c>
      <c r="N272" s="28">
        <f>IF(M272="","",IF(ISNUMBER(M272),IF(M272&lt;0,"Expired",IF(M272&lt;=30,"Due ≤30 days",IF(M272&lt;=90,"Due ≤90 days","OK"))),"Check date"))</f>
        <v/>
      </c>
      <c r="O272" s="24">
        <f>IF(ISNUMBER(E272),EDATE(E272,12*(IFERROR(DATEDIF(E272,TODAY(),"y"),0)+1)),"")</f>
        <v/>
      </c>
      <c r="P272" s="26" t="n"/>
      <c r="Q272" s="26" t="n"/>
      <c r="R272" s="27">
        <f>IF(LEN(A272)=0,"",MAX(0,IF(ISNUMBER(Q272),Q272,12)-N(P272)))</f>
        <v/>
      </c>
      <c r="S272" s="23" t="n"/>
      <c r="T272" s="27">
        <f>IF(S272="","",IF(ISNUMBER(S272),S272-TODAY(),"Check date"))</f>
        <v/>
      </c>
      <c r="U272" s="22" t="n"/>
      <c r="V272" s="22" t="n"/>
      <c r="W272" s="22" t="n"/>
      <c r="X272" s="22" t="n"/>
    </row>
    <row r="273">
      <c r="A273" s="22" t="n"/>
      <c r="B273" s="22" t="n"/>
      <c r="C273" s="22" t="n"/>
      <c r="D273" s="22" t="n"/>
      <c r="E273" s="23" t="n"/>
      <c r="F273" s="23" t="n"/>
      <c r="G273" s="23" t="n"/>
      <c r="H273" s="24">
        <f>IF(ISNUMBER(G273),EDATE(G273,24),"")</f>
        <v/>
      </c>
      <c r="I273" s="24">
        <f>IF(OR(AND(LEN(F273)&gt;0,ISNUMBER(F273)=FALSE),AND(LEN(G273)&gt;0,ISNUMBER(G273)=FALSE)),"Check date",IF(COUNT(F273,H273)=0,"",MIN(F273,H273)))</f>
        <v/>
      </c>
      <c r="J273" s="25">
        <f>IF(ISNUMBER(I273)=FALSE,"",IF(AND(ISNUMBER(H273),I273=H273),"24-month work rule","Registry expiry"))</f>
        <v/>
      </c>
      <c r="K273" s="26" t="n"/>
      <c r="L273" s="24">
        <f>IF(ISNUMBER(I273),I273-IF(ISNUMBER(K273),K273,30),"")</f>
        <v/>
      </c>
      <c r="M273" s="27">
        <f>IF(I273="","",IF(ISNUMBER(I273),I273-TODAY(),"Check date"))</f>
        <v/>
      </c>
      <c r="N273" s="28">
        <f>IF(M273="","",IF(ISNUMBER(M273),IF(M273&lt;0,"Expired",IF(M273&lt;=30,"Due ≤30 days",IF(M273&lt;=90,"Due ≤90 days","OK"))),"Check date"))</f>
        <v/>
      </c>
      <c r="O273" s="24">
        <f>IF(ISNUMBER(E273),EDATE(E273,12*(IFERROR(DATEDIF(E273,TODAY(),"y"),0)+1)),"")</f>
        <v/>
      </c>
      <c r="P273" s="26" t="n"/>
      <c r="Q273" s="26" t="n"/>
      <c r="R273" s="27">
        <f>IF(LEN(A273)=0,"",MAX(0,IF(ISNUMBER(Q273),Q273,12)-N(P273)))</f>
        <v/>
      </c>
      <c r="S273" s="23" t="n"/>
      <c r="T273" s="27">
        <f>IF(S273="","",IF(ISNUMBER(S273),S273-TODAY(),"Check date"))</f>
        <v/>
      </c>
      <c r="U273" s="22" t="n"/>
      <c r="V273" s="22" t="n"/>
      <c r="W273" s="22" t="n"/>
      <c r="X273" s="22" t="n"/>
    </row>
    <row r="274">
      <c r="A274" s="22" t="n"/>
      <c r="B274" s="22" t="n"/>
      <c r="C274" s="22" t="n"/>
      <c r="D274" s="22" t="n"/>
      <c r="E274" s="23" t="n"/>
      <c r="F274" s="23" t="n"/>
      <c r="G274" s="23" t="n"/>
      <c r="H274" s="24">
        <f>IF(ISNUMBER(G274),EDATE(G274,24),"")</f>
        <v/>
      </c>
      <c r="I274" s="24">
        <f>IF(OR(AND(LEN(F274)&gt;0,ISNUMBER(F274)=FALSE),AND(LEN(G274)&gt;0,ISNUMBER(G274)=FALSE)),"Check date",IF(COUNT(F274,H274)=0,"",MIN(F274,H274)))</f>
        <v/>
      </c>
      <c r="J274" s="25">
        <f>IF(ISNUMBER(I274)=FALSE,"",IF(AND(ISNUMBER(H274),I274=H274),"24-month work rule","Registry expiry"))</f>
        <v/>
      </c>
      <c r="K274" s="26" t="n"/>
      <c r="L274" s="24">
        <f>IF(ISNUMBER(I274),I274-IF(ISNUMBER(K274),K274,30),"")</f>
        <v/>
      </c>
      <c r="M274" s="27">
        <f>IF(I274="","",IF(ISNUMBER(I274),I274-TODAY(),"Check date"))</f>
        <v/>
      </c>
      <c r="N274" s="28">
        <f>IF(M274="","",IF(ISNUMBER(M274),IF(M274&lt;0,"Expired",IF(M274&lt;=30,"Due ≤30 days",IF(M274&lt;=90,"Due ≤90 days","OK"))),"Check date"))</f>
        <v/>
      </c>
      <c r="O274" s="24">
        <f>IF(ISNUMBER(E274),EDATE(E274,12*(IFERROR(DATEDIF(E274,TODAY(),"y"),0)+1)),"")</f>
        <v/>
      </c>
      <c r="P274" s="26" t="n"/>
      <c r="Q274" s="26" t="n"/>
      <c r="R274" s="27">
        <f>IF(LEN(A274)=0,"",MAX(0,IF(ISNUMBER(Q274),Q274,12)-N(P274)))</f>
        <v/>
      </c>
      <c r="S274" s="23" t="n"/>
      <c r="T274" s="27">
        <f>IF(S274="","",IF(ISNUMBER(S274),S274-TODAY(),"Check date"))</f>
        <v/>
      </c>
      <c r="U274" s="22" t="n"/>
      <c r="V274" s="22" t="n"/>
      <c r="W274" s="22" t="n"/>
      <c r="X274" s="22" t="n"/>
    </row>
    <row r="275">
      <c r="A275" s="22" t="n"/>
      <c r="B275" s="22" t="n"/>
      <c r="C275" s="22" t="n"/>
      <c r="D275" s="22" t="n"/>
      <c r="E275" s="23" t="n"/>
      <c r="F275" s="23" t="n"/>
      <c r="G275" s="23" t="n"/>
      <c r="H275" s="24">
        <f>IF(ISNUMBER(G275),EDATE(G275,24),"")</f>
        <v/>
      </c>
      <c r="I275" s="24">
        <f>IF(OR(AND(LEN(F275)&gt;0,ISNUMBER(F275)=FALSE),AND(LEN(G275)&gt;0,ISNUMBER(G275)=FALSE)),"Check date",IF(COUNT(F275,H275)=0,"",MIN(F275,H275)))</f>
        <v/>
      </c>
      <c r="J275" s="25">
        <f>IF(ISNUMBER(I275)=FALSE,"",IF(AND(ISNUMBER(H275),I275=H275),"24-month work rule","Registry expiry"))</f>
        <v/>
      </c>
      <c r="K275" s="26" t="n"/>
      <c r="L275" s="24">
        <f>IF(ISNUMBER(I275),I275-IF(ISNUMBER(K275),K275,30),"")</f>
        <v/>
      </c>
      <c r="M275" s="27">
        <f>IF(I275="","",IF(ISNUMBER(I275),I275-TODAY(),"Check date"))</f>
        <v/>
      </c>
      <c r="N275" s="28">
        <f>IF(M275="","",IF(ISNUMBER(M275),IF(M275&lt;0,"Expired",IF(M275&lt;=30,"Due ≤30 days",IF(M275&lt;=90,"Due ≤90 days","OK"))),"Check date"))</f>
        <v/>
      </c>
      <c r="O275" s="24">
        <f>IF(ISNUMBER(E275),EDATE(E275,12*(IFERROR(DATEDIF(E275,TODAY(),"y"),0)+1)),"")</f>
        <v/>
      </c>
      <c r="P275" s="26" t="n"/>
      <c r="Q275" s="26" t="n"/>
      <c r="R275" s="27">
        <f>IF(LEN(A275)=0,"",MAX(0,IF(ISNUMBER(Q275),Q275,12)-N(P275)))</f>
        <v/>
      </c>
      <c r="S275" s="23" t="n"/>
      <c r="T275" s="27">
        <f>IF(S275="","",IF(ISNUMBER(S275),S275-TODAY(),"Check date"))</f>
        <v/>
      </c>
      <c r="U275" s="22" t="n"/>
      <c r="V275" s="22" t="n"/>
      <c r="W275" s="22" t="n"/>
      <c r="X275" s="22" t="n"/>
    </row>
    <row r="276">
      <c r="A276" s="22" t="n"/>
      <c r="B276" s="22" t="n"/>
      <c r="C276" s="22" t="n"/>
      <c r="D276" s="22" t="n"/>
      <c r="E276" s="23" t="n"/>
      <c r="F276" s="23" t="n"/>
      <c r="G276" s="23" t="n"/>
      <c r="H276" s="24">
        <f>IF(ISNUMBER(G276),EDATE(G276,24),"")</f>
        <v/>
      </c>
      <c r="I276" s="24">
        <f>IF(OR(AND(LEN(F276)&gt;0,ISNUMBER(F276)=FALSE),AND(LEN(G276)&gt;0,ISNUMBER(G276)=FALSE)),"Check date",IF(COUNT(F276,H276)=0,"",MIN(F276,H276)))</f>
        <v/>
      </c>
      <c r="J276" s="25">
        <f>IF(ISNUMBER(I276)=FALSE,"",IF(AND(ISNUMBER(H276),I276=H276),"24-month work rule","Registry expiry"))</f>
        <v/>
      </c>
      <c r="K276" s="26" t="n"/>
      <c r="L276" s="24">
        <f>IF(ISNUMBER(I276),I276-IF(ISNUMBER(K276),K276,30),"")</f>
        <v/>
      </c>
      <c r="M276" s="27">
        <f>IF(I276="","",IF(ISNUMBER(I276),I276-TODAY(),"Check date"))</f>
        <v/>
      </c>
      <c r="N276" s="28">
        <f>IF(M276="","",IF(ISNUMBER(M276),IF(M276&lt;0,"Expired",IF(M276&lt;=30,"Due ≤30 days",IF(M276&lt;=90,"Due ≤90 days","OK"))),"Check date"))</f>
        <v/>
      </c>
      <c r="O276" s="24">
        <f>IF(ISNUMBER(E276),EDATE(E276,12*(IFERROR(DATEDIF(E276,TODAY(),"y"),0)+1)),"")</f>
        <v/>
      </c>
      <c r="P276" s="26" t="n"/>
      <c r="Q276" s="26" t="n"/>
      <c r="R276" s="27">
        <f>IF(LEN(A276)=0,"",MAX(0,IF(ISNUMBER(Q276),Q276,12)-N(P276)))</f>
        <v/>
      </c>
      <c r="S276" s="23" t="n"/>
      <c r="T276" s="27">
        <f>IF(S276="","",IF(ISNUMBER(S276),S276-TODAY(),"Check date"))</f>
        <v/>
      </c>
      <c r="U276" s="22" t="n"/>
      <c r="V276" s="22" t="n"/>
      <c r="W276" s="22" t="n"/>
      <c r="X276" s="22" t="n"/>
    </row>
    <row r="277">
      <c r="A277" s="22" t="n"/>
      <c r="B277" s="22" t="n"/>
      <c r="C277" s="22" t="n"/>
      <c r="D277" s="22" t="n"/>
      <c r="E277" s="23" t="n"/>
      <c r="F277" s="23" t="n"/>
      <c r="G277" s="23" t="n"/>
      <c r="H277" s="24">
        <f>IF(ISNUMBER(G277),EDATE(G277,24),"")</f>
        <v/>
      </c>
      <c r="I277" s="24">
        <f>IF(OR(AND(LEN(F277)&gt;0,ISNUMBER(F277)=FALSE),AND(LEN(G277)&gt;0,ISNUMBER(G277)=FALSE)),"Check date",IF(COUNT(F277,H277)=0,"",MIN(F277,H277)))</f>
        <v/>
      </c>
      <c r="J277" s="25">
        <f>IF(ISNUMBER(I277)=FALSE,"",IF(AND(ISNUMBER(H277),I277=H277),"24-month work rule","Registry expiry"))</f>
        <v/>
      </c>
      <c r="K277" s="26" t="n"/>
      <c r="L277" s="24">
        <f>IF(ISNUMBER(I277),I277-IF(ISNUMBER(K277),K277,30),"")</f>
        <v/>
      </c>
      <c r="M277" s="27">
        <f>IF(I277="","",IF(ISNUMBER(I277),I277-TODAY(),"Check date"))</f>
        <v/>
      </c>
      <c r="N277" s="28">
        <f>IF(M277="","",IF(ISNUMBER(M277),IF(M277&lt;0,"Expired",IF(M277&lt;=30,"Due ≤30 days",IF(M277&lt;=90,"Due ≤90 days","OK"))),"Check date"))</f>
        <v/>
      </c>
      <c r="O277" s="24">
        <f>IF(ISNUMBER(E277),EDATE(E277,12*(IFERROR(DATEDIF(E277,TODAY(),"y"),0)+1)),"")</f>
        <v/>
      </c>
      <c r="P277" s="26" t="n"/>
      <c r="Q277" s="26" t="n"/>
      <c r="R277" s="27">
        <f>IF(LEN(A277)=0,"",MAX(0,IF(ISNUMBER(Q277),Q277,12)-N(P277)))</f>
        <v/>
      </c>
      <c r="S277" s="23" t="n"/>
      <c r="T277" s="27">
        <f>IF(S277="","",IF(ISNUMBER(S277),S277-TODAY(),"Check date"))</f>
        <v/>
      </c>
      <c r="U277" s="22" t="n"/>
      <c r="V277" s="22" t="n"/>
      <c r="W277" s="22" t="n"/>
      <c r="X277" s="22" t="n"/>
    </row>
    <row r="278">
      <c r="A278" s="22" t="n"/>
      <c r="B278" s="22" t="n"/>
      <c r="C278" s="22" t="n"/>
      <c r="D278" s="22" t="n"/>
      <c r="E278" s="23" t="n"/>
      <c r="F278" s="23" t="n"/>
      <c r="G278" s="23" t="n"/>
      <c r="H278" s="24">
        <f>IF(ISNUMBER(G278),EDATE(G278,24),"")</f>
        <v/>
      </c>
      <c r="I278" s="24">
        <f>IF(OR(AND(LEN(F278)&gt;0,ISNUMBER(F278)=FALSE),AND(LEN(G278)&gt;0,ISNUMBER(G278)=FALSE)),"Check date",IF(COUNT(F278,H278)=0,"",MIN(F278,H278)))</f>
        <v/>
      </c>
      <c r="J278" s="25">
        <f>IF(ISNUMBER(I278)=FALSE,"",IF(AND(ISNUMBER(H278),I278=H278),"24-month work rule","Registry expiry"))</f>
        <v/>
      </c>
      <c r="K278" s="26" t="n"/>
      <c r="L278" s="24">
        <f>IF(ISNUMBER(I278),I278-IF(ISNUMBER(K278),K278,30),"")</f>
        <v/>
      </c>
      <c r="M278" s="27">
        <f>IF(I278="","",IF(ISNUMBER(I278),I278-TODAY(),"Check date"))</f>
        <v/>
      </c>
      <c r="N278" s="28">
        <f>IF(M278="","",IF(ISNUMBER(M278),IF(M278&lt;0,"Expired",IF(M278&lt;=30,"Due ≤30 days",IF(M278&lt;=90,"Due ≤90 days","OK"))),"Check date"))</f>
        <v/>
      </c>
      <c r="O278" s="24">
        <f>IF(ISNUMBER(E278),EDATE(E278,12*(IFERROR(DATEDIF(E278,TODAY(),"y"),0)+1)),"")</f>
        <v/>
      </c>
      <c r="P278" s="26" t="n"/>
      <c r="Q278" s="26" t="n"/>
      <c r="R278" s="27">
        <f>IF(LEN(A278)=0,"",MAX(0,IF(ISNUMBER(Q278),Q278,12)-N(P278)))</f>
        <v/>
      </c>
      <c r="S278" s="23" t="n"/>
      <c r="T278" s="27">
        <f>IF(S278="","",IF(ISNUMBER(S278),S278-TODAY(),"Check date"))</f>
        <v/>
      </c>
      <c r="U278" s="22" t="n"/>
      <c r="V278" s="22" t="n"/>
      <c r="W278" s="22" t="n"/>
      <c r="X278" s="22" t="n"/>
    </row>
    <row r="279">
      <c r="A279" s="22" t="n"/>
      <c r="B279" s="22" t="n"/>
      <c r="C279" s="22" t="n"/>
      <c r="D279" s="22" t="n"/>
      <c r="E279" s="23" t="n"/>
      <c r="F279" s="23" t="n"/>
      <c r="G279" s="23" t="n"/>
      <c r="H279" s="24">
        <f>IF(ISNUMBER(G279),EDATE(G279,24),"")</f>
        <v/>
      </c>
      <c r="I279" s="24">
        <f>IF(OR(AND(LEN(F279)&gt;0,ISNUMBER(F279)=FALSE),AND(LEN(G279)&gt;0,ISNUMBER(G279)=FALSE)),"Check date",IF(COUNT(F279,H279)=0,"",MIN(F279,H279)))</f>
        <v/>
      </c>
      <c r="J279" s="25">
        <f>IF(ISNUMBER(I279)=FALSE,"",IF(AND(ISNUMBER(H279),I279=H279),"24-month work rule","Registry expiry"))</f>
        <v/>
      </c>
      <c r="K279" s="26" t="n"/>
      <c r="L279" s="24">
        <f>IF(ISNUMBER(I279),I279-IF(ISNUMBER(K279),K279,30),"")</f>
        <v/>
      </c>
      <c r="M279" s="27">
        <f>IF(I279="","",IF(ISNUMBER(I279),I279-TODAY(),"Check date"))</f>
        <v/>
      </c>
      <c r="N279" s="28">
        <f>IF(M279="","",IF(ISNUMBER(M279),IF(M279&lt;0,"Expired",IF(M279&lt;=30,"Due ≤30 days",IF(M279&lt;=90,"Due ≤90 days","OK"))),"Check date"))</f>
        <v/>
      </c>
      <c r="O279" s="24">
        <f>IF(ISNUMBER(E279),EDATE(E279,12*(IFERROR(DATEDIF(E279,TODAY(),"y"),0)+1)),"")</f>
        <v/>
      </c>
      <c r="P279" s="26" t="n"/>
      <c r="Q279" s="26" t="n"/>
      <c r="R279" s="27">
        <f>IF(LEN(A279)=0,"",MAX(0,IF(ISNUMBER(Q279),Q279,12)-N(P279)))</f>
        <v/>
      </c>
      <c r="S279" s="23" t="n"/>
      <c r="T279" s="27">
        <f>IF(S279="","",IF(ISNUMBER(S279),S279-TODAY(),"Check date"))</f>
        <v/>
      </c>
      <c r="U279" s="22" t="n"/>
      <c r="V279" s="22" t="n"/>
      <c r="W279" s="22" t="n"/>
      <c r="X279" s="22" t="n"/>
    </row>
    <row r="280">
      <c r="A280" s="22" t="n"/>
      <c r="B280" s="22" t="n"/>
      <c r="C280" s="22" t="n"/>
      <c r="D280" s="22" t="n"/>
      <c r="E280" s="23" t="n"/>
      <c r="F280" s="23" t="n"/>
      <c r="G280" s="23" t="n"/>
      <c r="H280" s="24">
        <f>IF(ISNUMBER(G280),EDATE(G280,24),"")</f>
        <v/>
      </c>
      <c r="I280" s="24">
        <f>IF(OR(AND(LEN(F280)&gt;0,ISNUMBER(F280)=FALSE),AND(LEN(G280)&gt;0,ISNUMBER(G280)=FALSE)),"Check date",IF(COUNT(F280,H280)=0,"",MIN(F280,H280)))</f>
        <v/>
      </c>
      <c r="J280" s="25">
        <f>IF(ISNUMBER(I280)=FALSE,"",IF(AND(ISNUMBER(H280),I280=H280),"24-month work rule","Registry expiry"))</f>
        <v/>
      </c>
      <c r="K280" s="26" t="n"/>
      <c r="L280" s="24">
        <f>IF(ISNUMBER(I280),I280-IF(ISNUMBER(K280),K280,30),"")</f>
        <v/>
      </c>
      <c r="M280" s="27">
        <f>IF(I280="","",IF(ISNUMBER(I280),I280-TODAY(),"Check date"))</f>
        <v/>
      </c>
      <c r="N280" s="28">
        <f>IF(M280="","",IF(ISNUMBER(M280),IF(M280&lt;0,"Expired",IF(M280&lt;=30,"Due ≤30 days",IF(M280&lt;=90,"Due ≤90 days","OK"))),"Check date"))</f>
        <v/>
      </c>
      <c r="O280" s="24">
        <f>IF(ISNUMBER(E280),EDATE(E280,12*(IFERROR(DATEDIF(E280,TODAY(),"y"),0)+1)),"")</f>
        <v/>
      </c>
      <c r="P280" s="26" t="n"/>
      <c r="Q280" s="26" t="n"/>
      <c r="R280" s="27">
        <f>IF(LEN(A280)=0,"",MAX(0,IF(ISNUMBER(Q280),Q280,12)-N(P280)))</f>
        <v/>
      </c>
      <c r="S280" s="23" t="n"/>
      <c r="T280" s="27">
        <f>IF(S280="","",IF(ISNUMBER(S280),S280-TODAY(),"Check date"))</f>
        <v/>
      </c>
      <c r="U280" s="22" t="n"/>
      <c r="V280" s="22" t="n"/>
      <c r="W280" s="22" t="n"/>
      <c r="X280" s="22" t="n"/>
    </row>
    <row r="281">
      <c r="A281" s="22" t="n"/>
      <c r="B281" s="22" t="n"/>
      <c r="C281" s="22" t="n"/>
      <c r="D281" s="22" t="n"/>
      <c r="E281" s="23" t="n"/>
      <c r="F281" s="23" t="n"/>
      <c r="G281" s="23" t="n"/>
      <c r="H281" s="24">
        <f>IF(ISNUMBER(G281),EDATE(G281,24),"")</f>
        <v/>
      </c>
      <c r="I281" s="24">
        <f>IF(OR(AND(LEN(F281)&gt;0,ISNUMBER(F281)=FALSE),AND(LEN(G281)&gt;0,ISNUMBER(G281)=FALSE)),"Check date",IF(COUNT(F281,H281)=0,"",MIN(F281,H281)))</f>
        <v/>
      </c>
      <c r="J281" s="25">
        <f>IF(ISNUMBER(I281)=FALSE,"",IF(AND(ISNUMBER(H281),I281=H281),"24-month work rule","Registry expiry"))</f>
        <v/>
      </c>
      <c r="K281" s="26" t="n"/>
      <c r="L281" s="24">
        <f>IF(ISNUMBER(I281),I281-IF(ISNUMBER(K281),K281,30),"")</f>
        <v/>
      </c>
      <c r="M281" s="27">
        <f>IF(I281="","",IF(ISNUMBER(I281),I281-TODAY(),"Check date"))</f>
        <v/>
      </c>
      <c r="N281" s="28">
        <f>IF(M281="","",IF(ISNUMBER(M281),IF(M281&lt;0,"Expired",IF(M281&lt;=30,"Due ≤30 days",IF(M281&lt;=90,"Due ≤90 days","OK"))),"Check date"))</f>
        <v/>
      </c>
      <c r="O281" s="24">
        <f>IF(ISNUMBER(E281),EDATE(E281,12*(IFERROR(DATEDIF(E281,TODAY(),"y"),0)+1)),"")</f>
        <v/>
      </c>
      <c r="P281" s="26" t="n"/>
      <c r="Q281" s="26" t="n"/>
      <c r="R281" s="27">
        <f>IF(LEN(A281)=0,"",MAX(0,IF(ISNUMBER(Q281),Q281,12)-N(P281)))</f>
        <v/>
      </c>
      <c r="S281" s="23" t="n"/>
      <c r="T281" s="27">
        <f>IF(S281="","",IF(ISNUMBER(S281),S281-TODAY(),"Check date"))</f>
        <v/>
      </c>
      <c r="U281" s="22" t="n"/>
      <c r="V281" s="22" t="n"/>
      <c r="W281" s="22" t="n"/>
      <c r="X281" s="22" t="n"/>
    </row>
    <row r="282">
      <c r="A282" s="22" t="n"/>
      <c r="B282" s="22" t="n"/>
      <c r="C282" s="22" t="n"/>
      <c r="D282" s="22" t="n"/>
      <c r="E282" s="23" t="n"/>
      <c r="F282" s="23" t="n"/>
      <c r="G282" s="23" t="n"/>
      <c r="H282" s="24">
        <f>IF(ISNUMBER(G282),EDATE(G282,24),"")</f>
        <v/>
      </c>
      <c r="I282" s="24">
        <f>IF(OR(AND(LEN(F282)&gt;0,ISNUMBER(F282)=FALSE),AND(LEN(G282)&gt;0,ISNUMBER(G282)=FALSE)),"Check date",IF(COUNT(F282,H282)=0,"",MIN(F282,H282)))</f>
        <v/>
      </c>
      <c r="J282" s="25">
        <f>IF(ISNUMBER(I282)=FALSE,"",IF(AND(ISNUMBER(H282),I282=H282),"24-month work rule","Registry expiry"))</f>
        <v/>
      </c>
      <c r="K282" s="26" t="n"/>
      <c r="L282" s="24">
        <f>IF(ISNUMBER(I282),I282-IF(ISNUMBER(K282),K282,30),"")</f>
        <v/>
      </c>
      <c r="M282" s="27">
        <f>IF(I282="","",IF(ISNUMBER(I282),I282-TODAY(),"Check date"))</f>
        <v/>
      </c>
      <c r="N282" s="28">
        <f>IF(M282="","",IF(ISNUMBER(M282),IF(M282&lt;0,"Expired",IF(M282&lt;=30,"Due ≤30 days",IF(M282&lt;=90,"Due ≤90 days","OK"))),"Check date"))</f>
        <v/>
      </c>
      <c r="O282" s="24">
        <f>IF(ISNUMBER(E282),EDATE(E282,12*(IFERROR(DATEDIF(E282,TODAY(),"y"),0)+1)),"")</f>
        <v/>
      </c>
      <c r="P282" s="26" t="n"/>
      <c r="Q282" s="26" t="n"/>
      <c r="R282" s="27">
        <f>IF(LEN(A282)=0,"",MAX(0,IF(ISNUMBER(Q282),Q282,12)-N(P282)))</f>
        <v/>
      </c>
      <c r="S282" s="23" t="n"/>
      <c r="T282" s="27">
        <f>IF(S282="","",IF(ISNUMBER(S282),S282-TODAY(),"Check date"))</f>
        <v/>
      </c>
      <c r="U282" s="22" t="n"/>
      <c r="V282" s="22" t="n"/>
      <c r="W282" s="22" t="n"/>
      <c r="X282" s="22" t="n"/>
    </row>
    <row r="283">
      <c r="A283" s="22" t="n"/>
      <c r="B283" s="22" t="n"/>
      <c r="C283" s="22" t="n"/>
      <c r="D283" s="22" t="n"/>
      <c r="E283" s="23" t="n"/>
      <c r="F283" s="23" t="n"/>
      <c r="G283" s="23" t="n"/>
      <c r="H283" s="24">
        <f>IF(ISNUMBER(G283),EDATE(G283,24),"")</f>
        <v/>
      </c>
      <c r="I283" s="24">
        <f>IF(OR(AND(LEN(F283)&gt;0,ISNUMBER(F283)=FALSE),AND(LEN(G283)&gt;0,ISNUMBER(G283)=FALSE)),"Check date",IF(COUNT(F283,H283)=0,"",MIN(F283,H283)))</f>
        <v/>
      </c>
      <c r="J283" s="25">
        <f>IF(ISNUMBER(I283)=FALSE,"",IF(AND(ISNUMBER(H283),I283=H283),"24-month work rule","Registry expiry"))</f>
        <v/>
      </c>
      <c r="K283" s="26" t="n"/>
      <c r="L283" s="24">
        <f>IF(ISNUMBER(I283),I283-IF(ISNUMBER(K283),K283,30),"")</f>
        <v/>
      </c>
      <c r="M283" s="27">
        <f>IF(I283="","",IF(ISNUMBER(I283),I283-TODAY(),"Check date"))</f>
        <v/>
      </c>
      <c r="N283" s="28">
        <f>IF(M283="","",IF(ISNUMBER(M283),IF(M283&lt;0,"Expired",IF(M283&lt;=30,"Due ≤30 days",IF(M283&lt;=90,"Due ≤90 days","OK"))),"Check date"))</f>
        <v/>
      </c>
      <c r="O283" s="24">
        <f>IF(ISNUMBER(E283),EDATE(E283,12*(IFERROR(DATEDIF(E283,TODAY(),"y"),0)+1)),"")</f>
        <v/>
      </c>
      <c r="P283" s="26" t="n"/>
      <c r="Q283" s="26" t="n"/>
      <c r="R283" s="27">
        <f>IF(LEN(A283)=0,"",MAX(0,IF(ISNUMBER(Q283),Q283,12)-N(P283)))</f>
        <v/>
      </c>
      <c r="S283" s="23" t="n"/>
      <c r="T283" s="27">
        <f>IF(S283="","",IF(ISNUMBER(S283),S283-TODAY(),"Check date"))</f>
        <v/>
      </c>
      <c r="U283" s="22" t="n"/>
      <c r="V283" s="22" t="n"/>
      <c r="W283" s="22" t="n"/>
      <c r="X283" s="22" t="n"/>
    </row>
    <row r="284">
      <c r="A284" s="22" t="n"/>
      <c r="B284" s="22" t="n"/>
      <c r="C284" s="22" t="n"/>
      <c r="D284" s="22" t="n"/>
      <c r="E284" s="23" t="n"/>
      <c r="F284" s="23" t="n"/>
      <c r="G284" s="23" t="n"/>
      <c r="H284" s="24">
        <f>IF(ISNUMBER(G284),EDATE(G284,24),"")</f>
        <v/>
      </c>
      <c r="I284" s="24">
        <f>IF(OR(AND(LEN(F284)&gt;0,ISNUMBER(F284)=FALSE),AND(LEN(G284)&gt;0,ISNUMBER(G284)=FALSE)),"Check date",IF(COUNT(F284,H284)=0,"",MIN(F284,H284)))</f>
        <v/>
      </c>
      <c r="J284" s="25">
        <f>IF(ISNUMBER(I284)=FALSE,"",IF(AND(ISNUMBER(H284),I284=H284),"24-month work rule","Registry expiry"))</f>
        <v/>
      </c>
      <c r="K284" s="26" t="n"/>
      <c r="L284" s="24">
        <f>IF(ISNUMBER(I284),I284-IF(ISNUMBER(K284),K284,30),"")</f>
        <v/>
      </c>
      <c r="M284" s="27">
        <f>IF(I284="","",IF(ISNUMBER(I284),I284-TODAY(),"Check date"))</f>
        <v/>
      </c>
      <c r="N284" s="28">
        <f>IF(M284="","",IF(ISNUMBER(M284),IF(M284&lt;0,"Expired",IF(M284&lt;=30,"Due ≤30 days",IF(M284&lt;=90,"Due ≤90 days","OK"))),"Check date"))</f>
        <v/>
      </c>
      <c r="O284" s="24">
        <f>IF(ISNUMBER(E284),EDATE(E284,12*(IFERROR(DATEDIF(E284,TODAY(),"y"),0)+1)),"")</f>
        <v/>
      </c>
      <c r="P284" s="26" t="n"/>
      <c r="Q284" s="26" t="n"/>
      <c r="R284" s="27">
        <f>IF(LEN(A284)=0,"",MAX(0,IF(ISNUMBER(Q284),Q284,12)-N(P284)))</f>
        <v/>
      </c>
      <c r="S284" s="23" t="n"/>
      <c r="T284" s="27">
        <f>IF(S284="","",IF(ISNUMBER(S284),S284-TODAY(),"Check date"))</f>
        <v/>
      </c>
      <c r="U284" s="22" t="n"/>
      <c r="V284" s="22" t="n"/>
      <c r="W284" s="22" t="n"/>
      <c r="X284" s="22" t="n"/>
    </row>
    <row r="285">
      <c r="A285" s="22" t="n"/>
      <c r="B285" s="22" t="n"/>
      <c r="C285" s="22" t="n"/>
      <c r="D285" s="22" t="n"/>
      <c r="E285" s="23" t="n"/>
      <c r="F285" s="23" t="n"/>
      <c r="G285" s="23" t="n"/>
      <c r="H285" s="24">
        <f>IF(ISNUMBER(G285),EDATE(G285,24),"")</f>
        <v/>
      </c>
      <c r="I285" s="24">
        <f>IF(OR(AND(LEN(F285)&gt;0,ISNUMBER(F285)=FALSE),AND(LEN(G285)&gt;0,ISNUMBER(G285)=FALSE)),"Check date",IF(COUNT(F285,H285)=0,"",MIN(F285,H285)))</f>
        <v/>
      </c>
      <c r="J285" s="25">
        <f>IF(ISNUMBER(I285)=FALSE,"",IF(AND(ISNUMBER(H285),I285=H285),"24-month work rule","Registry expiry"))</f>
        <v/>
      </c>
      <c r="K285" s="26" t="n"/>
      <c r="L285" s="24">
        <f>IF(ISNUMBER(I285),I285-IF(ISNUMBER(K285),K285,30),"")</f>
        <v/>
      </c>
      <c r="M285" s="27">
        <f>IF(I285="","",IF(ISNUMBER(I285),I285-TODAY(),"Check date"))</f>
        <v/>
      </c>
      <c r="N285" s="28">
        <f>IF(M285="","",IF(ISNUMBER(M285),IF(M285&lt;0,"Expired",IF(M285&lt;=30,"Due ≤30 days",IF(M285&lt;=90,"Due ≤90 days","OK"))),"Check date"))</f>
        <v/>
      </c>
      <c r="O285" s="24">
        <f>IF(ISNUMBER(E285),EDATE(E285,12*(IFERROR(DATEDIF(E285,TODAY(),"y"),0)+1)),"")</f>
        <v/>
      </c>
      <c r="P285" s="26" t="n"/>
      <c r="Q285" s="26" t="n"/>
      <c r="R285" s="27">
        <f>IF(LEN(A285)=0,"",MAX(0,IF(ISNUMBER(Q285),Q285,12)-N(P285)))</f>
        <v/>
      </c>
      <c r="S285" s="23" t="n"/>
      <c r="T285" s="27">
        <f>IF(S285="","",IF(ISNUMBER(S285),S285-TODAY(),"Check date"))</f>
        <v/>
      </c>
      <c r="U285" s="22" t="n"/>
      <c r="V285" s="22" t="n"/>
      <c r="W285" s="22" t="n"/>
      <c r="X285" s="22" t="n"/>
    </row>
    <row r="286">
      <c r="A286" s="22" t="n"/>
      <c r="B286" s="22" t="n"/>
      <c r="C286" s="22" t="n"/>
      <c r="D286" s="22" t="n"/>
      <c r="E286" s="23" t="n"/>
      <c r="F286" s="23" t="n"/>
      <c r="G286" s="23" t="n"/>
      <c r="H286" s="24">
        <f>IF(ISNUMBER(G286),EDATE(G286,24),"")</f>
        <v/>
      </c>
      <c r="I286" s="24">
        <f>IF(OR(AND(LEN(F286)&gt;0,ISNUMBER(F286)=FALSE),AND(LEN(G286)&gt;0,ISNUMBER(G286)=FALSE)),"Check date",IF(COUNT(F286,H286)=0,"",MIN(F286,H286)))</f>
        <v/>
      </c>
      <c r="J286" s="25">
        <f>IF(ISNUMBER(I286)=FALSE,"",IF(AND(ISNUMBER(H286),I286=H286),"24-month work rule","Registry expiry"))</f>
        <v/>
      </c>
      <c r="K286" s="26" t="n"/>
      <c r="L286" s="24">
        <f>IF(ISNUMBER(I286),I286-IF(ISNUMBER(K286),K286,30),"")</f>
        <v/>
      </c>
      <c r="M286" s="27">
        <f>IF(I286="","",IF(ISNUMBER(I286),I286-TODAY(),"Check date"))</f>
        <v/>
      </c>
      <c r="N286" s="28">
        <f>IF(M286="","",IF(ISNUMBER(M286),IF(M286&lt;0,"Expired",IF(M286&lt;=30,"Due ≤30 days",IF(M286&lt;=90,"Due ≤90 days","OK"))),"Check date"))</f>
        <v/>
      </c>
      <c r="O286" s="24">
        <f>IF(ISNUMBER(E286),EDATE(E286,12*(IFERROR(DATEDIF(E286,TODAY(),"y"),0)+1)),"")</f>
        <v/>
      </c>
      <c r="P286" s="26" t="n"/>
      <c r="Q286" s="26" t="n"/>
      <c r="R286" s="27">
        <f>IF(LEN(A286)=0,"",MAX(0,IF(ISNUMBER(Q286),Q286,12)-N(P286)))</f>
        <v/>
      </c>
      <c r="S286" s="23" t="n"/>
      <c r="T286" s="27">
        <f>IF(S286="","",IF(ISNUMBER(S286),S286-TODAY(),"Check date"))</f>
        <v/>
      </c>
      <c r="U286" s="22" t="n"/>
      <c r="V286" s="22" t="n"/>
      <c r="W286" s="22" t="n"/>
      <c r="X286" s="22" t="n"/>
    </row>
    <row r="287">
      <c r="A287" s="22" t="n"/>
      <c r="B287" s="22" t="n"/>
      <c r="C287" s="22" t="n"/>
      <c r="D287" s="22" t="n"/>
      <c r="E287" s="23" t="n"/>
      <c r="F287" s="23" t="n"/>
      <c r="G287" s="23" t="n"/>
      <c r="H287" s="24">
        <f>IF(ISNUMBER(G287),EDATE(G287,24),"")</f>
        <v/>
      </c>
      <c r="I287" s="24">
        <f>IF(OR(AND(LEN(F287)&gt;0,ISNUMBER(F287)=FALSE),AND(LEN(G287)&gt;0,ISNUMBER(G287)=FALSE)),"Check date",IF(COUNT(F287,H287)=0,"",MIN(F287,H287)))</f>
        <v/>
      </c>
      <c r="J287" s="25">
        <f>IF(ISNUMBER(I287)=FALSE,"",IF(AND(ISNUMBER(H287),I287=H287),"24-month work rule","Registry expiry"))</f>
        <v/>
      </c>
      <c r="K287" s="26" t="n"/>
      <c r="L287" s="24">
        <f>IF(ISNUMBER(I287),I287-IF(ISNUMBER(K287),K287,30),"")</f>
        <v/>
      </c>
      <c r="M287" s="27">
        <f>IF(I287="","",IF(ISNUMBER(I287),I287-TODAY(),"Check date"))</f>
        <v/>
      </c>
      <c r="N287" s="28">
        <f>IF(M287="","",IF(ISNUMBER(M287),IF(M287&lt;0,"Expired",IF(M287&lt;=30,"Due ≤30 days",IF(M287&lt;=90,"Due ≤90 days","OK"))),"Check date"))</f>
        <v/>
      </c>
      <c r="O287" s="24">
        <f>IF(ISNUMBER(E287),EDATE(E287,12*(IFERROR(DATEDIF(E287,TODAY(),"y"),0)+1)),"")</f>
        <v/>
      </c>
      <c r="P287" s="26" t="n"/>
      <c r="Q287" s="26" t="n"/>
      <c r="R287" s="27">
        <f>IF(LEN(A287)=0,"",MAX(0,IF(ISNUMBER(Q287),Q287,12)-N(P287)))</f>
        <v/>
      </c>
      <c r="S287" s="23" t="n"/>
      <c r="T287" s="27">
        <f>IF(S287="","",IF(ISNUMBER(S287),S287-TODAY(),"Check date"))</f>
        <v/>
      </c>
      <c r="U287" s="22" t="n"/>
      <c r="V287" s="22" t="n"/>
      <c r="W287" s="22" t="n"/>
      <c r="X287" s="22" t="n"/>
    </row>
    <row r="288">
      <c r="A288" s="22" t="n"/>
      <c r="B288" s="22" t="n"/>
      <c r="C288" s="22" t="n"/>
      <c r="D288" s="22" t="n"/>
      <c r="E288" s="23" t="n"/>
      <c r="F288" s="23" t="n"/>
      <c r="G288" s="23" t="n"/>
      <c r="H288" s="24">
        <f>IF(ISNUMBER(G288),EDATE(G288,24),"")</f>
        <v/>
      </c>
      <c r="I288" s="24">
        <f>IF(OR(AND(LEN(F288)&gt;0,ISNUMBER(F288)=FALSE),AND(LEN(G288)&gt;0,ISNUMBER(G288)=FALSE)),"Check date",IF(COUNT(F288,H288)=0,"",MIN(F288,H288)))</f>
        <v/>
      </c>
      <c r="J288" s="25">
        <f>IF(ISNUMBER(I288)=FALSE,"",IF(AND(ISNUMBER(H288),I288=H288),"24-month work rule","Registry expiry"))</f>
        <v/>
      </c>
      <c r="K288" s="26" t="n"/>
      <c r="L288" s="24">
        <f>IF(ISNUMBER(I288),I288-IF(ISNUMBER(K288),K288,30),"")</f>
        <v/>
      </c>
      <c r="M288" s="27">
        <f>IF(I288="","",IF(ISNUMBER(I288),I288-TODAY(),"Check date"))</f>
        <v/>
      </c>
      <c r="N288" s="28">
        <f>IF(M288="","",IF(ISNUMBER(M288),IF(M288&lt;0,"Expired",IF(M288&lt;=30,"Due ≤30 days",IF(M288&lt;=90,"Due ≤90 days","OK"))),"Check date"))</f>
        <v/>
      </c>
      <c r="O288" s="24">
        <f>IF(ISNUMBER(E288),EDATE(E288,12*(IFERROR(DATEDIF(E288,TODAY(),"y"),0)+1)),"")</f>
        <v/>
      </c>
      <c r="P288" s="26" t="n"/>
      <c r="Q288" s="26" t="n"/>
      <c r="R288" s="27">
        <f>IF(LEN(A288)=0,"",MAX(0,IF(ISNUMBER(Q288),Q288,12)-N(P288)))</f>
        <v/>
      </c>
      <c r="S288" s="23" t="n"/>
      <c r="T288" s="27">
        <f>IF(S288="","",IF(ISNUMBER(S288),S288-TODAY(),"Check date"))</f>
        <v/>
      </c>
      <c r="U288" s="22" t="n"/>
      <c r="V288" s="22" t="n"/>
      <c r="W288" s="22" t="n"/>
      <c r="X288" s="22" t="n"/>
    </row>
    <row r="289">
      <c r="A289" s="22" t="n"/>
      <c r="B289" s="22" t="n"/>
      <c r="C289" s="22" t="n"/>
      <c r="D289" s="22" t="n"/>
      <c r="E289" s="23" t="n"/>
      <c r="F289" s="23" t="n"/>
      <c r="G289" s="23" t="n"/>
      <c r="H289" s="24">
        <f>IF(ISNUMBER(G289),EDATE(G289,24),"")</f>
        <v/>
      </c>
      <c r="I289" s="24">
        <f>IF(OR(AND(LEN(F289)&gt;0,ISNUMBER(F289)=FALSE),AND(LEN(G289)&gt;0,ISNUMBER(G289)=FALSE)),"Check date",IF(COUNT(F289,H289)=0,"",MIN(F289,H289)))</f>
        <v/>
      </c>
      <c r="J289" s="25">
        <f>IF(ISNUMBER(I289)=FALSE,"",IF(AND(ISNUMBER(H289),I289=H289),"24-month work rule","Registry expiry"))</f>
        <v/>
      </c>
      <c r="K289" s="26" t="n"/>
      <c r="L289" s="24">
        <f>IF(ISNUMBER(I289),I289-IF(ISNUMBER(K289),K289,30),"")</f>
        <v/>
      </c>
      <c r="M289" s="27">
        <f>IF(I289="","",IF(ISNUMBER(I289),I289-TODAY(),"Check date"))</f>
        <v/>
      </c>
      <c r="N289" s="28">
        <f>IF(M289="","",IF(ISNUMBER(M289),IF(M289&lt;0,"Expired",IF(M289&lt;=30,"Due ≤30 days",IF(M289&lt;=90,"Due ≤90 days","OK"))),"Check date"))</f>
        <v/>
      </c>
      <c r="O289" s="24">
        <f>IF(ISNUMBER(E289),EDATE(E289,12*(IFERROR(DATEDIF(E289,TODAY(),"y"),0)+1)),"")</f>
        <v/>
      </c>
      <c r="P289" s="26" t="n"/>
      <c r="Q289" s="26" t="n"/>
      <c r="R289" s="27">
        <f>IF(LEN(A289)=0,"",MAX(0,IF(ISNUMBER(Q289),Q289,12)-N(P289)))</f>
        <v/>
      </c>
      <c r="S289" s="23" t="n"/>
      <c r="T289" s="27">
        <f>IF(S289="","",IF(ISNUMBER(S289),S289-TODAY(),"Check date"))</f>
        <v/>
      </c>
      <c r="U289" s="22" t="n"/>
      <c r="V289" s="22" t="n"/>
      <c r="W289" s="22" t="n"/>
      <c r="X289" s="22" t="n"/>
    </row>
    <row r="290">
      <c r="A290" s="22" t="n"/>
      <c r="B290" s="22" t="n"/>
      <c r="C290" s="22" t="n"/>
      <c r="D290" s="22" t="n"/>
      <c r="E290" s="23" t="n"/>
      <c r="F290" s="23" t="n"/>
      <c r="G290" s="23" t="n"/>
      <c r="H290" s="24">
        <f>IF(ISNUMBER(G290),EDATE(G290,24),"")</f>
        <v/>
      </c>
      <c r="I290" s="24">
        <f>IF(OR(AND(LEN(F290)&gt;0,ISNUMBER(F290)=FALSE),AND(LEN(G290)&gt;0,ISNUMBER(G290)=FALSE)),"Check date",IF(COUNT(F290,H290)=0,"",MIN(F290,H290)))</f>
        <v/>
      </c>
      <c r="J290" s="25">
        <f>IF(ISNUMBER(I290)=FALSE,"",IF(AND(ISNUMBER(H290),I290=H290),"24-month work rule","Registry expiry"))</f>
        <v/>
      </c>
      <c r="K290" s="26" t="n"/>
      <c r="L290" s="24">
        <f>IF(ISNUMBER(I290),I290-IF(ISNUMBER(K290),K290,30),"")</f>
        <v/>
      </c>
      <c r="M290" s="27">
        <f>IF(I290="","",IF(ISNUMBER(I290),I290-TODAY(),"Check date"))</f>
        <v/>
      </c>
      <c r="N290" s="28">
        <f>IF(M290="","",IF(ISNUMBER(M290),IF(M290&lt;0,"Expired",IF(M290&lt;=30,"Due ≤30 days",IF(M290&lt;=90,"Due ≤90 days","OK"))),"Check date"))</f>
        <v/>
      </c>
      <c r="O290" s="24">
        <f>IF(ISNUMBER(E290),EDATE(E290,12*(IFERROR(DATEDIF(E290,TODAY(),"y"),0)+1)),"")</f>
        <v/>
      </c>
      <c r="P290" s="26" t="n"/>
      <c r="Q290" s="26" t="n"/>
      <c r="R290" s="27">
        <f>IF(LEN(A290)=0,"",MAX(0,IF(ISNUMBER(Q290),Q290,12)-N(P290)))</f>
        <v/>
      </c>
      <c r="S290" s="23" t="n"/>
      <c r="T290" s="27">
        <f>IF(S290="","",IF(ISNUMBER(S290),S290-TODAY(),"Check date"))</f>
        <v/>
      </c>
      <c r="U290" s="22" t="n"/>
      <c r="V290" s="22" t="n"/>
      <c r="W290" s="22" t="n"/>
      <c r="X290" s="22" t="n"/>
    </row>
    <row r="291">
      <c r="A291" s="22" t="n"/>
      <c r="B291" s="22" t="n"/>
      <c r="C291" s="22" t="n"/>
      <c r="D291" s="22" t="n"/>
      <c r="E291" s="23" t="n"/>
      <c r="F291" s="23" t="n"/>
      <c r="G291" s="23" t="n"/>
      <c r="H291" s="24">
        <f>IF(ISNUMBER(G291),EDATE(G291,24),"")</f>
        <v/>
      </c>
      <c r="I291" s="24">
        <f>IF(OR(AND(LEN(F291)&gt;0,ISNUMBER(F291)=FALSE),AND(LEN(G291)&gt;0,ISNUMBER(G291)=FALSE)),"Check date",IF(COUNT(F291,H291)=0,"",MIN(F291,H291)))</f>
        <v/>
      </c>
      <c r="J291" s="25">
        <f>IF(ISNUMBER(I291)=FALSE,"",IF(AND(ISNUMBER(H291),I291=H291),"24-month work rule","Registry expiry"))</f>
        <v/>
      </c>
      <c r="K291" s="26" t="n"/>
      <c r="L291" s="24">
        <f>IF(ISNUMBER(I291),I291-IF(ISNUMBER(K291),K291,30),"")</f>
        <v/>
      </c>
      <c r="M291" s="27">
        <f>IF(I291="","",IF(ISNUMBER(I291),I291-TODAY(),"Check date"))</f>
        <v/>
      </c>
      <c r="N291" s="28">
        <f>IF(M291="","",IF(ISNUMBER(M291),IF(M291&lt;0,"Expired",IF(M291&lt;=30,"Due ≤30 days",IF(M291&lt;=90,"Due ≤90 days","OK"))),"Check date"))</f>
        <v/>
      </c>
      <c r="O291" s="24">
        <f>IF(ISNUMBER(E291),EDATE(E291,12*(IFERROR(DATEDIF(E291,TODAY(),"y"),0)+1)),"")</f>
        <v/>
      </c>
      <c r="P291" s="26" t="n"/>
      <c r="Q291" s="26" t="n"/>
      <c r="R291" s="27">
        <f>IF(LEN(A291)=0,"",MAX(0,IF(ISNUMBER(Q291),Q291,12)-N(P291)))</f>
        <v/>
      </c>
      <c r="S291" s="23" t="n"/>
      <c r="T291" s="27">
        <f>IF(S291="","",IF(ISNUMBER(S291),S291-TODAY(),"Check date"))</f>
        <v/>
      </c>
      <c r="U291" s="22" t="n"/>
      <c r="V291" s="22" t="n"/>
      <c r="W291" s="22" t="n"/>
      <c r="X291" s="22" t="n"/>
    </row>
    <row r="292">
      <c r="A292" s="22" t="n"/>
      <c r="B292" s="22" t="n"/>
      <c r="C292" s="22" t="n"/>
      <c r="D292" s="22" t="n"/>
      <c r="E292" s="23" t="n"/>
      <c r="F292" s="23" t="n"/>
      <c r="G292" s="23" t="n"/>
      <c r="H292" s="24">
        <f>IF(ISNUMBER(G292),EDATE(G292,24),"")</f>
        <v/>
      </c>
      <c r="I292" s="24">
        <f>IF(OR(AND(LEN(F292)&gt;0,ISNUMBER(F292)=FALSE),AND(LEN(G292)&gt;0,ISNUMBER(G292)=FALSE)),"Check date",IF(COUNT(F292,H292)=0,"",MIN(F292,H292)))</f>
        <v/>
      </c>
      <c r="J292" s="25">
        <f>IF(ISNUMBER(I292)=FALSE,"",IF(AND(ISNUMBER(H292),I292=H292),"24-month work rule","Registry expiry"))</f>
        <v/>
      </c>
      <c r="K292" s="26" t="n"/>
      <c r="L292" s="24">
        <f>IF(ISNUMBER(I292),I292-IF(ISNUMBER(K292),K292,30),"")</f>
        <v/>
      </c>
      <c r="M292" s="27">
        <f>IF(I292="","",IF(ISNUMBER(I292),I292-TODAY(),"Check date"))</f>
        <v/>
      </c>
      <c r="N292" s="28">
        <f>IF(M292="","",IF(ISNUMBER(M292),IF(M292&lt;0,"Expired",IF(M292&lt;=30,"Due ≤30 days",IF(M292&lt;=90,"Due ≤90 days","OK"))),"Check date"))</f>
        <v/>
      </c>
      <c r="O292" s="24">
        <f>IF(ISNUMBER(E292),EDATE(E292,12*(IFERROR(DATEDIF(E292,TODAY(),"y"),0)+1)),"")</f>
        <v/>
      </c>
      <c r="P292" s="26" t="n"/>
      <c r="Q292" s="26" t="n"/>
      <c r="R292" s="27">
        <f>IF(LEN(A292)=0,"",MAX(0,IF(ISNUMBER(Q292),Q292,12)-N(P292)))</f>
        <v/>
      </c>
      <c r="S292" s="23" t="n"/>
      <c r="T292" s="27">
        <f>IF(S292="","",IF(ISNUMBER(S292),S292-TODAY(),"Check date"))</f>
        <v/>
      </c>
      <c r="U292" s="22" t="n"/>
      <c r="V292" s="22" t="n"/>
      <c r="W292" s="22" t="n"/>
      <c r="X292" s="22" t="n"/>
    </row>
    <row r="293">
      <c r="A293" s="22" t="n"/>
      <c r="B293" s="22" t="n"/>
      <c r="C293" s="22" t="n"/>
      <c r="D293" s="22" t="n"/>
      <c r="E293" s="23" t="n"/>
      <c r="F293" s="23" t="n"/>
      <c r="G293" s="23" t="n"/>
      <c r="H293" s="24">
        <f>IF(ISNUMBER(G293),EDATE(G293,24),"")</f>
        <v/>
      </c>
      <c r="I293" s="24">
        <f>IF(OR(AND(LEN(F293)&gt;0,ISNUMBER(F293)=FALSE),AND(LEN(G293)&gt;0,ISNUMBER(G293)=FALSE)),"Check date",IF(COUNT(F293,H293)=0,"",MIN(F293,H293)))</f>
        <v/>
      </c>
      <c r="J293" s="25">
        <f>IF(ISNUMBER(I293)=FALSE,"",IF(AND(ISNUMBER(H293),I293=H293),"24-month work rule","Registry expiry"))</f>
        <v/>
      </c>
      <c r="K293" s="26" t="n"/>
      <c r="L293" s="24">
        <f>IF(ISNUMBER(I293),I293-IF(ISNUMBER(K293),K293,30),"")</f>
        <v/>
      </c>
      <c r="M293" s="27">
        <f>IF(I293="","",IF(ISNUMBER(I293),I293-TODAY(),"Check date"))</f>
        <v/>
      </c>
      <c r="N293" s="28">
        <f>IF(M293="","",IF(ISNUMBER(M293),IF(M293&lt;0,"Expired",IF(M293&lt;=30,"Due ≤30 days",IF(M293&lt;=90,"Due ≤90 days","OK"))),"Check date"))</f>
        <v/>
      </c>
      <c r="O293" s="24">
        <f>IF(ISNUMBER(E293),EDATE(E293,12*(IFERROR(DATEDIF(E293,TODAY(),"y"),0)+1)),"")</f>
        <v/>
      </c>
      <c r="P293" s="26" t="n"/>
      <c r="Q293" s="26" t="n"/>
      <c r="R293" s="27">
        <f>IF(LEN(A293)=0,"",MAX(0,IF(ISNUMBER(Q293),Q293,12)-N(P293)))</f>
        <v/>
      </c>
      <c r="S293" s="23" t="n"/>
      <c r="T293" s="27">
        <f>IF(S293="","",IF(ISNUMBER(S293),S293-TODAY(),"Check date"))</f>
        <v/>
      </c>
      <c r="U293" s="22" t="n"/>
      <c r="V293" s="22" t="n"/>
      <c r="W293" s="22" t="n"/>
      <c r="X293" s="22" t="n"/>
    </row>
    <row r="294">
      <c r="A294" s="22" t="n"/>
      <c r="B294" s="22" t="n"/>
      <c r="C294" s="22" t="n"/>
      <c r="D294" s="22" t="n"/>
      <c r="E294" s="23" t="n"/>
      <c r="F294" s="23" t="n"/>
      <c r="G294" s="23" t="n"/>
      <c r="H294" s="24">
        <f>IF(ISNUMBER(G294),EDATE(G294,24),"")</f>
        <v/>
      </c>
      <c r="I294" s="24">
        <f>IF(OR(AND(LEN(F294)&gt;0,ISNUMBER(F294)=FALSE),AND(LEN(G294)&gt;0,ISNUMBER(G294)=FALSE)),"Check date",IF(COUNT(F294,H294)=0,"",MIN(F294,H294)))</f>
        <v/>
      </c>
      <c r="J294" s="25">
        <f>IF(ISNUMBER(I294)=FALSE,"",IF(AND(ISNUMBER(H294),I294=H294),"24-month work rule","Registry expiry"))</f>
        <v/>
      </c>
      <c r="K294" s="26" t="n"/>
      <c r="L294" s="24">
        <f>IF(ISNUMBER(I294),I294-IF(ISNUMBER(K294),K294,30),"")</f>
        <v/>
      </c>
      <c r="M294" s="27">
        <f>IF(I294="","",IF(ISNUMBER(I294),I294-TODAY(),"Check date"))</f>
        <v/>
      </c>
      <c r="N294" s="28">
        <f>IF(M294="","",IF(ISNUMBER(M294),IF(M294&lt;0,"Expired",IF(M294&lt;=30,"Due ≤30 days",IF(M294&lt;=90,"Due ≤90 days","OK"))),"Check date"))</f>
        <v/>
      </c>
      <c r="O294" s="24">
        <f>IF(ISNUMBER(E294),EDATE(E294,12*(IFERROR(DATEDIF(E294,TODAY(),"y"),0)+1)),"")</f>
        <v/>
      </c>
      <c r="P294" s="26" t="n"/>
      <c r="Q294" s="26" t="n"/>
      <c r="R294" s="27">
        <f>IF(LEN(A294)=0,"",MAX(0,IF(ISNUMBER(Q294),Q294,12)-N(P294)))</f>
        <v/>
      </c>
      <c r="S294" s="23" t="n"/>
      <c r="T294" s="27">
        <f>IF(S294="","",IF(ISNUMBER(S294),S294-TODAY(),"Check date"))</f>
        <v/>
      </c>
      <c r="U294" s="22" t="n"/>
      <c r="V294" s="22" t="n"/>
      <c r="W294" s="22" t="n"/>
      <c r="X294" s="22" t="n"/>
    </row>
    <row r="295">
      <c r="A295" s="22" t="n"/>
      <c r="B295" s="22" t="n"/>
      <c r="C295" s="22" t="n"/>
      <c r="D295" s="22" t="n"/>
      <c r="E295" s="23" t="n"/>
      <c r="F295" s="23" t="n"/>
      <c r="G295" s="23" t="n"/>
      <c r="H295" s="24">
        <f>IF(ISNUMBER(G295),EDATE(G295,24),"")</f>
        <v/>
      </c>
      <c r="I295" s="24">
        <f>IF(OR(AND(LEN(F295)&gt;0,ISNUMBER(F295)=FALSE),AND(LEN(G295)&gt;0,ISNUMBER(G295)=FALSE)),"Check date",IF(COUNT(F295,H295)=0,"",MIN(F295,H295)))</f>
        <v/>
      </c>
      <c r="J295" s="25">
        <f>IF(ISNUMBER(I295)=FALSE,"",IF(AND(ISNUMBER(H295),I295=H295),"24-month work rule","Registry expiry"))</f>
        <v/>
      </c>
      <c r="K295" s="26" t="n"/>
      <c r="L295" s="24">
        <f>IF(ISNUMBER(I295),I295-IF(ISNUMBER(K295),K295,30),"")</f>
        <v/>
      </c>
      <c r="M295" s="27">
        <f>IF(I295="","",IF(ISNUMBER(I295),I295-TODAY(),"Check date"))</f>
        <v/>
      </c>
      <c r="N295" s="28">
        <f>IF(M295="","",IF(ISNUMBER(M295),IF(M295&lt;0,"Expired",IF(M295&lt;=30,"Due ≤30 days",IF(M295&lt;=90,"Due ≤90 days","OK"))),"Check date"))</f>
        <v/>
      </c>
      <c r="O295" s="24">
        <f>IF(ISNUMBER(E295),EDATE(E295,12*(IFERROR(DATEDIF(E295,TODAY(),"y"),0)+1)),"")</f>
        <v/>
      </c>
      <c r="P295" s="26" t="n"/>
      <c r="Q295" s="26" t="n"/>
      <c r="R295" s="27">
        <f>IF(LEN(A295)=0,"",MAX(0,IF(ISNUMBER(Q295),Q295,12)-N(P295)))</f>
        <v/>
      </c>
      <c r="S295" s="23" t="n"/>
      <c r="T295" s="27">
        <f>IF(S295="","",IF(ISNUMBER(S295),S295-TODAY(),"Check date"))</f>
        <v/>
      </c>
      <c r="U295" s="22" t="n"/>
      <c r="V295" s="22" t="n"/>
      <c r="W295" s="22" t="n"/>
      <c r="X295" s="22" t="n"/>
    </row>
    <row r="296">
      <c r="A296" s="22" t="n"/>
      <c r="B296" s="22" t="n"/>
      <c r="C296" s="22" t="n"/>
      <c r="D296" s="22" t="n"/>
      <c r="E296" s="23" t="n"/>
      <c r="F296" s="23" t="n"/>
      <c r="G296" s="23" t="n"/>
      <c r="H296" s="24">
        <f>IF(ISNUMBER(G296),EDATE(G296,24),"")</f>
        <v/>
      </c>
      <c r="I296" s="24">
        <f>IF(OR(AND(LEN(F296)&gt;0,ISNUMBER(F296)=FALSE),AND(LEN(G296)&gt;0,ISNUMBER(G296)=FALSE)),"Check date",IF(COUNT(F296,H296)=0,"",MIN(F296,H296)))</f>
        <v/>
      </c>
      <c r="J296" s="25">
        <f>IF(ISNUMBER(I296)=FALSE,"",IF(AND(ISNUMBER(H296),I296=H296),"24-month work rule","Registry expiry"))</f>
        <v/>
      </c>
      <c r="K296" s="26" t="n"/>
      <c r="L296" s="24">
        <f>IF(ISNUMBER(I296),I296-IF(ISNUMBER(K296),K296,30),"")</f>
        <v/>
      </c>
      <c r="M296" s="27">
        <f>IF(I296="","",IF(ISNUMBER(I296),I296-TODAY(),"Check date"))</f>
        <v/>
      </c>
      <c r="N296" s="28">
        <f>IF(M296="","",IF(ISNUMBER(M296),IF(M296&lt;0,"Expired",IF(M296&lt;=30,"Due ≤30 days",IF(M296&lt;=90,"Due ≤90 days","OK"))),"Check date"))</f>
        <v/>
      </c>
      <c r="O296" s="24">
        <f>IF(ISNUMBER(E296),EDATE(E296,12*(IFERROR(DATEDIF(E296,TODAY(),"y"),0)+1)),"")</f>
        <v/>
      </c>
      <c r="P296" s="26" t="n"/>
      <c r="Q296" s="26" t="n"/>
      <c r="R296" s="27">
        <f>IF(LEN(A296)=0,"",MAX(0,IF(ISNUMBER(Q296),Q296,12)-N(P296)))</f>
        <v/>
      </c>
      <c r="S296" s="23" t="n"/>
      <c r="T296" s="27">
        <f>IF(S296="","",IF(ISNUMBER(S296),S296-TODAY(),"Check date"))</f>
        <v/>
      </c>
      <c r="U296" s="22" t="n"/>
      <c r="V296" s="22" t="n"/>
      <c r="W296" s="22" t="n"/>
      <c r="X296" s="22" t="n"/>
    </row>
    <row r="297">
      <c r="A297" s="22" t="n"/>
      <c r="B297" s="22" t="n"/>
      <c r="C297" s="22" t="n"/>
      <c r="D297" s="22" t="n"/>
      <c r="E297" s="23" t="n"/>
      <c r="F297" s="23" t="n"/>
      <c r="G297" s="23" t="n"/>
      <c r="H297" s="24">
        <f>IF(ISNUMBER(G297),EDATE(G297,24),"")</f>
        <v/>
      </c>
      <c r="I297" s="24">
        <f>IF(OR(AND(LEN(F297)&gt;0,ISNUMBER(F297)=FALSE),AND(LEN(G297)&gt;0,ISNUMBER(G297)=FALSE)),"Check date",IF(COUNT(F297,H297)=0,"",MIN(F297,H297)))</f>
        <v/>
      </c>
      <c r="J297" s="25">
        <f>IF(ISNUMBER(I297)=FALSE,"",IF(AND(ISNUMBER(H297),I297=H297),"24-month work rule","Registry expiry"))</f>
        <v/>
      </c>
      <c r="K297" s="26" t="n"/>
      <c r="L297" s="24">
        <f>IF(ISNUMBER(I297),I297-IF(ISNUMBER(K297),K297,30),"")</f>
        <v/>
      </c>
      <c r="M297" s="27">
        <f>IF(I297="","",IF(ISNUMBER(I297),I297-TODAY(),"Check date"))</f>
        <v/>
      </c>
      <c r="N297" s="28">
        <f>IF(M297="","",IF(ISNUMBER(M297),IF(M297&lt;0,"Expired",IF(M297&lt;=30,"Due ≤30 days",IF(M297&lt;=90,"Due ≤90 days","OK"))),"Check date"))</f>
        <v/>
      </c>
      <c r="O297" s="24">
        <f>IF(ISNUMBER(E297),EDATE(E297,12*(IFERROR(DATEDIF(E297,TODAY(),"y"),0)+1)),"")</f>
        <v/>
      </c>
      <c r="P297" s="26" t="n"/>
      <c r="Q297" s="26" t="n"/>
      <c r="R297" s="27">
        <f>IF(LEN(A297)=0,"",MAX(0,IF(ISNUMBER(Q297),Q297,12)-N(P297)))</f>
        <v/>
      </c>
      <c r="S297" s="23" t="n"/>
      <c r="T297" s="27">
        <f>IF(S297="","",IF(ISNUMBER(S297),S297-TODAY(),"Check date"))</f>
        <v/>
      </c>
      <c r="U297" s="22" t="n"/>
      <c r="V297" s="22" t="n"/>
      <c r="W297" s="22" t="n"/>
      <c r="X297" s="22" t="n"/>
    </row>
    <row r="298">
      <c r="A298" s="22" t="n"/>
      <c r="B298" s="22" t="n"/>
      <c r="C298" s="22" t="n"/>
      <c r="D298" s="22" t="n"/>
      <c r="E298" s="23" t="n"/>
      <c r="F298" s="23" t="n"/>
      <c r="G298" s="23" t="n"/>
      <c r="H298" s="24">
        <f>IF(ISNUMBER(G298),EDATE(G298,24),"")</f>
        <v/>
      </c>
      <c r="I298" s="24">
        <f>IF(OR(AND(LEN(F298)&gt;0,ISNUMBER(F298)=FALSE),AND(LEN(G298)&gt;0,ISNUMBER(G298)=FALSE)),"Check date",IF(COUNT(F298,H298)=0,"",MIN(F298,H298)))</f>
        <v/>
      </c>
      <c r="J298" s="25">
        <f>IF(ISNUMBER(I298)=FALSE,"",IF(AND(ISNUMBER(H298),I298=H298),"24-month work rule","Registry expiry"))</f>
        <v/>
      </c>
      <c r="K298" s="26" t="n"/>
      <c r="L298" s="24">
        <f>IF(ISNUMBER(I298),I298-IF(ISNUMBER(K298),K298,30),"")</f>
        <v/>
      </c>
      <c r="M298" s="27">
        <f>IF(I298="","",IF(ISNUMBER(I298),I298-TODAY(),"Check date"))</f>
        <v/>
      </c>
      <c r="N298" s="28">
        <f>IF(M298="","",IF(ISNUMBER(M298),IF(M298&lt;0,"Expired",IF(M298&lt;=30,"Due ≤30 days",IF(M298&lt;=90,"Due ≤90 days","OK"))),"Check date"))</f>
        <v/>
      </c>
      <c r="O298" s="24">
        <f>IF(ISNUMBER(E298),EDATE(E298,12*(IFERROR(DATEDIF(E298,TODAY(),"y"),0)+1)),"")</f>
        <v/>
      </c>
      <c r="P298" s="26" t="n"/>
      <c r="Q298" s="26" t="n"/>
      <c r="R298" s="27">
        <f>IF(LEN(A298)=0,"",MAX(0,IF(ISNUMBER(Q298),Q298,12)-N(P298)))</f>
        <v/>
      </c>
      <c r="S298" s="23" t="n"/>
      <c r="T298" s="27">
        <f>IF(S298="","",IF(ISNUMBER(S298),S298-TODAY(),"Check date"))</f>
        <v/>
      </c>
      <c r="U298" s="22" t="n"/>
      <c r="V298" s="22" t="n"/>
      <c r="W298" s="22" t="n"/>
      <c r="X298" s="22" t="n"/>
    </row>
    <row r="299">
      <c r="A299" s="22" t="n"/>
      <c r="B299" s="22" t="n"/>
      <c r="C299" s="22" t="n"/>
      <c r="D299" s="22" t="n"/>
      <c r="E299" s="23" t="n"/>
      <c r="F299" s="23" t="n"/>
      <c r="G299" s="23" t="n"/>
      <c r="H299" s="24">
        <f>IF(ISNUMBER(G299),EDATE(G299,24),"")</f>
        <v/>
      </c>
      <c r="I299" s="24">
        <f>IF(OR(AND(LEN(F299)&gt;0,ISNUMBER(F299)=FALSE),AND(LEN(G299)&gt;0,ISNUMBER(G299)=FALSE)),"Check date",IF(COUNT(F299,H299)=0,"",MIN(F299,H299)))</f>
        <v/>
      </c>
      <c r="J299" s="25">
        <f>IF(ISNUMBER(I299)=FALSE,"",IF(AND(ISNUMBER(H299),I299=H299),"24-month work rule","Registry expiry"))</f>
        <v/>
      </c>
      <c r="K299" s="26" t="n"/>
      <c r="L299" s="24">
        <f>IF(ISNUMBER(I299),I299-IF(ISNUMBER(K299),K299,30),"")</f>
        <v/>
      </c>
      <c r="M299" s="27">
        <f>IF(I299="","",IF(ISNUMBER(I299),I299-TODAY(),"Check date"))</f>
        <v/>
      </c>
      <c r="N299" s="28">
        <f>IF(M299="","",IF(ISNUMBER(M299),IF(M299&lt;0,"Expired",IF(M299&lt;=30,"Due ≤30 days",IF(M299&lt;=90,"Due ≤90 days","OK"))),"Check date"))</f>
        <v/>
      </c>
      <c r="O299" s="24">
        <f>IF(ISNUMBER(E299),EDATE(E299,12*(IFERROR(DATEDIF(E299,TODAY(),"y"),0)+1)),"")</f>
        <v/>
      </c>
      <c r="P299" s="26" t="n"/>
      <c r="Q299" s="26" t="n"/>
      <c r="R299" s="27">
        <f>IF(LEN(A299)=0,"",MAX(0,IF(ISNUMBER(Q299),Q299,12)-N(P299)))</f>
        <v/>
      </c>
      <c r="S299" s="23" t="n"/>
      <c r="T299" s="27">
        <f>IF(S299="","",IF(ISNUMBER(S299),S299-TODAY(),"Check date"))</f>
        <v/>
      </c>
      <c r="U299" s="22" t="n"/>
      <c r="V299" s="22" t="n"/>
      <c r="W299" s="22" t="n"/>
      <c r="X299" s="22" t="n"/>
    </row>
    <row r="300">
      <c r="A300" s="22" t="n"/>
      <c r="B300" s="22" t="n"/>
      <c r="C300" s="22" t="n"/>
      <c r="D300" s="22" t="n"/>
      <c r="E300" s="23" t="n"/>
      <c r="F300" s="23" t="n"/>
      <c r="G300" s="23" t="n"/>
      <c r="H300" s="24">
        <f>IF(ISNUMBER(G300),EDATE(G300,24),"")</f>
        <v/>
      </c>
      <c r="I300" s="24">
        <f>IF(OR(AND(LEN(F300)&gt;0,ISNUMBER(F300)=FALSE),AND(LEN(G300)&gt;0,ISNUMBER(G300)=FALSE)),"Check date",IF(COUNT(F300,H300)=0,"",MIN(F300,H300)))</f>
        <v/>
      </c>
      <c r="J300" s="25">
        <f>IF(ISNUMBER(I300)=FALSE,"",IF(AND(ISNUMBER(H300),I300=H300),"24-month work rule","Registry expiry"))</f>
        <v/>
      </c>
      <c r="K300" s="26" t="n"/>
      <c r="L300" s="24">
        <f>IF(ISNUMBER(I300),I300-IF(ISNUMBER(K300),K300,30),"")</f>
        <v/>
      </c>
      <c r="M300" s="27">
        <f>IF(I300="","",IF(ISNUMBER(I300),I300-TODAY(),"Check date"))</f>
        <v/>
      </c>
      <c r="N300" s="28">
        <f>IF(M300="","",IF(ISNUMBER(M300),IF(M300&lt;0,"Expired",IF(M300&lt;=30,"Due ≤30 days",IF(M300&lt;=90,"Due ≤90 days","OK"))),"Check date"))</f>
        <v/>
      </c>
      <c r="O300" s="24">
        <f>IF(ISNUMBER(E300),EDATE(E300,12*(IFERROR(DATEDIF(E300,TODAY(),"y"),0)+1)),"")</f>
        <v/>
      </c>
      <c r="P300" s="26" t="n"/>
      <c r="Q300" s="26" t="n"/>
      <c r="R300" s="27">
        <f>IF(LEN(A300)=0,"",MAX(0,IF(ISNUMBER(Q300),Q300,12)-N(P300)))</f>
        <v/>
      </c>
      <c r="S300" s="23" t="n"/>
      <c r="T300" s="27">
        <f>IF(S300="","",IF(ISNUMBER(S300),S300-TODAY(),"Check date"))</f>
        <v/>
      </c>
      <c r="U300" s="22" t="n"/>
      <c r="V300" s="22" t="n"/>
      <c r="W300" s="22" t="n"/>
      <c r="X300" s="22" t="n"/>
    </row>
    <row r="301">
      <c r="A301" s="22" t="n"/>
      <c r="B301" s="22" t="n"/>
      <c r="C301" s="22" t="n"/>
      <c r="D301" s="22" t="n"/>
      <c r="E301" s="23" t="n"/>
      <c r="F301" s="23" t="n"/>
      <c r="G301" s="23" t="n"/>
      <c r="H301" s="24">
        <f>IF(ISNUMBER(G301),EDATE(G301,24),"")</f>
        <v/>
      </c>
      <c r="I301" s="24">
        <f>IF(OR(AND(LEN(F301)&gt;0,ISNUMBER(F301)=FALSE),AND(LEN(G301)&gt;0,ISNUMBER(G301)=FALSE)),"Check date",IF(COUNT(F301,H301)=0,"",MIN(F301,H301)))</f>
        <v/>
      </c>
      <c r="J301" s="25">
        <f>IF(ISNUMBER(I301)=FALSE,"",IF(AND(ISNUMBER(H301),I301=H301),"24-month work rule","Registry expiry"))</f>
        <v/>
      </c>
      <c r="K301" s="26" t="n"/>
      <c r="L301" s="24">
        <f>IF(ISNUMBER(I301),I301-IF(ISNUMBER(K301),K301,30),"")</f>
        <v/>
      </c>
      <c r="M301" s="27">
        <f>IF(I301="","",IF(ISNUMBER(I301),I301-TODAY(),"Check date"))</f>
        <v/>
      </c>
      <c r="N301" s="28">
        <f>IF(M301="","",IF(ISNUMBER(M301),IF(M301&lt;0,"Expired",IF(M301&lt;=30,"Due ≤30 days",IF(M301&lt;=90,"Due ≤90 days","OK"))),"Check date"))</f>
        <v/>
      </c>
      <c r="O301" s="24">
        <f>IF(ISNUMBER(E301),EDATE(E301,12*(IFERROR(DATEDIF(E301,TODAY(),"y"),0)+1)),"")</f>
        <v/>
      </c>
      <c r="P301" s="26" t="n"/>
      <c r="Q301" s="26" t="n"/>
      <c r="R301" s="27">
        <f>IF(LEN(A301)=0,"",MAX(0,IF(ISNUMBER(Q301),Q301,12)-N(P301)))</f>
        <v/>
      </c>
      <c r="S301" s="23" t="n"/>
      <c r="T301" s="27">
        <f>IF(S301="","",IF(ISNUMBER(S301),S301-TODAY(),"Check date"))</f>
        <v/>
      </c>
      <c r="U301" s="22" t="n"/>
      <c r="V301" s="22" t="n"/>
      <c r="W301" s="22" t="n"/>
      <c r="X301" s="22" t="n"/>
    </row>
    <row r="302">
      <c r="A302" s="22" t="n"/>
      <c r="B302" s="22" t="n"/>
      <c r="C302" s="22" t="n"/>
      <c r="D302" s="22" t="n"/>
      <c r="E302" s="23" t="n"/>
      <c r="F302" s="23" t="n"/>
      <c r="G302" s="23" t="n"/>
      <c r="H302" s="24">
        <f>IF(ISNUMBER(G302),EDATE(G302,24),"")</f>
        <v/>
      </c>
      <c r="I302" s="24">
        <f>IF(OR(AND(LEN(F302)&gt;0,ISNUMBER(F302)=FALSE),AND(LEN(G302)&gt;0,ISNUMBER(G302)=FALSE)),"Check date",IF(COUNT(F302,H302)=0,"",MIN(F302,H302)))</f>
        <v/>
      </c>
      <c r="J302" s="25">
        <f>IF(ISNUMBER(I302)=FALSE,"",IF(AND(ISNUMBER(H302),I302=H302),"24-month work rule","Registry expiry"))</f>
        <v/>
      </c>
      <c r="K302" s="26" t="n"/>
      <c r="L302" s="24">
        <f>IF(ISNUMBER(I302),I302-IF(ISNUMBER(K302),K302,30),"")</f>
        <v/>
      </c>
      <c r="M302" s="27">
        <f>IF(I302="","",IF(ISNUMBER(I302),I302-TODAY(),"Check date"))</f>
        <v/>
      </c>
      <c r="N302" s="28">
        <f>IF(M302="","",IF(ISNUMBER(M302),IF(M302&lt;0,"Expired",IF(M302&lt;=30,"Due ≤30 days",IF(M302&lt;=90,"Due ≤90 days","OK"))),"Check date"))</f>
        <v/>
      </c>
      <c r="O302" s="24">
        <f>IF(ISNUMBER(E302),EDATE(E302,12*(IFERROR(DATEDIF(E302,TODAY(),"y"),0)+1)),"")</f>
        <v/>
      </c>
      <c r="P302" s="26" t="n"/>
      <c r="Q302" s="26" t="n"/>
      <c r="R302" s="27">
        <f>IF(LEN(A302)=0,"",MAX(0,IF(ISNUMBER(Q302),Q302,12)-N(P302)))</f>
        <v/>
      </c>
      <c r="S302" s="23" t="n"/>
      <c r="T302" s="27">
        <f>IF(S302="","",IF(ISNUMBER(S302),S302-TODAY(),"Check date"))</f>
        <v/>
      </c>
      <c r="U302" s="22" t="n"/>
      <c r="V302" s="22" t="n"/>
      <c r="W302" s="22" t="n"/>
      <c r="X302" s="22" t="n"/>
    </row>
    <row r="303">
      <c r="A303" s="22" t="n"/>
      <c r="B303" s="22" t="n"/>
      <c r="C303" s="22" t="n"/>
      <c r="D303" s="22" t="n"/>
      <c r="E303" s="23" t="n"/>
      <c r="F303" s="23" t="n"/>
      <c r="G303" s="23" t="n"/>
      <c r="H303" s="24">
        <f>IF(ISNUMBER(G303),EDATE(G303,24),"")</f>
        <v/>
      </c>
      <c r="I303" s="24">
        <f>IF(OR(AND(LEN(F303)&gt;0,ISNUMBER(F303)=FALSE),AND(LEN(G303)&gt;0,ISNUMBER(G303)=FALSE)),"Check date",IF(COUNT(F303,H303)=0,"",MIN(F303,H303)))</f>
        <v/>
      </c>
      <c r="J303" s="25">
        <f>IF(ISNUMBER(I303)=FALSE,"",IF(AND(ISNUMBER(H303),I303=H303),"24-month work rule","Registry expiry"))</f>
        <v/>
      </c>
      <c r="K303" s="26" t="n"/>
      <c r="L303" s="24">
        <f>IF(ISNUMBER(I303),I303-IF(ISNUMBER(K303),K303,30),"")</f>
        <v/>
      </c>
      <c r="M303" s="27">
        <f>IF(I303="","",IF(ISNUMBER(I303),I303-TODAY(),"Check date"))</f>
        <v/>
      </c>
      <c r="N303" s="28">
        <f>IF(M303="","",IF(ISNUMBER(M303),IF(M303&lt;0,"Expired",IF(M303&lt;=30,"Due ≤30 days",IF(M303&lt;=90,"Due ≤90 days","OK"))),"Check date"))</f>
        <v/>
      </c>
      <c r="O303" s="24">
        <f>IF(ISNUMBER(E303),EDATE(E303,12*(IFERROR(DATEDIF(E303,TODAY(),"y"),0)+1)),"")</f>
        <v/>
      </c>
      <c r="P303" s="26" t="n"/>
      <c r="Q303" s="26" t="n"/>
      <c r="R303" s="27">
        <f>IF(LEN(A303)=0,"",MAX(0,IF(ISNUMBER(Q303),Q303,12)-N(P303)))</f>
        <v/>
      </c>
      <c r="S303" s="23" t="n"/>
      <c r="T303" s="27">
        <f>IF(S303="","",IF(ISNUMBER(S303),S303-TODAY(),"Check date"))</f>
        <v/>
      </c>
      <c r="U303" s="22" t="n"/>
      <c r="V303" s="22" t="n"/>
      <c r="W303" s="22" t="n"/>
      <c r="X303" s="22" t="n"/>
    </row>
    <row r="304">
      <c r="A304" s="22" t="n"/>
      <c r="B304" s="22" t="n"/>
      <c r="C304" s="22" t="n"/>
      <c r="D304" s="22" t="n"/>
      <c r="E304" s="23" t="n"/>
      <c r="F304" s="23" t="n"/>
      <c r="G304" s="23" t="n"/>
      <c r="H304" s="24">
        <f>IF(ISNUMBER(G304),EDATE(G304,24),"")</f>
        <v/>
      </c>
      <c r="I304" s="24">
        <f>IF(OR(AND(LEN(F304)&gt;0,ISNUMBER(F304)=FALSE),AND(LEN(G304)&gt;0,ISNUMBER(G304)=FALSE)),"Check date",IF(COUNT(F304,H304)=0,"",MIN(F304,H304)))</f>
        <v/>
      </c>
      <c r="J304" s="25">
        <f>IF(ISNUMBER(I304)=FALSE,"",IF(AND(ISNUMBER(H304),I304=H304),"24-month work rule","Registry expiry"))</f>
        <v/>
      </c>
      <c r="K304" s="26" t="n"/>
      <c r="L304" s="24">
        <f>IF(ISNUMBER(I304),I304-IF(ISNUMBER(K304),K304,30),"")</f>
        <v/>
      </c>
      <c r="M304" s="27">
        <f>IF(I304="","",IF(ISNUMBER(I304),I304-TODAY(),"Check date"))</f>
        <v/>
      </c>
      <c r="N304" s="28">
        <f>IF(M304="","",IF(ISNUMBER(M304),IF(M304&lt;0,"Expired",IF(M304&lt;=30,"Due ≤30 days",IF(M304&lt;=90,"Due ≤90 days","OK"))),"Check date"))</f>
        <v/>
      </c>
      <c r="O304" s="24">
        <f>IF(ISNUMBER(E304),EDATE(E304,12*(IFERROR(DATEDIF(E304,TODAY(),"y"),0)+1)),"")</f>
        <v/>
      </c>
      <c r="P304" s="26" t="n"/>
      <c r="Q304" s="26" t="n"/>
      <c r="R304" s="27">
        <f>IF(LEN(A304)=0,"",MAX(0,IF(ISNUMBER(Q304),Q304,12)-N(P304)))</f>
        <v/>
      </c>
      <c r="S304" s="23" t="n"/>
      <c r="T304" s="27">
        <f>IF(S304="","",IF(ISNUMBER(S304),S304-TODAY(),"Check date"))</f>
        <v/>
      </c>
      <c r="U304" s="22" t="n"/>
      <c r="V304" s="22" t="n"/>
      <c r="W304" s="22" t="n"/>
      <c r="X304" s="22" t="n"/>
    </row>
    <row r="305">
      <c r="A305" s="22" t="n"/>
      <c r="B305" s="22" t="n"/>
      <c r="C305" s="22" t="n"/>
      <c r="D305" s="22" t="n"/>
      <c r="E305" s="23" t="n"/>
      <c r="F305" s="23" t="n"/>
      <c r="G305" s="23" t="n"/>
      <c r="H305" s="24">
        <f>IF(ISNUMBER(G305),EDATE(G305,24),"")</f>
        <v/>
      </c>
      <c r="I305" s="24">
        <f>IF(OR(AND(LEN(F305)&gt;0,ISNUMBER(F305)=FALSE),AND(LEN(G305)&gt;0,ISNUMBER(G305)=FALSE)),"Check date",IF(COUNT(F305,H305)=0,"",MIN(F305,H305)))</f>
        <v/>
      </c>
      <c r="J305" s="25">
        <f>IF(ISNUMBER(I305)=FALSE,"",IF(AND(ISNUMBER(H305),I305=H305),"24-month work rule","Registry expiry"))</f>
        <v/>
      </c>
      <c r="K305" s="26" t="n"/>
      <c r="L305" s="24">
        <f>IF(ISNUMBER(I305),I305-IF(ISNUMBER(K305),K305,30),"")</f>
        <v/>
      </c>
      <c r="M305" s="27">
        <f>IF(I305="","",IF(ISNUMBER(I305),I305-TODAY(),"Check date"))</f>
        <v/>
      </c>
      <c r="N305" s="28">
        <f>IF(M305="","",IF(ISNUMBER(M305),IF(M305&lt;0,"Expired",IF(M305&lt;=30,"Due ≤30 days",IF(M305&lt;=90,"Due ≤90 days","OK"))),"Check date"))</f>
        <v/>
      </c>
      <c r="O305" s="24">
        <f>IF(ISNUMBER(E305),EDATE(E305,12*(IFERROR(DATEDIF(E305,TODAY(),"y"),0)+1)),"")</f>
        <v/>
      </c>
      <c r="P305" s="26" t="n"/>
      <c r="Q305" s="26" t="n"/>
      <c r="R305" s="27">
        <f>IF(LEN(A305)=0,"",MAX(0,IF(ISNUMBER(Q305),Q305,12)-N(P305)))</f>
        <v/>
      </c>
      <c r="S305" s="23" t="n"/>
      <c r="T305" s="27">
        <f>IF(S305="","",IF(ISNUMBER(S305),S305-TODAY(),"Check date"))</f>
        <v/>
      </c>
      <c r="U305" s="22" t="n"/>
      <c r="V305" s="22" t="n"/>
      <c r="W305" s="22" t="n"/>
      <c r="X305" s="22" t="n"/>
    </row>
    <row r="306">
      <c r="A306" s="22" t="n"/>
      <c r="B306" s="22" t="n"/>
      <c r="C306" s="22" t="n"/>
      <c r="D306" s="22" t="n"/>
      <c r="E306" s="23" t="n"/>
      <c r="F306" s="23" t="n"/>
      <c r="G306" s="23" t="n"/>
      <c r="H306" s="24">
        <f>IF(ISNUMBER(G306),EDATE(G306,24),"")</f>
        <v/>
      </c>
      <c r="I306" s="24">
        <f>IF(OR(AND(LEN(F306)&gt;0,ISNUMBER(F306)=FALSE),AND(LEN(G306)&gt;0,ISNUMBER(G306)=FALSE)),"Check date",IF(COUNT(F306,H306)=0,"",MIN(F306,H306)))</f>
        <v/>
      </c>
      <c r="J306" s="25">
        <f>IF(ISNUMBER(I306)=FALSE,"",IF(AND(ISNUMBER(H306),I306=H306),"24-month work rule","Registry expiry"))</f>
        <v/>
      </c>
      <c r="K306" s="26" t="n"/>
      <c r="L306" s="24">
        <f>IF(ISNUMBER(I306),I306-IF(ISNUMBER(K306),K306,30),"")</f>
        <v/>
      </c>
      <c r="M306" s="27">
        <f>IF(I306="","",IF(ISNUMBER(I306),I306-TODAY(),"Check date"))</f>
        <v/>
      </c>
      <c r="N306" s="28">
        <f>IF(M306="","",IF(ISNUMBER(M306),IF(M306&lt;0,"Expired",IF(M306&lt;=30,"Due ≤30 days",IF(M306&lt;=90,"Due ≤90 days","OK"))),"Check date"))</f>
        <v/>
      </c>
      <c r="O306" s="24">
        <f>IF(ISNUMBER(E306),EDATE(E306,12*(IFERROR(DATEDIF(E306,TODAY(),"y"),0)+1)),"")</f>
        <v/>
      </c>
      <c r="P306" s="26" t="n"/>
      <c r="Q306" s="26" t="n"/>
      <c r="R306" s="27">
        <f>IF(LEN(A306)=0,"",MAX(0,IF(ISNUMBER(Q306),Q306,12)-N(P306)))</f>
        <v/>
      </c>
      <c r="S306" s="23" t="n"/>
      <c r="T306" s="27">
        <f>IF(S306="","",IF(ISNUMBER(S306),S306-TODAY(),"Check date"))</f>
        <v/>
      </c>
      <c r="U306" s="22" t="n"/>
      <c r="V306" s="22" t="n"/>
      <c r="W306" s="22" t="n"/>
      <c r="X306" s="22" t="n"/>
    </row>
    <row r="307">
      <c r="A307" s="22" t="n"/>
      <c r="B307" s="22" t="n"/>
      <c r="C307" s="22" t="n"/>
      <c r="D307" s="22" t="n"/>
      <c r="E307" s="23" t="n"/>
      <c r="F307" s="23" t="n"/>
      <c r="G307" s="23" t="n"/>
      <c r="H307" s="24">
        <f>IF(ISNUMBER(G307),EDATE(G307,24),"")</f>
        <v/>
      </c>
      <c r="I307" s="24">
        <f>IF(OR(AND(LEN(F307)&gt;0,ISNUMBER(F307)=FALSE),AND(LEN(G307)&gt;0,ISNUMBER(G307)=FALSE)),"Check date",IF(COUNT(F307,H307)=0,"",MIN(F307,H307)))</f>
        <v/>
      </c>
      <c r="J307" s="25">
        <f>IF(ISNUMBER(I307)=FALSE,"",IF(AND(ISNUMBER(H307),I307=H307),"24-month work rule","Registry expiry"))</f>
        <v/>
      </c>
      <c r="K307" s="26" t="n"/>
      <c r="L307" s="24">
        <f>IF(ISNUMBER(I307),I307-IF(ISNUMBER(K307),K307,30),"")</f>
        <v/>
      </c>
      <c r="M307" s="27">
        <f>IF(I307="","",IF(ISNUMBER(I307),I307-TODAY(),"Check date"))</f>
        <v/>
      </c>
      <c r="N307" s="28">
        <f>IF(M307="","",IF(ISNUMBER(M307),IF(M307&lt;0,"Expired",IF(M307&lt;=30,"Due ≤30 days",IF(M307&lt;=90,"Due ≤90 days","OK"))),"Check date"))</f>
        <v/>
      </c>
      <c r="O307" s="24">
        <f>IF(ISNUMBER(E307),EDATE(E307,12*(IFERROR(DATEDIF(E307,TODAY(),"y"),0)+1)),"")</f>
        <v/>
      </c>
      <c r="P307" s="26" t="n"/>
      <c r="Q307" s="26" t="n"/>
      <c r="R307" s="27">
        <f>IF(LEN(A307)=0,"",MAX(0,IF(ISNUMBER(Q307),Q307,12)-N(P307)))</f>
        <v/>
      </c>
      <c r="S307" s="23" t="n"/>
      <c r="T307" s="27">
        <f>IF(S307="","",IF(ISNUMBER(S307),S307-TODAY(),"Check date"))</f>
        <v/>
      </c>
      <c r="U307" s="22" t="n"/>
      <c r="V307" s="22" t="n"/>
      <c r="W307" s="22" t="n"/>
      <c r="X307" s="22" t="n"/>
    </row>
    <row r="308">
      <c r="A308" s="22" t="n"/>
      <c r="B308" s="22" t="n"/>
      <c r="C308" s="22" t="n"/>
      <c r="D308" s="22" t="n"/>
      <c r="E308" s="23" t="n"/>
      <c r="F308" s="23" t="n"/>
      <c r="G308" s="23" t="n"/>
      <c r="H308" s="24">
        <f>IF(ISNUMBER(G308),EDATE(G308,24),"")</f>
        <v/>
      </c>
      <c r="I308" s="24">
        <f>IF(OR(AND(LEN(F308)&gt;0,ISNUMBER(F308)=FALSE),AND(LEN(G308)&gt;0,ISNUMBER(G308)=FALSE)),"Check date",IF(COUNT(F308,H308)=0,"",MIN(F308,H308)))</f>
        <v/>
      </c>
      <c r="J308" s="25">
        <f>IF(ISNUMBER(I308)=FALSE,"",IF(AND(ISNUMBER(H308),I308=H308),"24-month work rule","Registry expiry"))</f>
        <v/>
      </c>
      <c r="K308" s="26" t="n"/>
      <c r="L308" s="24">
        <f>IF(ISNUMBER(I308),I308-IF(ISNUMBER(K308),K308,30),"")</f>
        <v/>
      </c>
      <c r="M308" s="27">
        <f>IF(I308="","",IF(ISNUMBER(I308),I308-TODAY(),"Check date"))</f>
        <v/>
      </c>
      <c r="N308" s="28">
        <f>IF(M308="","",IF(ISNUMBER(M308),IF(M308&lt;0,"Expired",IF(M308&lt;=30,"Due ≤30 days",IF(M308&lt;=90,"Due ≤90 days","OK"))),"Check date"))</f>
        <v/>
      </c>
      <c r="O308" s="24">
        <f>IF(ISNUMBER(E308),EDATE(E308,12*(IFERROR(DATEDIF(E308,TODAY(),"y"),0)+1)),"")</f>
        <v/>
      </c>
      <c r="P308" s="26" t="n"/>
      <c r="Q308" s="26" t="n"/>
      <c r="R308" s="27">
        <f>IF(LEN(A308)=0,"",MAX(0,IF(ISNUMBER(Q308),Q308,12)-N(P308)))</f>
        <v/>
      </c>
      <c r="S308" s="23" t="n"/>
      <c r="T308" s="27">
        <f>IF(S308="","",IF(ISNUMBER(S308),S308-TODAY(),"Check date"))</f>
        <v/>
      </c>
      <c r="U308" s="22" t="n"/>
      <c r="V308" s="22" t="n"/>
      <c r="W308" s="22" t="n"/>
      <c r="X308" s="22" t="n"/>
    </row>
    <row r="309">
      <c r="A309" s="22" t="n"/>
      <c r="B309" s="22" t="n"/>
      <c r="C309" s="22" t="n"/>
      <c r="D309" s="22" t="n"/>
      <c r="E309" s="23" t="n"/>
      <c r="F309" s="23" t="n"/>
      <c r="G309" s="23" t="n"/>
      <c r="H309" s="24">
        <f>IF(ISNUMBER(G309),EDATE(G309,24),"")</f>
        <v/>
      </c>
      <c r="I309" s="24">
        <f>IF(OR(AND(LEN(F309)&gt;0,ISNUMBER(F309)=FALSE),AND(LEN(G309)&gt;0,ISNUMBER(G309)=FALSE)),"Check date",IF(COUNT(F309,H309)=0,"",MIN(F309,H309)))</f>
        <v/>
      </c>
      <c r="J309" s="25">
        <f>IF(ISNUMBER(I309)=FALSE,"",IF(AND(ISNUMBER(H309),I309=H309),"24-month work rule","Registry expiry"))</f>
        <v/>
      </c>
      <c r="K309" s="26" t="n"/>
      <c r="L309" s="24">
        <f>IF(ISNUMBER(I309),I309-IF(ISNUMBER(K309),K309,30),"")</f>
        <v/>
      </c>
      <c r="M309" s="27">
        <f>IF(I309="","",IF(ISNUMBER(I309),I309-TODAY(),"Check date"))</f>
        <v/>
      </c>
      <c r="N309" s="28">
        <f>IF(M309="","",IF(ISNUMBER(M309),IF(M309&lt;0,"Expired",IF(M309&lt;=30,"Due ≤30 days",IF(M309&lt;=90,"Due ≤90 days","OK"))),"Check date"))</f>
        <v/>
      </c>
      <c r="O309" s="24">
        <f>IF(ISNUMBER(E309),EDATE(E309,12*(IFERROR(DATEDIF(E309,TODAY(),"y"),0)+1)),"")</f>
        <v/>
      </c>
      <c r="P309" s="26" t="n"/>
      <c r="Q309" s="26" t="n"/>
      <c r="R309" s="27">
        <f>IF(LEN(A309)=0,"",MAX(0,IF(ISNUMBER(Q309),Q309,12)-N(P309)))</f>
        <v/>
      </c>
      <c r="S309" s="23" t="n"/>
      <c r="T309" s="27">
        <f>IF(S309="","",IF(ISNUMBER(S309),S309-TODAY(),"Check date"))</f>
        <v/>
      </c>
      <c r="U309" s="22" t="n"/>
      <c r="V309" s="22" t="n"/>
      <c r="W309" s="22" t="n"/>
      <c r="X309" s="22" t="n"/>
    </row>
    <row r="310">
      <c r="A310" s="22" t="n"/>
      <c r="B310" s="22" t="n"/>
      <c r="C310" s="22" t="n"/>
      <c r="D310" s="22" t="n"/>
      <c r="E310" s="23" t="n"/>
      <c r="F310" s="23" t="n"/>
      <c r="G310" s="23" t="n"/>
      <c r="H310" s="24">
        <f>IF(ISNUMBER(G310),EDATE(G310,24),"")</f>
        <v/>
      </c>
      <c r="I310" s="24">
        <f>IF(OR(AND(LEN(F310)&gt;0,ISNUMBER(F310)=FALSE),AND(LEN(G310)&gt;0,ISNUMBER(G310)=FALSE)),"Check date",IF(COUNT(F310,H310)=0,"",MIN(F310,H310)))</f>
        <v/>
      </c>
      <c r="J310" s="25">
        <f>IF(ISNUMBER(I310)=FALSE,"",IF(AND(ISNUMBER(H310),I310=H310),"24-month work rule","Registry expiry"))</f>
        <v/>
      </c>
      <c r="K310" s="26" t="n"/>
      <c r="L310" s="24">
        <f>IF(ISNUMBER(I310),I310-IF(ISNUMBER(K310),K310,30),"")</f>
        <v/>
      </c>
      <c r="M310" s="27">
        <f>IF(I310="","",IF(ISNUMBER(I310),I310-TODAY(),"Check date"))</f>
        <v/>
      </c>
      <c r="N310" s="28">
        <f>IF(M310="","",IF(ISNUMBER(M310),IF(M310&lt;0,"Expired",IF(M310&lt;=30,"Due ≤30 days",IF(M310&lt;=90,"Due ≤90 days","OK"))),"Check date"))</f>
        <v/>
      </c>
      <c r="O310" s="24">
        <f>IF(ISNUMBER(E310),EDATE(E310,12*(IFERROR(DATEDIF(E310,TODAY(),"y"),0)+1)),"")</f>
        <v/>
      </c>
      <c r="P310" s="26" t="n"/>
      <c r="Q310" s="26" t="n"/>
      <c r="R310" s="27">
        <f>IF(LEN(A310)=0,"",MAX(0,IF(ISNUMBER(Q310),Q310,12)-N(P310)))</f>
        <v/>
      </c>
      <c r="S310" s="23" t="n"/>
      <c r="T310" s="27">
        <f>IF(S310="","",IF(ISNUMBER(S310),S310-TODAY(),"Check date"))</f>
        <v/>
      </c>
      <c r="U310" s="22" t="n"/>
      <c r="V310" s="22" t="n"/>
      <c r="W310" s="22" t="n"/>
      <c r="X310" s="22" t="n"/>
    </row>
    <row r="311">
      <c r="A311" s="22" t="n"/>
      <c r="B311" s="22" t="n"/>
      <c r="C311" s="22" t="n"/>
      <c r="D311" s="22" t="n"/>
      <c r="E311" s="23" t="n"/>
      <c r="F311" s="23" t="n"/>
      <c r="G311" s="23" t="n"/>
      <c r="H311" s="24">
        <f>IF(ISNUMBER(G311),EDATE(G311,24),"")</f>
        <v/>
      </c>
      <c r="I311" s="24">
        <f>IF(OR(AND(LEN(F311)&gt;0,ISNUMBER(F311)=FALSE),AND(LEN(G311)&gt;0,ISNUMBER(G311)=FALSE)),"Check date",IF(COUNT(F311,H311)=0,"",MIN(F311,H311)))</f>
        <v/>
      </c>
      <c r="J311" s="25">
        <f>IF(ISNUMBER(I311)=FALSE,"",IF(AND(ISNUMBER(H311),I311=H311),"24-month work rule","Registry expiry"))</f>
        <v/>
      </c>
      <c r="K311" s="26" t="n"/>
      <c r="L311" s="24">
        <f>IF(ISNUMBER(I311),I311-IF(ISNUMBER(K311),K311,30),"")</f>
        <v/>
      </c>
      <c r="M311" s="27">
        <f>IF(I311="","",IF(ISNUMBER(I311),I311-TODAY(),"Check date"))</f>
        <v/>
      </c>
      <c r="N311" s="28">
        <f>IF(M311="","",IF(ISNUMBER(M311),IF(M311&lt;0,"Expired",IF(M311&lt;=30,"Due ≤30 days",IF(M311&lt;=90,"Due ≤90 days","OK"))),"Check date"))</f>
        <v/>
      </c>
      <c r="O311" s="24">
        <f>IF(ISNUMBER(E311),EDATE(E311,12*(IFERROR(DATEDIF(E311,TODAY(),"y"),0)+1)),"")</f>
        <v/>
      </c>
      <c r="P311" s="26" t="n"/>
      <c r="Q311" s="26" t="n"/>
      <c r="R311" s="27">
        <f>IF(LEN(A311)=0,"",MAX(0,IF(ISNUMBER(Q311),Q311,12)-N(P311)))</f>
        <v/>
      </c>
      <c r="S311" s="23" t="n"/>
      <c r="T311" s="27">
        <f>IF(S311="","",IF(ISNUMBER(S311),S311-TODAY(),"Check date"))</f>
        <v/>
      </c>
      <c r="U311" s="22" t="n"/>
      <c r="V311" s="22" t="n"/>
      <c r="W311" s="22" t="n"/>
      <c r="X311" s="22" t="n"/>
    </row>
    <row r="312">
      <c r="A312" s="22" t="n"/>
      <c r="B312" s="22" t="n"/>
      <c r="C312" s="22" t="n"/>
      <c r="D312" s="22" t="n"/>
      <c r="E312" s="23" t="n"/>
      <c r="F312" s="23" t="n"/>
      <c r="G312" s="23" t="n"/>
      <c r="H312" s="24">
        <f>IF(ISNUMBER(G312),EDATE(G312,24),"")</f>
        <v/>
      </c>
      <c r="I312" s="24">
        <f>IF(OR(AND(LEN(F312)&gt;0,ISNUMBER(F312)=FALSE),AND(LEN(G312)&gt;0,ISNUMBER(G312)=FALSE)),"Check date",IF(COUNT(F312,H312)=0,"",MIN(F312,H312)))</f>
        <v/>
      </c>
      <c r="J312" s="25">
        <f>IF(ISNUMBER(I312)=FALSE,"",IF(AND(ISNUMBER(H312),I312=H312),"24-month work rule","Registry expiry"))</f>
        <v/>
      </c>
      <c r="K312" s="26" t="n"/>
      <c r="L312" s="24">
        <f>IF(ISNUMBER(I312),I312-IF(ISNUMBER(K312),K312,30),"")</f>
        <v/>
      </c>
      <c r="M312" s="27">
        <f>IF(I312="","",IF(ISNUMBER(I312),I312-TODAY(),"Check date"))</f>
        <v/>
      </c>
      <c r="N312" s="28">
        <f>IF(M312="","",IF(ISNUMBER(M312),IF(M312&lt;0,"Expired",IF(M312&lt;=30,"Due ≤30 days",IF(M312&lt;=90,"Due ≤90 days","OK"))),"Check date"))</f>
        <v/>
      </c>
      <c r="O312" s="24">
        <f>IF(ISNUMBER(E312),EDATE(E312,12*(IFERROR(DATEDIF(E312,TODAY(),"y"),0)+1)),"")</f>
        <v/>
      </c>
      <c r="P312" s="26" t="n"/>
      <c r="Q312" s="26" t="n"/>
      <c r="R312" s="27">
        <f>IF(LEN(A312)=0,"",MAX(0,IF(ISNUMBER(Q312),Q312,12)-N(P312)))</f>
        <v/>
      </c>
      <c r="S312" s="23" t="n"/>
      <c r="T312" s="27">
        <f>IF(S312="","",IF(ISNUMBER(S312),S312-TODAY(),"Check date"))</f>
        <v/>
      </c>
      <c r="U312" s="22" t="n"/>
      <c r="V312" s="22" t="n"/>
      <c r="W312" s="22" t="n"/>
      <c r="X312" s="22" t="n"/>
    </row>
    <row r="313">
      <c r="A313" s="22" t="n"/>
      <c r="B313" s="22" t="n"/>
      <c r="C313" s="22" t="n"/>
      <c r="D313" s="22" t="n"/>
      <c r="E313" s="23" t="n"/>
      <c r="F313" s="23" t="n"/>
      <c r="G313" s="23" t="n"/>
      <c r="H313" s="24">
        <f>IF(ISNUMBER(G313),EDATE(G313,24),"")</f>
        <v/>
      </c>
      <c r="I313" s="24">
        <f>IF(OR(AND(LEN(F313)&gt;0,ISNUMBER(F313)=FALSE),AND(LEN(G313)&gt;0,ISNUMBER(G313)=FALSE)),"Check date",IF(COUNT(F313,H313)=0,"",MIN(F313,H313)))</f>
        <v/>
      </c>
      <c r="J313" s="25">
        <f>IF(ISNUMBER(I313)=FALSE,"",IF(AND(ISNUMBER(H313),I313=H313),"24-month work rule","Registry expiry"))</f>
        <v/>
      </c>
      <c r="K313" s="26" t="n"/>
      <c r="L313" s="24">
        <f>IF(ISNUMBER(I313),I313-IF(ISNUMBER(K313),K313,30),"")</f>
        <v/>
      </c>
      <c r="M313" s="27">
        <f>IF(I313="","",IF(ISNUMBER(I313),I313-TODAY(),"Check date"))</f>
        <v/>
      </c>
      <c r="N313" s="28">
        <f>IF(M313="","",IF(ISNUMBER(M313),IF(M313&lt;0,"Expired",IF(M313&lt;=30,"Due ≤30 days",IF(M313&lt;=90,"Due ≤90 days","OK"))),"Check date"))</f>
        <v/>
      </c>
      <c r="O313" s="24">
        <f>IF(ISNUMBER(E313),EDATE(E313,12*(IFERROR(DATEDIF(E313,TODAY(),"y"),0)+1)),"")</f>
        <v/>
      </c>
      <c r="P313" s="26" t="n"/>
      <c r="Q313" s="26" t="n"/>
      <c r="R313" s="27">
        <f>IF(LEN(A313)=0,"",MAX(0,IF(ISNUMBER(Q313),Q313,12)-N(P313)))</f>
        <v/>
      </c>
      <c r="S313" s="23" t="n"/>
      <c r="T313" s="27">
        <f>IF(S313="","",IF(ISNUMBER(S313),S313-TODAY(),"Check date"))</f>
        <v/>
      </c>
      <c r="U313" s="22" t="n"/>
      <c r="V313" s="22" t="n"/>
      <c r="W313" s="22" t="n"/>
      <c r="X313" s="22" t="n"/>
    </row>
    <row r="314">
      <c r="A314" s="22" t="n"/>
      <c r="B314" s="22" t="n"/>
      <c r="C314" s="22" t="n"/>
      <c r="D314" s="22" t="n"/>
      <c r="E314" s="23" t="n"/>
      <c r="F314" s="23" t="n"/>
      <c r="G314" s="23" t="n"/>
      <c r="H314" s="24">
        <f>IF(ISNUMBER(G314),EDATE(G314,24),"")</f>
        <v/>
      </c>
      <c r="I314" s="24">
        <f>IF(OR(AND(LEN(F314)&gt;0,ISNUMBER(F314)=FALSE),AND(LEN(G314)&gt;0,ISNUMBER(G314)=FALSE)),"Check date",IF(COUNT(F314,H314)=0,"",MIN(F314,H314)))</f>
        <v/>
      </c>
      <c r="J314" s="25">
        <f>IF(ISNUMBER(I314)=FALSE,"",IF(AND(ISNUMBER(H314),I314=H314),"24-month work rule","Registry expiry"))</f>
        <v/>
      </c>
      <c r="K314" s="26" t="n"/>
      <c r="L314" s="24">
        <f>IF(ISNUMBER(I314),I314-IF(ISNUMBER(K314),K314,30),"")</f>
        <v/>
      </c>
      <c r="M314" s="27">
        <f>IF(I314="","",IF(ISNUMBER(I314),I314-TODAY(),"Check date"))</f>
        <v/>
      </c>
      <c r="N314" s="28">
        <f>IF(M314="","",IF(ISNUMBER(M314),IF(M314&lt;0,"Expired",IF(M314&lt;=30,"Due ≤30 days",IF(M314&lt;=90,"Due ≤90 days","OK"))),"Check date"))</f>
        <v/>
      </c>
      <c r="O314" s="24">
        <f>IF(ISNUMBER(E314),EDATE(E314,12*(IFERROR(DATEDIF(E314,TODAY(),"y"),0)+1)),"")</f>
        <v/>
      </c>
      <c r="P314" s="26" t="n"/>
      <c r="Q314" s="26" t="n"/>
      <c r="R314" s="27">
        <f>IF(LEN(A314)=0,"",MAX(0,IF(ISNUMBER(Q314),Q314,12)-N(P314)))</f>
        <v/>
      </c>
      <c r="S314" s="23" t="n"/>
      <c r="T314" s="27">
        <f>IF(S314="","",IF(ISNUMBER(S314),S314-TODAY(),"Check date"))</f>
        <v/>
      </c>
      <c r="U314" s="22" t="n"/>
      <c r="V314" s="22" t="n"/>
      <c r="W314" s="22" t="n"/>
      <c r="X314" s="22" t="n"/>
    </row>
    <row r="315">
      <c r="A315" s="22" t="n"/>
      <c r="B315" s="22" t="n"/>
      <c r="C315" s="22" t="n"/>
      <c r="D315" s="22" t="n"/>
      <c r="E315" s="23" t="n"/>
      <c r="F315" s="23" t="n"/>
      <c r="G315" s="23" t="n"/>
      <c r="H315" s="24">
        <f>IF(ISNUMBER(G315),EDATE(G315,24),"")</f>
        <v/>
      </c>
      <c r="I315" s="24">
        <f>IF(OR(AND(LEN(F315)&gt;0,ISNUMBER(F315)=FALSE),AND(LEN(G315)&gt;0,ISNUMBER(G315)=FALSE)),"Check date",IF(COUNT(F315,H315)=0,"",MIN(F315,H315)))</f>
        <v/>
      </c>
      <c r="J315" s="25">
        <f>IF(ISNUMBER(I315)=FALSE,"",IF(AND(ISNUMBER(H315),I315=H315),"24-month work rule","Registry expiry"))</f>
        <v/>
      </c>
      <c r="K315" s="26" t="n"/>
      <c r="L315" s="24">
        <f>IF(ISNUMBER(I315),I315-IF(ISNUMBER(K315),K315,30),"")</f>
        <v/>
      </c>
      <c r="M315" s="27">
        <f>IF(I315="","",IF(ISNUMBER(I315),I315-TODAY(),"Check date"))</f>
        <v/>
      </c>
      <c r="N315" s="28">
        <f>IF(M315="","",IF(ISNUMBER(M315),IF(M315&lt;0,"Expired",IF(M315&lt;=30,"Due ≤30 days",IF(M315&lt;=90,"Due ≤90 days","OK"))),"Check date"))</f>
        <v/>
      </c>
      <c r="O315" s="24">
        <f>IF(ISNUMBER(E315),EDATE(E315,12*(IFERROR(DATEDIF(E315,TODAY(),"y"),0)+1)),"")</f>
        <v/>
      </c>
      <c r="P315" s="26" t="n"/>
      <c r="Q315" s="26" t="n"/>
      <c r="R315" s="27">
        <f>IF(LEN(A315)=0,"",MAX(0,IF(ISNUMBER(Q315),Q315,12)-N(P315)))</f>
        <v/>
      </c>
      <c r="S315" s="23" t="n"/>
      <c r="T315" s="27">
        <f>IF(S315="","",IF(ISNUMBER(S315),S315-TODAY(),"Check date"))</f>
        <v/>
      </c>
      <c r="U315" s="22" t="n"/>
      <c r="V315" s="22" t="n"/>
      <c r="W315" s="22" t="n"/>
      <c r="X315" s="22" t="n"/>
    </row>
    <row r="316">
      <c r="A316" s="22" t="n"/>
      <c r="B316" s="22" t="n"/>
      <c r="C316" s="22" t="n"/>
      <c r="D316" s="22" t="n"/>
      <c r="E316" s="23" t="n"/>
      <c r="F316" s="23" t="n"/>
      <c r="G316" s="23" t="n"/>
      <c r="H316" s="24">
        <f>IF(ISNUMBER(G316),EDATE(G316,24),"")</f>
        <v/>
      </c>
      <c r="I316" s="24">
        <f>IF(OR(AND(LEN(F316)&gt;0,ISNUMBER(F316)=FALSE),AND(LEN(G316)&gt;0,ISNUMBER(G316)=FALSE)),"Check date",IF(COUNT(F316,H316)=0,"",MIN(F316,H316)))</f>
        <v/>
      </c>
      <c r="J316" s="25">
        <f>IF(ISNUMBER(I316)=FALSE,"",IF(AND(ISNUMBER(H316),I316=H316),"24-month work rule","Registry expiry"))</f>
        <v/>
      </c>
      <c r="K316" s="26" t="n"/>
      <c r="L316" s="24">
        <f>IF(ISNUMBER(I316),I316-IF(ISNUMBER(K316),K316,30),"")</f>
        <v/>
      </c>
      <c r="M316" s="27">
        <f>IF(I316="","",IF(ISNUMBER(I316),I316-TODAY(),"Check date"))</f>
        <v/>
      </c>
      <c r="N316" s="28">
        <f>IF(M316="","",IF(ISNUMBER(M316),IF(M316&lt;0,"Expired",IF(M316&lt;=30,"Due ≤30 days",IF(M316&lt;=90,"Due ≤90 days","OK"))),"Check date"))</f>
        <v/>
      </c>
      <c r="O316" s="24">
        <f>IF(ISNUMBER(E316),EDATE(E316,12*(IFERROR(DATEDIF(E316,TODAY(),"y"),0)+1)),"")</f>
        <v/>
      </c>
      <c r="P316" s="26" t="n"/>
      <c r="Q316" s="26" t="n"/>
      <c r="R316" s="27">
        <f>IF(LEN(A316)=0,"",MAX(0,IF(ISNUMBER(Q316),Q316,12)-N(P316)))</f>
        <v/>
      </c>
      <c r="S316" s="23" t="n"/>
      <c r="T316" s="27">
        <f>IF(S316="","",IF(ISNUMBER(S316),S316-TODAY(),"Check date"))</f>
        <v/>
      </c>
      <c r="U316" s="22" t="n"/>
      <c r="V316" s="22" t="n"/>
      <c r="W316" s="22" t="n"/>
      <c r="X316" s="22" t="n"/>
    </row>
    <row r="317">
      <c r="A317" s="22" t="n"/>
      <c r="B317" s="22" t="n"/>
      <c r="C317" s="22" t="n"/>
      <c r="D317" s="22" t="n"/>
      <c r="E317" s="23" t="n"/>
      <c r="F317" s="23" t="n"/>
      <c r="G317" s="23" t="n"/>
      <c r="H317" s="24">
        <f>IF(ISNUMBER(G317),EDATE(G317,24),"")</f>
        <v/>
      </c>
      <c r="I317" s="24">
        <f>IF(OR(AND(LEN(F317)&gt;0,ISNUMBER(F317)=FALSE),AND(LEN(G317)&gt;0,ISNUMBER(G317)=FALSE)),"Check date",IF(COUNT(F317,H317)=0,"",MIN(F317,H317)))</f>
        <v/>
      </c>
      <c r="J317" s="25">
        <f>IF(ISNUMBER(I317)=FALSE,"",IF(AND(ISNUMBER(H317),I317=H317),"24-month work rule","Registry expiry"))</f>
        <v/>
      </c>
      <c r="K317" s="26" t="n"/>
      <c r="L317" s="24">
        <f>IF(ISNUMBER(I317),I317-IF(ISNUMBER(K317),K317,30),"")</f>
        <v/>
      </c>
      <c r="M317" s="27">
        <f>IF(I317="","",IF(ISNUMBER(I317),I317-TODAY(),"Check date"))</f>
        <v/>
      </c>
      <c r="N317" s="28">
        <f>IF(M317="","",IF(ISNUMBER(M317),IF(M317&lt;0,"Expired",IF(M317&lt;=30,"Due ≤30 days",IF(M317&lt;=90,"Due ≤90 days","OK"))),"Check date"))</f>
        <v/>
      </c>
      <c r="O317" s="24">
        <f>IF(ISNUMBER(E317),EDATE(E317,12*(IFERROR(DATEDIF(E317,TODAY(),"y"),0)+1)),"")</f>
        <v/>
      </c>
      <c r="P317" s="26" t="n"/>
      <c r="Q317" s="26" t="n"/>
      <c r="R317" s="27">
        <f>IF(LEN(A317)=0,"",MAX(0,IF(ISNUMBER(Q317),Q317,12)-N(P317)))</f>
        <v/>
      </c>
      <c r="S317" s="23" t="n"/>
      <c r="T317" s="27">
        <f>IF(S317="","",IF(ISNUMBER(S317),S317-TODAY(),"Check date"))</f>
        <v/>
      </c>
      <c r="U317" s="22" t="n"/>
      <c r="V317" s="22" t="n"/>
      <c r="W317" s="22" t="n"/>
      <c r="X317" s="22" t="n"/>
    </row>
    <row r="318">
      <c r="A318" s="22" t="n"/>
      <c r="B318" s="22" t="n"/>
      <c r="C318" s="22" t="n"/>
      <c r="D318" s="22" t="n"/>
      <c r="E318" s="23" t="n"/>
      <c r="F318" s="23" t="n"/>
      <c r="G318" s="23" t="n"/>
      <c r="H318" s="24">
        <f>IF(ISNUMBER(G318),EDATE(G318,24),"")</f>
        <v/>
      </c>
      <c r="I318" s="24">
        <f>IF(OR(AND(LEN(F318)&gt;0,ISNUMBER(F318)=FALSE),AND(LEN(G318)&gt;0,ISNUMBER(G318)=FALSE)),"Check date",IF(COUNT(F318,H318)=0,"",MIN(F318,H318)))</f>
        <v/>
      </c>
      <c r="J318" s="25">
        <f>IF(ISNUMBER(I318)=FALSE,"",IF(AND(ISNUMBER(H318),I318=H318),"24-month work rule","Registry expiry"))</f>
        <v/>
      </c>
      <c r="K318" s="26" t="n"/>
      <c r="L318" s="24">
        <f>IF(ISNUMBER(I318),I318-IF(ISNUMBER(K318),K318,30),"")</f>
        <v/>
      </c>
      <c r="M318" s="27">
        <f>IF(I318="","",IF(ISNUMBER(I318),I318-TODAY(),"Check date"))</f>
        <v/>
      </c>
      <c r="N318" s="28">
        <f>IF(M318="","",IF(ISNUMBER(M318),IF(M318&lt;0,"Expired",IF(M318&lt;=30,"Due ≤30 days",IF(M318&lt;=90,"Due ≤90 days","OK"))),"Check date"))</f>
        <v/>
      </c>
      <c r="O318" s="24">
        <f>IF(ISNUMBER(E318),EDATE(E318,12*(IFERROR(DATEDIF(E318,TODAY(),"y"),0)+1)),"")</f>
        <v/>
      </c>
      <c r="P318" s="26" t="n"/>
      <c r="Q318" s="26" t="n"/>
      <c r="R318" s="27">
        <f>IF(LEN(A318)=0,"",MAX(0,IF(ISNUMBER(Q318),Q318,12)-N(P318)))</f>
        <v/>
      </c>
      <c r="S318" s="23" t="n"/>
      <c r="T318" s="27">
        <f>IF(S318="","",IF(ISNUMBER(S318),S318-TODAY(),"Check date"))</f>
        <v/>
      </c>
      <c r="U318" s="22" t="n"/>
      <c r="V318" s="22" t="n"/>
      <c r="W318" s="22" t="n"/>
      <c r="X318" s="22" t="n"/>
    </row>
    <row r="319">
      <c r="A319" s="22" t="n"/>
      <c r="B319" s="22" t="n"/>
      <c r="C319" s="22" t="n"/>
      <c r="D319" s="22" t="n"/>
      <c r="E319" s="23" t="n"/>
      <c r="F319" s="23" t="n"/>
      <c r="G319" s="23" t="n"/>
      <c r="H319" s="24">
        <f>IF(ISNUMBER(G319),EDATE(G319,24),"")</f>
        <v/>
      </c>
      <c r="I319" s="24">
        <f>IF(OR(AND(LEN(F319)&gt;0,ISNUMBER(F319)=FALSE),AND(LEN(G319)&gt;0,ISNUMBER(G319)=FALSE)),"Check date",IF(COUNT(F319,H319)=0,"",MIN(F319,H319)))</f>
        <v/>
      </c>
      <c r="J319" s="25">
        <f>IF(ISNUMBER(I319)=FALSE,"",IF(AND(ISNUMBER(H319),I319=H319),"24-month work rule","Registry expiry"))</f>
        <v/>
      </c>
      <c r="K319" s="26" t="n"/>
      <c r="L319" s="24">
        <f>IF(ISNUMBER(I319),I319-IF(ISNUMBER(K319),K319,30),"")</f>
        <v/>
      </c>
      <c r="M319" s="27">
        <f>IF(I319="","",IF(ISNUMBER(I319),I319-TODAY(),"Check date"))</f>
        <v/>
      </c>
      <c r="N319" s="28">
        <f>IF(M319="","",IF(ISNUMBER(M319),IF(M319&lt;0,"Expired",IF(M319&lt;=30,"Due ≤30 days",IF(M319&lt;=90,"Due ≤90 days","OK"))),"Check date"))</f>
        <v/>
      </c>
      <c r="O319" s="24">
        <f>IF(ISNUMBER(E319),EDATE(E319,12*(IFERROR(DATEDIF(E319,TODAY(),"y"),0)+1)),"")</f>
        <v/>
      </c>
      <c r="P319" s="26" t="n"/>
      <c r="Q319" s="26" t="n"/>
      <c r="R319" s="27">
        <f>IF(LEN(A319)=0,"",MAX(0,IF(ISNUMBER(Q319),Q319,12)-N(P319)))</f>
        <v/>
      </c>
      <c r="S319" s="23" t="n"/>
      <c r="T319" s="27">
        <f>IF(S319="","",IF(ISNUMBER(S319),S319-TODAY(),"Check date"))</f>
        <v/>
      </c>
      <c r="U319" s="22" t="n"/>
      <c r="V319" s="22" t="n"/>
      <c r="W319" s="22" t="n"/>
      <c r="X319" s="22" t="n"/>
    </row>
    <row r="320">
      <c r="A320" s="22" t="n"/>
      <c r="B320" s="22" t="n"/>
      <c r="C320" s="22" t="n"/>
      <c r="D320" s="22" t="n"/>
      <c r="E320" s="23" t="n"/>
      <c r="F320" s="23" t="n"/>
      <c r="G320" s="23" t="n"/>
      <c r="H320" s="24">
        <f>IF(ISNUMBER(G320),EDATE(G320,24),"")</f>
        <v/>
      </c>
      <c r="I320" s="24">
        <f>IF(OR(AND(LEN(F320)&gt;0,ISNUMBER(F320)=FALSE),AND(LEN(G320)&gt;0,ISNUMBER(G320)=FALSE)),"Check date",IF(COUNT(F320,H320)=0,"",MIN(F320,H320)))</f>
        <v/>
      </c>
      <c r="J320" s="25">
        <f>IF(ISNUMBER(I320)=FALSE,"",IF(AND(ISNUMBER(H320),I320=H320),"24-month work rule","Registry expiry"))</f>
        <v/>
      </c>
      <c r="K320" s="26" t="n"/>
      <c r="L320" s="24">
        <f>IF(ISNUMBER(I320),I320-IF(ISNUMBER(K320),K320,30),"")</f>
        <v/>
      </c>
      <c r="M320" s="27">
        <f>IF(I320="","",IF(ISNUMBER(I320),I320-TODAY(),"Check date"))</f>
        <v/>
      </c>
      <c r="N320" s="28">
        <f>IF(M320="","",IF(ISNUMBER(M320),IF(M320&lt;0,"Expired",IF(M320&lt;=30,"Due ≤30 days",IF(M320&lt;=90,"Due ≤90 days","OK"))),"Check date"))</f>
        <v/>
      </c>
      <c r="O320" s="24">
        <f>IF(ISNUMBER(E320),EDATE(E320,12*(IFERROR(DATEDIF(E320,TODAY(),"y"),0)+1)),"")</f>
        <v/>
      </c>
      <c r="P320" s="26" t="n"/>
      <c r="Q320" s="26" t="n"/>
      <c r="R320" s="27">
        <f>IF(LEN(A320)=0,"",MAX(0,IF(ISNUMBER(Q320),Q320,12)-N(P320)))</f>
        <v/>
      </c>
      <c r="S320" s="23" t="n"/>
      <c r="T320" s="27">
        <f>IF(S320="","",IF(ISNUMBER(S320),S320-TODAY(),"Check date"))</f>
        <v/>
      </c>
      <c r="U320" s="22" t="n"/>
      <c r="V320" s="22" t="n"/>
      <c r="W320" s="22" t="n"/>
      <c r="X320" s="22" t="n"/>
    </row>
    <row r="321">
      <c r="A321" s="22" t="n"/>
      <c r="B321" s="22" t="n"/>
      <c r="C321" s="22" t="n"/>
      <c r="D321" s="22" t="n"/>
      <c r="E321" s="23" t="n"/>
      <c r="F321" s="23" t="n"/>
      <c r="G321" s="23" t="n"/>
      <c r="H321" s="24">
        <f>IF(ISNUMBER(G321),EDATE(G321,24),"")</f>
        <v/>
      </c>
      <c r="I321" s="24">
        <f>IF(OR(AND(LEN(F321)&gt;0,ISNUMBER(F321)=FALSE),AND(LEN(G321)&gt;0,ISNUMBER(G321)=FALSE)),"Check date",IF(COUNT(F321,H321)=0,"",MIN(F321,H321)))</f>
        <v/>
      </c>
      <c r="J321" s="25">
        <f>IF(ISNUMBER(I321)=FALSE,"",IF(AND(ISNUMBER(H321),I321=H321),"24-month work rule","Registry expiry"))</f>
        <v/>
      </c>
      <c r="K321" s="26" t="n"/>
      <c r="L321" s="24">
        <f>IF(ISNUMBER(I321),I321-IF(ISNUMBER(K321),K321,30),"")</f>
        <v/>
      </c>
      <c r="M321" s="27">
        <f>IF(I321="","",IF(ISNUMBER(I321),I321-TODAY(),"Check date"))</f>
        <v/>
      </c>
      <c r="N321" s="28">
        <f>IF(M321="","",IF(ISNUMBER(M321),IF(M321&lt;0,"Expired",IF(M321&lt;=30,"Due ≤30 days",IF(M321&lt;=90,"Due ≤90 days","OK"))),"Check date"))</f>
        <v/>
      </c>
      <c r="O321" s="24">
        <f>IF(ISNUMBER(E321),EDATE(E321,12*(IFERROR(DATEDIF(E321,TODAY(),"y"),0)+1)),"")</f>
        <v/>
      </c>
      <c r="P321" s="26" t="n"/>
      <c r="Q321" s="26" t="n"/>
      <c r="R321" s="27">
        <f>IF(LEN(A321)=0,"",MAX(0,IF(ISNUMBER(Q321),Q321,12)-N(P321)))</f>
        <v/>
      </c>
      <c r="S321" s="23" t="n"/>
      <c r="T321" s="27">
        <f>IF(S321="","",IF(ISNUMBER(S321),S321-TODAY(),"Check date"))</f>
        <v/>
      </c>
      <c r="U321" s="22" t="n"/>
      <c r="V321" s="22" t="n"/>
      <c r="W321" s="22" t="n"/>
      <c r="X321" s="22" t="n"/>
    </row>
    <row r="322">
      <c r="A322" s="22" t="n"/>
      <c r="B322" s="22" t="n"/>
      <c r="C322" s="22" t="n"/>
      <c r="D322" s="22" t="n"/>
      <c r="E322" s="23" t="n"/>
      <c r="F322" s="23" t="n"/>
      <c r="G322" s="23" t="n"/>
      <c r="H322" s="24">
        <f>IF(ISNUMBER(G322),EDATE(G322,24),"")</f>
        <v/>
      </c>
      <c r="I322" s="24">
        <f>IF(OR(AND(LEN(F322)&gt;0,ISNUMBER(F322)=FALSE),AND(LEN(G322)&gt;0,ISNUMBER(G322)=FALSE)),"Check date",IF(COUNT(F322,H322)=0,"",MIN(F322,H322)))</f>
        <v/>
      </c>
      <c r="J322" s="25">
        <f>IF(ISNUMBER(I322)=FALSE,"",IF(AND(ISNUMBER(H322),I322=H322),"24-month work rule","Registry expiry"))</f>
        <v/>
      </c>
      <c r="K322" s="26" t="n"/>
      <c r="L322" s="24">
        <f>IF(ISNUMBER(I322),I322-IF(ISNUMBER(K322),K322,30),"")</f>
        <v/>
      </c>
      <c r="M322" s="27">
        <f>IF(I322="","",IF(ISNUMBER(I322),I322-TODAY(),"Check date"))</f>
        <v/>
      </c>
      <c r="N322" s="28">
        <f>IF(M322="","",IF(ISNUMBER(M322),IF(M322&lt;0,"Expired",IF(M322&lt;=30,"Due ≤30 days",IF(M322&lt;=90,"Due ≤90 days","OK"))),"Check date"))</f>
        <v/>
      </c>
      <c r="O322" s="24">
        <f>IF(ISNUMBER(E322),EDATE(E322,12*(IFERROR(DATEDIF(E322,TODAY(),"y"),0)+1)),"")</f>
        <v/>
      </c>
      <c r="P322" s="26" t="n"/>
      <c r="Q322" s="26" t="n"/>
      <c r="R322" s="27">
        <f>IF(LEN(A322)=0,"",MAX(0,IF(ISNUMBER(Q322),Q322,12)-N(P322)))</f>
        <v/>
      </c>
      <c r="S322" s="23" t="n"/>
      <c r="T322" s="27">
        <f>IF(S322="","",IF(ISNUMBER(S322),S322-TODAY(),"Check date"))</f>
        <v/>
      </c>
      <c r="U322" s="22" t="n"/>
      <c r="V322" s="22" t="n"/>
      <c r="W322" s="22" t="n"/>
      <c r="X322" s="22" t="n"/>
    </row>
    <row r="323">
      <c r="A323" s="22" t="n"/>
      <c r="B323" s="22" t="n"/>
      <c r="C323" s="22" t="n"/>
      <c r="D323" s="22" t="n"/>
      <c r="E323" s="23" t="n"/>
      <c r="F323" s="23" t="n"/>
      <c r="G323" s="23" t="n"/>
      <c r="H323" s="24">
        <f>IF(ISNUMBER(G323),EDATE(G323,24),"")</f>
        <v/>
      </c>
      <c r="I323" s="24">
        <f>IF(OR(AND(LEN(F323)&gt;0,ISNUMBER(F323)=FALSE),AND(LEN(G323)&gt;0,ISNUMBER(G323)=FALSE)),"Check date",IF(COUNT(F323,H323)=0,"",MIN(F323,H323)))</f>
        <v/>
      </c>
      <c r="J323" s="25">
        <f>IF(ISNUMBER(I323)=FALSE,"",IF(AND(ISNUMBER(H323),I323=H323),"24-month work rule","Registry expiry"))</f>
        <v/>
      </c>
      <c r="K323" s="26" t="n"/>
      <c r="L323" s="24">
        <f>IF(ISNUMBER(I323),I323-IF(ISNUMBER(K323),K323,30),"")</f>
        <v/>
      </c>
      <c r="M323" s="27">
        <f>IF(I323="","",IF(ISNUMBER(I323),I323-TODAY(),"Check date"))</f>
        <v/>
      </c>
      <c r="N323" s="28">
        <f>IF(M323="","",IF(ISNUMBER(M323),IF(M323&lt;0,"Expired",IF(M323&lt;=30,"Due ≤30 days",IF(M323&lt;=90,"Due ≤90 days","OK"))),"Check date"))</f>
        <v/>
      </c>
      <c r="O323" s="24">
        <f>IF(ISNUMBER(E323),EDATE(E323,12*(IFERROR(DATEDIF(E323,TODAY(),"y"),0)+1)),"")</f>
        <v/>
      </c>
      <c r="P323" s="26" t="n"/>
      <c r="Q323" s="26" t="n"/>
      <c r="R323" s="27">
        <f>IF(LEN(A323)=0,"",MAX(0,IF(ISNUMBER(Q323),Q323,12)-N(P323)))</f>
        <v/>
      </c>
      <c r="S323" s="23" t="n"/>
      <c r="T323" s="27">
        <f>IF(S323="","",IF(ISNUMBER(S323),S323-TODAY(),"Check date"))</f>
        <v/>
      </c>
      <c r="U323" s="22" t="n"/>
      <c r="V323" s="22" t="n"/>
      <c r="W323" s="22" t="n"/>
      <c r="X323" s="22" t="n"/>
    </row>
    <row r="324">
      <c r="A324" s="22" t="n"/>
      <c r="B324" s="22" t="n"/>
      <c r="C324" s="22" t="n"/>
      <c r="D324" s="22" t="n"/>
      <c r="E324" s="23" t="n"/>
      <c r="F324" s="23" t="n"/>
      <c r="G324" s="23" t="n"/>
      <c r="H324" s="24">
        <f>IF(ISNUMBER(G324),EDATE(G324,24),"")</f>
        <v/>
      </c>
      <c r="I324" s="24">
        <f>IF(OR(AND(LEN(F324)&gt;0,ISNUMBER(F324)=FALSE),AND(LEN(G324)&gt;0,ISNUMBER(G324)=FALSE)),"Check date",IF(COUNT(F324,H324)=0,"",MIN(F324,H324)))</f>
        <v/>
      </c>
      <c r="J324" s="25">
        <f>IF(ISNUMBER(I324)=FALSE,"",IF(AND(ISNUMBER(H324),I324=H324),"24-month work rule","Registry expiry"))</f>
        <v/>
      </c>
      <c r="K324" s="26" t="n"/>
      <c r="L324" s="24">
        <f>IF(ISNUMBER(I324),I324-IF(ISNUMBER(K324),K324,30),"")</f>
        <v/>
      </c>
      <c r="M324" s="27">
        <f>IF(I324="","",IF(ISNUMBER(I324),I324-TODAY(),"Check date"))</f>
        <v/>
      </c>
      <c r="N324" s="28">
        <f>IF(M324="","",IF(ISNUMBER(M324),IF(M324&lt;0,"Expired",IF(M324&lt;=30,"Due ≤30 days",IF(M324&lt;=90,"Due ≤90 days","OK"))),"Check date"))</f>
        <v/>
      </c>
      <c r="O324" s="24">
        <f>IF(ISNUMBER(E324),EDATE(E324,12*(IFERROR(DATEDIF(E324,TODAY(),"y"),0)+1)),"")</f>
        <v/>
      </c>
      <c r="P324" s="26" t="n"/>
      <c r="Q324" s="26" t="n"/>
      <c r="R324" s="27">
        <f>IF(LEN(A324)=0,"",MAX(0,IF(ISNUMBER(Q324),Q324,12)-N(P324)))</f>
        <v/>
      </c>
      <c r="S324" s="23" t="n"/>
      <c r="T324" s="27">
        <f>IF(S324="","",IF(ISNUMBER(S324),S324-TODAY(),"Check date"))</f>
        <v/>
      </c>
      <c r="U324" s="22" t="n"/>
      <c r="V324" s="22" t="n"/>
      <c r="W324" s="22" t="n"/>
      <c r="X324" s="22" t="n"/>
    </row>
    <row r="325">
      <c r="A325" s="22" t="n"/>
      <c r="B325" s="22" t="n"/>
      <c r="C325" s="22" t="n"/>
      <c r="D325" s="22" t="n"/>
      <c r="E325" s="23" t="n"/>
      <c r="F325" s="23" t="n"/>
      <c r="G325" s="23" t="n"/>
      <c r="H325" s="24">
        <f>IF(ISNUMBER(G325),EDATE(G325,24),"")</f>
        <v/>
      </c>
      <c r="I325" s="24">
        <f>IF(OR(AND(LEN(F325)&gt;0,ISNUMBER(F325)=FALSE),AND(LEN(G325)&gt;0,ISNUMBER(G325)=FALSE)),"Check date",IF(COUNT(F325,H325)=0,"",MIN(F325,H325)))</f>
        <v/>
      </c>
      <c r="J325" s="25">
        <f>IF(ISNUMBER(I325)=FALSE,"",IF(AND(ISNUMBER(H325),I325=H325),"24-month work rule","Registry expiry"))</f>
        <v/>
      </c>
      <c r="K325" s="26" t="n"/>
      <c r="L325" s="24">
        <f>IF(ISNUMBER(I325),I325-IF(ISNUMBER(K325),K325,30),"")</f>
        <v/>
      </c>
      <c r="M325" s="27">
        <f>IF(I325="","",IF(ISNUMBER(I325),I325-TODAY(),"Check date"))</f>
        <v/>
      </c>
      <c r="N325" s="28">
        <f>IF(M325="","",IF(ISNUMBER(M325),IF(M325&lt;0,"Expired",IF(M325&lt;=30,"Due ≤30 days",IF(M325&lt;=90,"Due ≤90 days","OK"))),"Check date"))</f>
        <v/>
      </c>
      <c r="O325" s="24">
        <f>IF(ISNUMBER(E325),EDATE(E325,12*(IFERROR(DATEDIF(E325,TODAY(),"y"),0)+1)),"")</f>
        <v/>
      </c>
      <c r="P325" s="26" t="n"/>
      <c r="Q325" s="26" t="n"/>
      <c r="R325" s="27">
        <f>IF(LEN(A325)=0,"",MAX(0,IF(ISNUMBER(Q325),Q325,12)-N(P325)))</f>
        <v/>
      </c>
      <c r="S325" s="23" t="n"/>
      <c r="T325" s="27">
        <f>IF(S325="","",IF(ISNUMBER(S325),S325-TODAY(),"Check date"))</f>
        <v/>
      </c>
      <c r="U325" s="22" t="n"/>
      <c r="V325" s="22" t="n"/>
      <c r="W325" s="22" t="n"/>
      <c r="X325" s="22" t="n"/>
    </row>
    <row r="326">
      <c r="A326" s="22" t="n"/>
      <c r="B326" s="22" t="n"/>
      <c r="C326" s="22" t="n"/>
      <c r="D326" s="22" t="n"/>
      <c r="E326" s="23" t="n"/>
      <c r="F326" s="23" t="n"/>
      <c r="G326" s="23" t="n"/>
      <c r="H326" s="24">
        <f>IF(ISNUMBER(G326),EDATE(G326,24),"")</f>
        <v/>
      </c>
      <c r="I326" s="24">
        <f>IF(OR(AND(LEN(F326)&gt;0,ISNUMBER(F326)=FALSE),AND(LEN(G326)&gt;0,ISNUMBER(G326)=FALSE)),"Check date",IF(COUNT(F326,H326)=0,"",MIN(F326,H326)))</f>
        <v/>
      </c>
      <c r="J326" s="25">
        <f>IF(ISNUMBER(I326)=FALSE,"",IF(AND(ISNUMBER(H326),I326=H326),"24-month work rule","Registry expiry"))</f>
        <v/>
      </c>
      <c r="K326" s="26" t="n"/>
      <c r="L326" s="24">
        <f>IF(ISNUMBER(I326),I326-IF(ISNUMBER(K326),K326,30),"")</f>
        <v/>
      </c>
      <c r="M326" s="27">
        <f>IF(I326="","",IF(ISNUMBER(I326),I326-TODAY(),"Check date"))</f>
        <v/>
      </c>
      <c r="N326" s="28">
        <f>IF(M326="","",IF(ISNUMBER(M326),IF(M326&lt;0,"Expired",IF(M326&lt;=30,"Due ≤30 days",IF(M326&lt;=90,"Due ≤90 days","OK"))),"Check date"))</f>
        <v/>
      </c>
      <c r="O326" s="24">
        <f>IF(ISNUMBER(E326),EDATE(E326,12*(IFERROR(DATEDIF(E326,TODAY(),"y"),0)+1)),"")</f>
        <v/>
      </c>
      <c r="P326" s="26" t="n"/>
      <c r="Q326" s="26" t="n"/>
      <c r="R326" s="27">
        <f>IF(LEN(A326)=0,"",MAX(0,IF(ISNUMBER(Q326),Q326,12)-N(P326)))</f>
        <v/>
      </c>
      <c r="S326" s="23" t="n"/>
      <c r="T326" s="27">
        <f>IF(S326="","",IF(ISNUMBER(S326),S326-TODAY(),"Check date"))</f>
        <v/>
      </c>
      <c r="U326" s="22" t="n"/>
      <c r="V326" s="22" t="n"/>
      <c r="W326" s="22" t="n"/>
      <c r="X326" s="22" t="n"/>
    </row>
    <row r="327">
      <c r="A327" s="22" t="n"/>
      <c r="B327" s="22" t="n"/>
      <c r="C327" s="22" t="n"/>
      <c r="D327" s="22" t="n"/>
      <c r="E327" s="23" t="n"/>
      <c r="F327" s="23" t="n"/>
      <c r="G327" s="23" t="n"/>
      <c r="H327" s="24">
        <f>IF(ISNUMBER(G327),EDATE(G327,24),"")</f>
        <v/>
      </c>
      <c r="I327" s="24">
        <f>IF(OR(AND(LEN(F327)&gt;0,ISNUMBER(F327)=FALSE),AND(LEN(G327)&gt;0,ISNUMBER(G327)=FALSE)),"Check date",IF(COUNT(F327,H327)=0,"",MIN(F327,H327)))</f>
        <v/>
      </c>
      <c r="J327" s="25">
        <f>IF(ISNUMBER(I327)=FALSE,"",IF(AND(ISNUMBER(H327),I327=H327),"24-month work rule","Registry expiry"))</f>
        <v/>
      </c>
      <c r="K327" s="26" t="n"/>
      <c r="L327" s="24">
        <f>IF(ISNUMBER(I327),I327-IF(ISNUMBER(K327),K327,30),"")</f>
        <v/>
      </c>
      <c r="M327" s="27">
        <f>IF(I327="","",IF(ISNUMBER(I327),I327-TODAY(),"Check date"))</f>
        <v/>
      </c>
      <c r="N327" s="28">
        <f>IF(M327="","",IF(ISNUMBER(M327),IF(M327&lt;0,"Expired",IF(M327&lt;=30,"Due ≤30 days",IF(M327&lt;=90,"Due ≤90 days","OK"))),"Check date"))</f>
        <v/>
      </c>
      <c r="O327" s="24">
        <f>IF(ISNUMBER(E327),EDATE(E327,12*(IFERROR(DATEDIF(E327,TODAY(),"y"),0)+1)),"")</f>
        <v/>
      </c>
      <c r="P327" s="26" t="n"/>
      <c r="Q327" s="26" t="n"/>
      <c r="R327" s="27">
        <f>IF(LEN(A327)=0,"",MAX(0,IF(ISNUMBER(Q327),Q327,12)-N(P327)))</f>
        <v/>
      </c>
      <c r="S327" s="23" t="n"/>
      <c r="T327" s="27">
        <f>IF(S327="","",IF(ISNUMBER(S327),S327-TODAY(),"Check date"))</f>
        <v/>
      </c>
      <c r="U327" s="22" t="n"/>
      <c r="V327" s="22" t="n"/>
      <c r="W327" s="22" t="n"/>
      <c r="X327" s="22" t="n"/>
    </row>
    <row r="328">
      <c r="A328" s="22" t="n"/>
      <c r="B328" s="22" t="n"/>
      <c r="C328" s="22" t="n"/>
      <c r="D328" s="22" t="n"/>
      <c r="E328" s="23" t="n"/>
      <c r="F328" s="23" t="n"/>
      <c r="G328" s="23" t="n"/>
      <c r="H328" s="24">
        <f>IF(ISNUMBER(G328),EDATE(G328,24),"")</f>
        <v/>
      </c>
      <c r="I328" s="24">
        <f>IF(OR(AND(LEN(F328)&gt;0,ISNUMBER(F328)=FALSE),AND(LEN(G328)&gt;0,ISNUMBER(G328)=FALSE)),"Check date",IF(COUNT(F328,H328)=0,"",MIN(F328,H328)))</f>
        <v/>
      </c>
      <c r="J328" s="25">
        <f>IF(ISNUMBER(I328)=FALSE,"",IF(AND(ISNUMBER(H328),I328=H328),"24-month work rule","Registry expiry"))</f>
        <v/>
      </c>
      <c r="K328" s="26" t="n"/>
      <c r="L328" s="24">
        <f>IF(ISNUMBER(I328),I328-IF(ISNUMBER(K328),K328,30),"")</f>
        <v/>
      </c>
      <c r="M328" s="27">
        <f>IF(I328="","",IF(ISNUMBER(I328),I328-TODAY(),"Check date"))</f>
        <v/>
      </c>
      <c r="N328" s="28">
        <f>IF(M328="","",IF(ISNUMBER(M328),IF(M328&lt;0,"Expired",IF(M328&lt;=30,"Due ≤30 days",IF(M328&lt;=90,"Due ≤90 days","OK"))),"Check date"))</f>
        <v/>
      </c>
      <c r="O328" s="24">
        <f>IF(ISNUMBER(E328),EDATE(E328,12*(IFERROR(DATEDIF(E328,TODAY(),"y"),0)+1)),"")</f>
        <v/>
      </c>
      <c r="P328" s="26" t="n"/>
      <c r="Q328" s="26" t="n"/>
      <c r="R328" s="27">
        <f>IF(LEN(A328)=0,"",MAX(0,IF(ISNUMBER(Q328),Q328,12)-N(P328)))</f>
        <v/>
      </c>
      <c r="S328" s="23" t="n"/>
      <c r="T328" s="27">
        <f>IF(S328="","",IF(ISNUMBER(S328),S328-TODAY(),"Check date"))</f>
        <v/>
      </c>
      <c r="U328" s="22" t="n"/>
      <c r="V328" s="22" t="n"/>
      <c r="W328" s="22" t="n"/>
      <c r="X328" s="22" t="n"/>
    </row>
    <row r="329">
      <c r="A329" s="22" t="n"/>
      <c r="B329" s="22" t="n"/>
      <c r="C329" s="22" t="n"/>
      <c r="D329" s="22" t="n"/>
      <c r="E329" s="23" t="n"/>
      <c r="F329" s="23" t="n"/>
      <c r="G329" s="23" t="n"/>
      <c r="H329" s="24">
        <f>IF(ISNUMBER(G329),EDATE(G329,24),"")</f>
        <v/>
      </c>
      <c r="I329" s="24">
        <f>IF(OR(AND(LEN(F329)&gt;0,ISNUMBER(F329)=FALSE),AND(LEN(G329)&gt;0,ISNUMBER(G329)=FALSE)),"Check date",IF(COUNT(F329,H329)=0,"",MIN(F329,H329)))</f>
        <v/>
      </c>
      <c r="J329" s="25">
        <f>IF(ISNUMBER(I329)=FALSE,"",IF(AND(ISNUMBER(H329),I329=H329),"24-month work rule","Registry expiry"))</f>
        <v/>
      </c>
      <c r="K329" s="26" t="n"/>
      <c r="L329" s="24">
        <f>IF(ISNUMBER(I329),I329-IF(ISNUMBER(K329),K329,30),"")</f>
        <v/>
      </c>
      <c r="M329" s="27">
        <f>IF(I329="","",IF(ISNUMBER(I329),I329-TODAY(),"Check date"))</f>
        <v/>
      </c>
      <c r="N329" s="28">
        <f>IF(M329="","",IF(ISNUMBER(M329),IF(M329&lt;0,"Expired",IF(M329&lt;=30,"Due ≤30 days",IF(M329&lt;=90,"Due ≤90 days","OK"))),"Check date"))</f>
        <v/>
      </c>
      <c r="O329" s="24">
        <f>IF(ISNUMBER(E329),EDATE(E329,12*(IFERROR(DATEDIF(E329,TODAY(),"y"),0)+1)),"")</f>
        <v/>
      </c>
      <c r="P329" s="26" t="n"/>
      <c r="Q329" s="26" t="n"/>
      <c r="R329" s="27">
        <f>IF(LEN(A329)=0,"",MAX(0,IF(ISNUMBER(Q329),Q329,12)-N(P329)))</f>
        <v/>
      </c>
      <c r="S329" s="23" t="n"/>
      <c r="T329" s="27">
        <f>IF(S329="","",IF(ISNUMBER(S329),S329-TODAY(),"Check date"))</f>
        <v/>
      </c>
      <c r="U329" s="22" t="n"/>
      <c r="V329" s="22" t="n"/>
      <c r="W329" s="22" t="n"/>
      <c r="X329" s="22" t="n"/>
    </row>
    <row r="330">
      <c r="A330" s="22" t="n"/>
      <c r="B330" s="22" t="n"/>
      <c r="C330" s="22" t="n"/>
      <c r="D330" s="22" t="n"/>
      <c r="E330" s="23" t="n"/>
      <c r="F330" s="23" t="n"/>
      <c r="G330" s="23" t="n"/>
      <c r="H330" s="24">
        <f>IF(ISNUMBER(G330),EDATE(G330,24),"")</f>
        <v/>
      </c>
      <c r="I330" s="24">
        <f>IF(OR(AND(LEN(F330)&gt;0,ISNUMBER(F330)=FALSE),AND(LEN(G330)&gt;0,ISNUMBER(G330)=FALSE)),"Check date",IF(COUNT(F330,H330)=0,"",MIN(F330,H330)))</f>
        <v/>
      </c>
      <c r="J330" s="25">
        <f>IF(ISNUMBER(I330)=FALSE,"",IF(AND(ISNUMBER(H330),I330=H330),"24-month work rule","Registry expiry"))</f>
        <v/>
      </c>
      <c r="K330" s="26" t="n"/>
      <c r="L330" s="24">
        <f>IF(ISNUMBER(I330),I330-IF(ISNUMBER(K330),K330,30),"")</f>
        <v/>
      </c>
      <c r="M330" s="27">
        <f>IF(I330="","",IF(ISNUMBER(I330),I330-TODAY(),"Check date"))</f>
        <v/>
      </c>
      <c r="N330" s="28">
        <f>IF(M330="","",IF(ISNUMBER(M330),IF(M330&lt;0,"Expired",IF(M330&lt;=30,"Due ≤30 days",IF(M330&lt;=90,"Due ≤90 days","OK"))),"Check date"))</f>
        <v/>
      </c>
      <c r="O330" s="24">
        <f>IF(ISNUMBER(E330),EDATE(E330,12*(IFERROR(DATEDIF(E330,TODAY(),"y"),0)+1)),"")</f>
        <v/>
      </c>
      <c r="P330" s="26" t="n"/>
      <c r="Q330" s="26" t="n"/>
      <c r="R330" s="27">
        <f>IF(LEN(A330)=0,"",MAX(0,IF(ISNUMBER(Q330),Q330,12)-N(P330)))</f>
        <v/>
      </c>
      <c r="S330" s="23" t="n"/>
      <c r="T330" s="27">
        <f>IF(S330="","",IF(ISNUMBER(S330),S330-TODAY(),"Check date"))</f>
        <v/>
      </c>
      <c r="U330" s="22" t="n"/>
      <c r="V330" s="22" t="n"/>
      <c r="W330" s="22" t="n"/>
      <c r="X330" s="22" t="n"/>
    </row>
    <row r="331">
      <c r="A331" s="22" t="n"/>
      <c r="B331" s="22" t="n"/>
      <c r="C331" s="22" t="n"/>
      <c r="D331" s="22" t="n"/>
      <c r="E331" s="23" t="n"/>
      <c r="F331" s="23" t="n"/>
      <c r="G331" s="23" t="n"/>
      <c r="H331" s="24">
        <f>IF(ISNUMBER(G331),EDATE(G331,24),"")</f>
        <v/>
      </c>
      <c r="I331" s="24">
        <f>IF(OR(AND(LEN(F331)&gt;0,ISNUMBER(F331)=FALSE),AND(LEN(G331)&gt;0,ISNUMBER(G331)=FALSE)),"Check date",IF(COUNT(F331,H331)=0,"",MIN(F331,H331)))</f>
        <v/>
      </c>
      <c r="J331" s="25">
        <f>IF(ISNUMBER(I331)=FALSE,"",IF(AND(ISNUMBER(H331),I331=H331),"24-month work rule","Registry expiry"))</f>
        <v/>
      </c>
      <c r="K331" s="26" t="n"/>
      <c r="L331" s="24">
        <f>IF(ISNUMBER(I331),I331-IF(ISNUMBER(K331),K331,30),"")</f>
        <v/>
      </c>
      <c r="M331" s="27">
        <f>IF(I331="","",IF(ISNUMBER(I331),I331-TODAY(),"Check date"))</f>
        <v/>
      </c>
      <c r="N331" s="28">
        <f>IF(M331="","",IF(ISNUMBER(M331),IF(M331&lt;0,"Expired",IF(M331&lt;=30,"Due ≤30 days",IF(M331&lt;=90,"Due ≤90 days","OK"))),"Check date"))</f>
        <v/>
      </c>
      <c r="O331" s="24">
        <f>IF(ISNUMBER(E331),EDATE(E331,12*(IFERROR(DATEDIF(E331,TODAY(),"y"),0)+1)),"")</f>
        <v/>
      </c>
      <c r="P331" s="26" t="n"/>
      <c r="Q331" s="26" t="n"/>
      <c r="R331" s="27">
        <f>IF(LEN(A331)=0,"",MAX(0,IF(ISNUMBER(Q331),Q331,12)-N(P331)))</f>
        <v/>
      </c>
      <c r="S331" s="23" t="n"/>
      <c r="T331" s="27">
        <f>IF(S331="","",IF(ISNUMBER(S331),S331-TODAY(),"Check date"))</f>
        <v/>
      </c>
      <c r="U331" s="22" t="n"/>
      <c r="V331" s="22" t="n"/>
      <c r="W331" s="22" t="n"/>
      <c r="X331" s="22" t="n"/>
    </row>
    <row r="332">
      <c r="A332" s="22" t="n"/>
      <c r="B332" s="22" t="n"/>
      <c r="C332" s="22" t="n"/>
      <c r="D332" s="22" t="n"/>
      <c r="E332" s="23" t="n"/>
      <c r="F332" s="23" t="n"/>
      <c r="G332" s="23" t="n"/>
      <c r="H332" s="24">
        <f>IF(ISNUMBER(G332),EDATE(G332,24),"")</f>
        <v/>
      </c>
      <c r="I332" s="24">
        <f>IF(OR(AND(LEN(F332)&gt;0,ISNUMBER(F332)=FALSE),AND(LEN(G332)&gt;0,ISNUMBER(G332)=FALSE)),"Check date",IF(COUNT(F332,H332)=0,"",MIN(F332,H332)))</f>
        <v/>
      </c>
      <c r="J332" s="25">
        <f>IF(ISNUMBER(I332)=FALSE,"",IF(AND(ISNUMBER(H332),I332=H332),"24-month work rule","Registry expiry"))</f>
        <v/>
      </c>
      <c r="K332" s="26" t="n"/>
      <c r="L332" s="24">
        <f>IF(ISNUMBER(I332),I332-IF(ISNUMBER(K332),K332,30),"")</f>
        <v/>
      </c>
      <c r="M332" s="27">
        <f>IF(I332="","",IF(ISNUMBER(I332),I332-TODAY(),"Check date"))</f>
        <v/>
      </c>
      <c r="N332" s="28">
        <f>IF(M332="","",IF(ISNUMBER(M332),IF(M332&lt;0,"Expired",IF(M332&lt;=30,"Due ≤30 days",IF(M332&lt;=90,"Due ≤90 days","OK"))),"Check date"))</f>
        <v/>
      </c>
      <c r="O332" s="24">
        <f>IF(ISNUMBER(E332),EDATE(E332,12*(IFERROR(DATEDIF(E332,TODAY(),"y"),0)+1)),"")</f>
        <v/>
      </c>
      <c r="P332" s="26" t="n"/>
      <c r="Q332" s="26" t="n"/>
      <c r="R332" s="27">
        <f>IF(LEN(A332)=0,"",MAX(0,IF(ISNUMBER(Q332),Q332,12)-N(P332)))</f>
        <v/>
      </c>
      <c r="S332" s="23" t="n"/>
      <c r="T332" s="27">
        <f>IF(S332="","",IF(ISNUMBER(S332),S332-TODAY(),"Check date"))</f>
        <v/>
      </c>
      <c r="U332" s="22" t="n"/>
      <c r="V332" s="22" t="n"/>
      <c r="W332" s="22" t="n"/>
      <c r="X332" s="22" t="n"/>
    </row>
    <row r="333">
      <c r="A333" s="22" t="n"/>
      <c r="B333" s="22" t="n"/>
      <c r="C333" s="22" t="n"/>
      <c r="D333" s="22" t="n"/>
      <c r="E333" s="23" t="n"/>
      <c r="F333" s="23" t="n"/>
      <c r="G333" s="23" t="n"/>
      <c r="H333" s="24">
        <f>IF(ISNUMBER(G333),EDATE(G333,24),"")</f>
        <v/>
      </c>
      <c r="I333" s="24">
        <f>IF(OR(AND(LEN(F333)&gt;0,ISNUMBER(F333)=FALSE),AND(LEN(G333)&gt;0,ISNUMBER(G333)=FALSE)),"Check date",IF(COUNT(F333,H333)=0,"",MIN(F333,H333)))</f>
        <v/>
      </c>
      <c r="J333" s="25">
        <f>IF(ISNUMBER(I333)=FALSE,"",IF(AND(ISNUMBER(H333),I333=H333),"24-month work rule","Registry expiry"))</f>
        <v/>
      </c>
      <c r="K333" s="26" t="n"/>
      <c r="L333" s="24">
        <f>IF(ISNUMBER(I333),I333-IF(ISNUMBER(K333),K333,30),"")</f>
        <v/>
      </c>
      <c r="M333" s="27">
        <f>IF(I333="","",IF(ISNUMBER(I333),I333-TODAY(),"Check date"))</f>
        <v/>
      </c>
      <c r="N333" s="28">
        <f>IF(M333="","",IF(ISNUMBER(M333),IF(M333&lt;0,"Expired",IF(M333&lt;=30,"Due ≤30 days",IF(M333&lt;=90,"Due ≤90 days","OK"))),"Check date"))</f>
        <v/>
      </c>
      <c r="O333" s="24">
        <f>IF(ISNUMBER(E333),EDATE(E333,12*(IFERROR(DATEDIF(E333,TODAY(),"y"),0)+1)),"")</f>
        <v/>
      </c>
      <c r="P333" s="26" t="n"/>
      <c r="Q333" s="26" t="n"/>
      <c r="R333" s="27">
        <f>IF(LEN(A333)=0,"",MAX(0,IF(ISNUMBER(Q333),Q333,12)-N(P333)))</f>
        <v/>
      </c>
      <c r="S333" s="23" t="n"/>
      <c r="T333" s="27">
        <f>IF(S333="","",IF(ISNUMBER(S333),S333-TODAY(),"Check date"))</f>
        <v/>
      </c>
      <c r="U333" s="22" t="n"/>
      <c r="V333" s="22" t="n"/>
      <c r="W333" s="22" t="n"/>
      <c r="X333" s="22" t="n"/>
    </row>
    <row r="334">
      <c r="A334" s="22" t="n"/>
      <c r="B334" s="22" t="n"/>
      <c r="C334" s="22" t="n"/>
      <c r="D334" s="22" t="n"/>
      <c r="E334" s="23" t="n"/>
      <c r="F334" s="23" t="n"/>
      <c r="G334" s="23" t="n"/>
      <c r="H334" s="24">
        <f>IF(ISNUMBER(G334),EDATE(G334,24),"")</f>
        <v/>
      </c>
      <c r="I334" s="24">
        <f>IF(OR(AND(LEN(F334)&gt;0,ISNUMBER(F334)=FALSE),AND(LEN(G334)&gt;0,ISNUMBER(G334)=FALSE)),"Check date",IF(COUNT(F334,H334)=0,"",MIN(F334,H334)))</f>
        <v/>
      </c>
      <c r="J334" s="25">
        <f>IF(ISNUMBER(I334)=FALSE,"",IF(AND(ISNUMBER(H334),I334=H334),"24-month work rule","Registry expiry"))</f>
        <v/>
      </c>
      <c r="K334" s="26" t="n"/>
      <c r="L334" s="24">
        <f>IF(ISNUMBER(I334),I334-IF(ISNUMBER(K334),K334,30),"")</f>
        <v/>
      </c>
      <c r="M334" s="27">
        <f>IF(I334="","",IF(ISNUMBER(I334),I334-TODAY(),"Check date"))</f>
        <v/>
      </c>
      <c r="N334" s="28">
        <f>IF(M334="","",IF(ISNUMBER(M334),IF(M334&lt;0,"Expired",IF(M334&lt;=30,"Due ≤30 days",IF(M334&lt;=90,"Due ≤90 days","OK"))),"Check date"))</f>
        <v/>
      </c>
      <c r="O334" s="24">
        <f>IF(ISNUMBER(E334),EDATE(E334,12*(IFERROR(DATEDIF(E334,TODAY(),"y"),0)+1)),"")</f>
        <v/>
      </c>
      <c r="P334" s="26" t="n"/>
      <c r="Q334" s="26" t="n"/>
      <c r="R334" s="27">
        <f>IF(LEN(A334)=0,"",MAX(0,IF(ISNUMBER(Q334),Q334,12)-N(P334)))</f>
        <v/>
      </c>
      <c r="S334" s="23" t="n"/>
      <c r="T334" s="27">
        <f>IF(S334="","",IF(ISNUMBER(S334),S334-TODAY(),"Check date"))</f>
        <v/>
      </c>
      <c r="U334" s="22" t="n"/>
      <c r="V334" s="22" t="n"/>
      <c r="W334" s="22" t="n"/>
      <c r="X334" s="22" t="n"/>
    </row>
    <row r="335">
      <c r="A335" s="22" t="n"/>
      <c r="B335" s="22" t="n"/>
      <c r="C335" s="22" t="n"/>
      <c r="D335" s="22" t="n"/>
      <c r="E335" s="23" t="n"/>
      <c r="F335" s="23" t="n"/>
      <c r="G335" s="23" t="n"/>
      <c r="H335" s="24">
        <f>IF(ISNUMBER(G335),EDATE(G335,24),"")</f>
        <v/>
      </c>
      <c r="I335" s="24">
        <f>IF(OR(AND(LEN(F335)&gt;0,ISNUMBER(F335)=FALSE),AND(LEN(G335)&gt;0,ISNUMBER(G335)=FALSE)),"Check date",IF(COUNT(F335,H335)=0,"",MIN(F335,H335)))</f>
        <v/>
      </c>
      <c r="J335" s="25">
        <f>IF(ISNUMBER(I335)=FALSE,"",IF(AND(ISNUMBER(H335),I335=H335),"24-month work rule","Registry expiry"))</f>
        <v/>
      </c>
      <c r="K335" s="26" t="n"/>
      <c r="L335" s="24">
        <f>IF(ISNUMBER(I335),I335-IF(ISNUMBER(K335),K335,30),"")</f>
        <v/>
      </c>
      <c r="M335" s="27">
        <f>IF(I335="","",IF(ISNUMBER(I335),I335-TODAY(),"Check date"))</f>
        <v/>
      </c>
      <c r="N335" s="28">
        <f>IF(M335="","",IF(ISNUMBER(M335),IF(M335&lt;0,"Expired",IF(M335&lt;=30,"Due ≤30 days",IF(M335&lt;=90,"Due ≤90 days","OK"))),"Check date"))</f>
        <v/>
      </c>
      <c r="O335" s="24">
        <f>IF(ISNUMBER(E335),EDATE(E335,12*(IFERROR(DATEDIF(E335,TODAY(),"y"),0)+1)),"")</f>
        <v/>
      </c>
      <c r="P335" s="26" t="n"/>
      <c r="Q335" s="26" t="n"/>
      <c r="R335" s="27">
        <f>IF(LEN(A335)=0,"",MAX(0,IF(ISNUMBER(Q335),Q335,12)-N(P335)))</f>
        <v/>
      </c>
      <c r="S335" s="23" t="n"/>
      <c r="T335" s="27">
        <f>IF(S335="","",IF(ISNUMBER(S335),S335-TODAY(),"Check date"))</f>
        <v/>
      </c>
      <c r="U335" s="22" t="n"/>
      <c r="V335" s="22" t="n"/>
      <c r="W335" s="22" t="n"/>
      <c r="X335" s="22" t="n"/>
    </row>
    <row r="336">
      <c r="A336" s="22" t="n"/>
      <c r="B336" s="22" t="n"/>
      <c r="C336" s="22" t="n"/>
      <c r="D336" s="22" t="n"/>
      <c r="E336" s="23" t="n"/>
      <c r="F336" s="23" t="n"/>
      <c r="G336" s="23" t="n"/>
      <c r="H336" s="24">
        <f>IF(ISNUMBER(G336),EDATE(G336,24),"")</f>
        <v/>
      </c>
      <c r="I336" s="24">
        <f>IF(OR(AND(LEN(F336)&gt;0,ISNUMBER(F336)=FALSE),AND(LEN(G336)&gt;0,ISNUMBER(G336)=FALSE)),"Check date",IF(COUNT(F336,H336)=0,"",MIN(F336,H336)))</f>
        <v/>
      </c>
      <c r="J336" s="25">
        <f>IF(ISNUMBER(I336)=FALSE,"",IF(AND(ISNUMBER(H336),I336=H336),"24-month work rule","Registry expiry"))</f>
        <v/>
      </c>
      <c r="K336" s="26" t="n"/>
      <c r="L336" s="24">
        <f>IF(ISNUMBER(I336),I336-IF(ISNUMBER(K336),K336,30),"")</f>
        <v/>
      </c>
      <c r="M336" s="27">
        <f>IF(I336="","",IF(ISNUMBER(I336),I336-TODAY(),"Check date"))</f>
        <v/>
      </c>
      <c r="N336" s="28">
        <f>IF(M336="","",IF(ISNUMBER(M336),IF(M336&lt;0,"Expired",IF(M336&lt;=30,"Due ≤30 days",IF(M336&lt;=90,"Due ≤90 days","OK"))),"Check date"))</f>
        <v/>
      </c>
      <c r="O336" s="24">
        <f>IF(ISNUMBER(E336),EDATE(E336,12*(IFERROR(DATEDIF(E336,TODAY(),"y"),0)+1)),"")</f>
        <v/>
      </c>
      <c r="P336" s="26" t="n"/>
      <c r="Q336" s="26" t="n"/>
      <c r="R336" s="27">
        <f>IF(LEN(A336)=0,"",MAX(0,IF(ISNUMBER(Q336),Q336,12)-N(P336)))</f>
        <v/>
      </c>
      <c r="S336" s="23" t="n"/>
      <c r="T336" s="27">
        <f>IF(S336="","",IF(ISNUMBER(S336),S336-TODAY(),"Check date"))</f>
        <v/>
      </c>
      <c r="U336" s="22" t="n"/>
      <c r="V336" s="22" t="n"/>
      <c r="W336" s="22" t="n"/>
      <c r="X336" s="22" t="n"/>
    </row>
    <row r="337">
      <c r="A337" s="22" t="n"/>
      <c r="B337" s="22" t="n"/>
      <c r="C337" s="22" t="n"/>
      <c r="D337" s="22" t="n"/>
      <c r="E337" s="23" t="n"/>
      <c r="F337" s="23" t="n"/>
      <c r="G337" s="23" t="n"/>
      <c r="H337" s="24">
        <f>IF(ISNUMBER(G337),EDATE(G337,24),"")</f>
        <v/>
      </c>
      <c r="I337" s="24">
        <f>IF(OR(AND(LEN(F337)&gt;0,ISNUMBER(F337)=FALSE),AND(LEN(G337)&gt;0,ISNUMBER(G337)=FALSE)),"Check date",IF(COUNT(F337,H337)=0,"",MIN(F337,H337)))</f>
        <v/>
      </c>
      <c r="J337" s="25">
        <f>IF(ISNUMBER(I337)=FALSE,"",IF(AND(ISNUMBER(H337),I337=H337),"24-month work rule","Registry expiry"))</f>
        <v/>
      </c>
      <c r="K337" s="26" t="n"/>
      <c r="L337" s="24">
        <f>IF(ISNUMBER(I337),I337-IF(ISNUMBER(K337),K337,30),"")</f>
        <v/>
      </c>
      <c r="M337" s="27">
        <f>IF(I337="","",IF(ISNUMBER(I337),I337-TODAY(),"Check date"))</f>
        <v/>
      </c>
      <c r="N337" s="28">
        <f>IF(M337="","",IF(ISNUMBER(M337),IF(M337&lt;0,"Expired",IF(M337&lt;=30,"Due ≤30 days",IF(M337&lt;=90,"Due ≤90 days","OK"))),"Check date"))</f>
        <v/>
      </c>
      <c r="O337" s="24">
        <f>IF(ISNUMBER(E337),EDATE(E337,12*(IFERROR(DATEDIF(E337,TODAY(),"y"),0)+1)),"")</f>
        <v/>
      </c>
      <c r="P337" s="26" t="n"/>
      <c r="Q337" s="26" t="n"/>
      <c r="R337" s="27">
        <f>IF(LEN(A337)=0,"",MAX(0,IF(ISNUMBER(Q337),Q337,12)-N(P337)))</f>
        <v/>
      </c>
      <c r="S337" s="23" t="n"/>
      <c r="T337" s="27">
        <f>IF(S337="","",IF(ISNUMBER(S337),S337-TODAY(),"Check date"))</f>
        <v/>
      </c>
      <c r="U337" s="22" t="n"/>
      <c r="V337" s="22" t="n"/>
      <c r="W337" s="22" t="n"/>
      <c r="X337" s="22" t="n"/>
    </row>
    <row r="338">
      <c r="A338" s="22" t="n"/>
      <c r="B338" s="22" t="n"/>
      <c r="C338" s="22" t="n"/>
      <c r="D338" s="22" t="n"/>
      <c r="E338" s="23" t="n"/>
      <c r="F338" s="23" t="n"/>
      <c r="G338" s="23" t="n"/>
      <c r="H338" s="24">
        <f>IF(ISNUMBER(G338),EDATE(G338,24),"")</f>
        <v/>
      </c>
      <c r="I338" s="24">
        <f>IF(OR(AND(LEN(F338)&gt;0,ISNUMBER(F338)=FALSE),AND(LEN(G338)&gt;0,ISNUMBER(G338)=FALSE)),"Check date",IF(COUNT(F338,H338)=0,"",MIN(F338,H338)))</f>
        <v/>
      </c>
      <c r="J338" s="25">
        <f>IF(ISNUMBER(I338)=FALSE,"",IF(AND(ISNUMBER(H338),I338=H338),"24-month work rule","Registry expiry"))</f>
        <v/>
      </c>
      <c r="K338" s="26" t="n"/>
      <c r="L338" s="24">
        <f>IF(ISNUMBER(I338),I338-IF(ISNUMBER(K338),K338,30),"")</f>
        <v/>
      </c>
      <c r="M338" s="27">
        <f>IF(I338="","",IF(ISNUMBER(I338),I338-TODAY(),"Check date"))</f>
        <v/>
      </c>
      <c r="N338" s="28">
        <f>IF(M338="","",IF(ISNUMBER(M338),IF(M338&lt;0,"Expired",IF(M338&lt;=30,"Due ≤30 days",IF(M338&lt;=90,"Due ≤90 days","OK"))),"Check date"))</f>
        <v/>
      </c>
      <c r="O338" s="24">
        <f>IF(ISNUMBER(E338),EDATE(E338,12*(IFERROR(DATEDIF(E338,TODAY(),"y"),0)+1)),"")</f>
        <v/>
      </c>
      <c r="P338" s="26" t="n"/>
      <c r="Q338" s="26" t="n"/>
      <c r="R338" s="27">
        <f>IF(LEN(A338)=0,"",MAX(0,IF(ISNUMBER(Q338),Q338,12)-N(P338)))</f>
        <v/>
      </c>
      <c r="S338" s="23" t="n"/>
      <c r="T338" s="27">
        <f>IF(S338="","",IF(ISNUMBER(S338),S338-TODAY(),"Check date"))</f>
        <v/>
      </c>
      <c r="U338" s="22" t="n"/>
      <c r="V338" s="22" t="n"/>
      <c r="W338" s="22" t="n"/>
      <c r="X338" s="22" t="n"/>
    </row>
    <row r="339">
      <c r="A339" s="22" t="n"/>
      <c r="B339" s="22" t="n"/>
      <c r="C339" s="22" t="n"/>
      <c r="D339" s="22" t="n"/>
      <c r="E339" s="23" t="n"/>
      <c r="F339" s="23" t="n"/>
      <c r="G339" s="23" t="n"/>
      <c r="H339" s="24">
        <f>IF(ISNUMBER(G339),EDATE(G339,24),"")</f>
        <v/>
      </c>
      <c r="I339" s="24">
        <f>IF(OR(AND(LEN(F339)&gt;0,ISNUMBER(F339)=FALSE),AND(LEN(G339)&gt;0,ISNUMBER(G339)=FALSE)),"Check date",IF(COUNT(F339,H339)=0,"",MIN(F339,H339)))</f>
        <v/>
      </c>
      <c r="J339" s="25">
        <f>IF(ISNUMBER(I339)=FALSE,"",IF(AND(ISNUMBER(H339),I339=H339),"24-month work rule","Registry expiry"))</f>
        <v/>
      </c>
      <c r="K339" s="26" t="n"/>
      <c r="L339" s="24">
        <f>IF(ISNUMBER(I339),I339-IF(ISNUMBER(K339),K339,30),"")</f>
        <v/>
      </c>
      <c r="M339" s="27">
        <f>IF(I339="","",IF(ISNUMBER(I339),I339-TODAY(),"Check date"))</f>
        <v/>
      </c>
      <c r="N339" s="28">
        <f>IF(M339="","",IF(ISNUMBER(M339),IF(M339&lt;0,"Expired",IF(M339&lt;=30,"Due ≤30 days",IF(M339&lt;=90,"Due ≤90 days","OK"))),"Check date"))</f>
        <v/>
      </c>
      <c r="O339" s="24">
        <f>IF(ISNUMBER(E339),EDATE(E339,12*(IFERROR(DATEDIF(E339,TODAY(),"y"),0)+1)),"")</f>
        <v/>
      </c>
      <c r="P339" s="26" t="n"/>
      <c r="Q339" s="26" t="n"/>
      <c r="R339" s="27">
        <f>IF(LEN(A339)=0,"",MAX(0,IF(ISNUMBER(Q339),Q339,12)-N(P339)))</f>
        <v/>
      </c>
      <c r="S339" s="23" t="n"/>
      <c r="T339" s="27">
        <f>IF(S339="","",IF(ISNUMBER(S339),S339-TODAY(),"Check date"))</f>
        <v/>
      </c>
      <c r="U339" s="22" t="n"/>
      <c r="V339" s="22" t="n"/>
      <c r="W339" s="22" t="n"/>
      <c r="X339" s="22" t="n"/>
    </row>
    <row r="340">
      <c r="A340" s="22" t="n"/>
      <c r="B340" s="22" t="n"/>
      <c r="C340" s="22" t="n"/>
      <c r="D340" s="22" t="n"/>
      <c r="E340" s="23" t="n"/>
      <c r="F340" s="23" t="n"/>
      <c r="G340" s="23" t="n"/>
      <c r="H340" s="24">
        <f>IF(ISNUMBER(G340),EDATE(G340,24),"")</f>
        <v/>
      </c>
      <c r="I340" s="24">
        <f>IF(OR(AND(LEN(F340)&gt;0,ISNUMBER(F340)=FALSE),AND(LEN(G340)&gt;0,ISNUMBER(G340)=FALSE)),"Check date",IF(COUNT(F340,H340)=0,"",MIN(F340,H340)))</f>
        <v/>
      </c>
      <c r="J340" s="25">
        <f>IF(ISNUMBER(I340)=FALSE,"",IF(AND(ISNUMBER(H340),I340=H340),"24-month work rule","Registry expiry"))</f>
        <v/>
      </c>
      <c r="K340" s="26" t="n"/>
      <c r="L340" s="24">
        <f>IF(ISNUMBER(I340),I340-IF(ISNUMBER(K340),K340,30),"")</f>
        <v/>
      </c>
      <c r="M340" s="27">
        <f>IF(I340="","",IF(ISNUMBER(I340),I340-TODAY(),"Check date"))</f>
        <v/>
      </c>
      <c r="N340" s="28">
        <f>IF(M340="","",IF(ISNUMBER(M340),IF(M340&lt;0,"Expired",IF(M340&lt;=30,"Due ≤30 days",IF(M340&lt;=90,"Due ≤90 days","OK"))),"Check date"))</f>
        <v/>
      </c>
      <c r="O340" s="24">
        <f>IF(ISNUMBER(E340),EDATE(E340,12*(IFERROR(DATEDIF(E340,TODAY(),"y"),0)+1)),"")</f>
        <v/>
      </c>
      <c r="P340" s="26" t="n"/>
      <c r="Q340" s="26" t="n"/>
      <c r="R340" s="27">
        <f>IF(LEN(A340)=0,"",MAX(0,IF(ISNUMBER(Q340),Q340,12)-N(P340)))</f>
        <v/>
      </c>
      <c r="S340" s="23" t="n"/>
      <c r="T340" s="27">
        <f>IF(S340="","",IF(ISNUMBER(S340),S340-TODAY(),"Check date"))</f>
        <v/>
      </c>
      <c r="U340" s="22" t="n"/>
      <c r="V340" s="22" t="n"/>
      <c r="W340" s="22" t="n"/>
      <c r="X340" s="22" t="n"/>
    </row>
    <row r="341">
      <c r="A341" s="22" t="n"/>
      <c r="B341" s="22" t="n"/>
      <c r="C341" s="22" t="n"/>
      <c r="D341" s="22" t="n"/>
      <c r="E341" s="23" t="n"/>
      <c r="F341" s="23" t="n"/>
      <c r="G341" s="23" t="n"/>
      <c r="H341" s="24">
        <f>IF(ISNUMBER(G341),EDATE(G341,24),"")</f>
        <v/>
      </c>
      <c r="I341" s="24">
        <f>IF(OR(AND(LEN(F341)&gt;0,ISNUMBER(F341)=FALSE),AND(LEN(G341)&gt;0,ISNUMBER(G341)=FALSE)),"Check date",IF(COUNT(F341,H341)=0,"",MIN(F341,H341)))</f>
        <v/>
      </c>
      <c r="J341" s="25">
        <f>IF(ISNUMBER(I341)=FALSE,"",IF(AND(ISNUMBER(H341),I341=H341),"24-month work rule","Registry expiry"))</f>
        <v/>
      </c>
      <c r="K341" s="26" t="n"/>
      <c r="L341" s="24">
        <f>IF(ISNUMBER(I341),I341-IF(ISNUMBER(K341),K341,30),"")</f>
        <v/>
      </c>
      <c r="M341" s="27">
        <f>IF(I341="","",IF(ISNUMBER(I341),I341-TODAY(),"Check date"))</f>
        <v/>
      </c>
      <c r="N341" s="28">
        <f>IF(M341="","",IF(ISNUMBER(M341),IF(M341&lt;0,"Expired",IF(M341&lt;=30,"Due ≤30 days",IF(M341&lt;=90,"Due ≤90 days","OK"))),"Check date"))</f>
        <v/>
      </c>
      <c r="O341" s="24">
        <f>IF(ISNUMBER(E341),EDATE(E341,12*(IFERROR(DATEDIF(E341,TODAY(),"y"),0)+1)),"")</f>
        <v/>
      </c>
      <c r="P341" s="26" t="n"/>
      <c r="Q341" s="26" t="n"/>
      <c r="R341" s="27">
        <f>IF(LEN(A341)=0,"",MAX(0,IF(ISNUMBER(Q341),Q341,12)-N(P341)))</f>
        <v/>
      </c>
      <c r="S341" s="23" t="n"/>
      <c r="T341" s="27">
        <f>IF(S341="","",IF(ISNUMBER(S341),S341-TODAY(),"Check date"))</f>
        <v/>
      </c>
      <c r="U341" s="22" t="n"/>
      <c r="V341" s="22" t="n"/>
      <c r="W341" s="22" t="n"/>
      <c r="X341" s="22" t="n"/>
    </row>
    <row r="342">
      <c r="A342" s="22" t="n"/>
      <c r="B342" s="22" t="n"/>
      <c r="C342" s="22" t="n"/>
      <c r="D342" s="22" t="n"/>
      <c r="E342" s="23" t="n"/>
      <c r="F342" s="23" t="n"/>
      <c r="G342" s="23" t="n"/>
      <c r="H342" s="24">
        <f>IF(ISNUMBER(G342),EDATE(G342,24),"")</f>
        <v/>
      </c>
      <c r="I342" s="24">
        <f>IF(OR(AND(LEN(F342)&gt;0,ISNUMBER(F342)=FALSE),AND(LEN(G342)&gt;0,ISNUMBER(G342)=FALSE)),"Check date",IF(COUNT(F342,H342)=0,"",MIN(F342,H342)))</f>
        <v/>
      </c>
      <c r="J342" s="25">
        <f>IF(ISNUMBER(I342)=FALSE,"",IF(AND(ISNUMBER(H342),I342=H342),"24-month work rule","Registry expiry"))</f>
        <v/>
      </c>
      <c r="K342" s="26" t="n"/>
      <c r="L342" s="24">
        <f>IF(ISNUMBER(I342),I342-IF(ISNUMBER(K342),K342,30),"")</f>
        <v/>
      </c>
      <c r="M342" s="27">
        <f>IF(I342="","",IF(ISNUMBER(I342),I342-TODAY(),"Check date"))</f>
        <v/>
      </c>
      <c r="N342" s="28">
        <f>IF(M342="","",IF(ISNUMBER(M342),IF(M342&lt;0,"Expired",IF(M342&lt;=30,"Due ≤30 days",IF(M342&lt;=90,"Due ≤90 days","OK"))),"Check date"))</f>
        <v/>
      </c>
      <c r="O342" s="24">
        <f>IF(ISNUMBER(E342),EDATE(E342,12*(IFERROR(DATEDIF(E342,TODAY(),"y"),0)+1)),"")</f>
        <v/>
      </c>
      <c r="P342" s="26" t="n"/>
      <c r="Q342" s="26" t="n"/>
      <c r="R342" s="27">
        <f>IF(LEN(A342)=0,"",MAX(0,IF(ISNUMBER(Q342),Q342,12)-N(P342)))</f>
        <v/>
      </c>
      <c r="S342" s="23" t="n"/>
      <c r="T342" s="27">
        <f>IF(S342="","",IF(ISNUMBER(S342),S342-TODAY(),"Check date"))</f>
        <v/>
      </c>
      <c r="U342" s="22" t="n"/>
      <c r="V342" s="22" t="n"/>
      <c r="W342" s="22" t="n"/>
      <c r="X342" s="22" t="n"/>
    </row>
    <row r="343">
      <c r="A343" s="22" t="n"/>
      <c r="B343" s="22" t="n"/>
      <c r="C343" s="22" t="n"/>
      <c r="D343" s="22" t="n"/>
      <c r="E343" s="23" t="n"/>
      <c r="F343" s="23" t="n"/>
      <c r="G343" s="23" t="n"/>
      <c r="H343" s="24">
        <f>IF(ISNUMBER(G343),EDATE(G343,24),"")</f>
        <v/>
      </c>
      <c r="I343" s="24">
        <f>IF(OR(AND(LEN(F343)&gt;0,ISNUMBER(F343)=FALSE),AND(LEN(G343)&gt;0,ISNUMBER(G343)=FALSE)),"Check date",IF(COUNT(F343,H343)=0,"",MIN(F343,H343)))</f>
        <v/>
      </c>
      <c r="J343" s="25">
        <f>IF(ISNUMBER(I343)=FALSE,"",IF(AND(ISNUMBER(H343),I343=H343),"24-month work rule","Registry expiry"))</f>
        <v/>
      </c>
      <c r="K343" s="26" t="n"/>
      <c r="L343" s="24">
        <f>IF(ISNUMBER(I343),I343-IF(ISNUMBER(K343),K343,30),"")</f>
        <v/>
      </c>
      <c r="M343" s="27">
        <f>IF(I343="","",IF(ISNUMBER(I343),I343-TODAY(),"Check date"))</f>
        <v/>
      </c>
      <c r="N343" s="28">
        <f>IF(M343="","",IF(ISNUMBER(M343),IF(M343&lt;0,"Expired",IF(M343&lt;=30,"Due ≤30 days",IF(M343&lt;=90,"Due ≤90 days","OK"))),"Check date"))</f>
        <v/>
      </c>
      <c r="O343" s="24">
        <f>IF(ISNUMBER(E343),EDATE(E343,12*(IFERROR(DATEDIF(E343,TODAY(),"y"),0)+1)),"")</f>
        <v/>
      </c>
      <c r="P343" s="26" t="n"/>
      <c r="Q343" s="26" t="n"/>
      <c r="R343" s="27">
        <f>IF(LEN(A343)=0,"",MAX(0,IF(ISNUMBER(Q343),Q343,12)-N(P343)))</f>
        <v/>
      </c>
      <c r="S343" s="23" t="n"/>
      <c r="T343" s="27">
        <f>IF(S343="","",IF(ISNUMBER(S343),S343-TODAY(),"Check date"))</f>
        <v/>
      </c>
      <c r="U343" s="22" t="n"/>
      <c r="V343" s="22" t="n"/>
      <c r="W343" s="22" t="n"/>
      <c r="X343" s="22" t="n"/>
    </row>
    <row r="344">
      <c r="A344" s="22" t="n"/>
      <c r="B344" s="22" t="n"/>
      <c r="C344" s="22" t="n"/>
      <c r="D344" s="22" t="n"/>
      <c r="E344" s="23" t="n"/>
      <c r="F344" s="23" t="n"/>
      <c r="G344" s="23" t="n"/>
      <c r="H344" s="24">
        <f>IF(ISNUMBER(G344),EDATE(G344,24),"")</f>
        <v/>
      </c>
      <c r="I344" s="24">
        <f>IF(OR(AND(LEN(F344)&gt;0,ISNUMBER(F344)=FALSE),AND(LEN(G344)&gt;0,ISNUMBER(G344)=FALSE)),"Check date",IF(COUNT(F344,H344)=0,"",MIN(F344,H344)))</f>
        <v/>
      </c>
      <c r="J344" s="25">
        <f>IF(ISNUMBER(I344)=FALSE,"",IF(AND(ISNUMBER(H344),I344=H344),"24-month work rule","Registry expiry"))</f>
        <v/>
      </c>
      <c r="K344" s="26" t="n"/>
      <c r="L344" s="24">
        <f>IF(ISNUMBER(I344),I344-IF(ISNUMBER(K344),K344,30),"")</f>
        <v/>
      </c>
      <c r="M344" s="27">
        <f>IF(I344="","",IF(ISNUMBER(I344),I344-TODAY(),"Check date"))</f>
        <v/>
      </c>
      <c r="N344" s="28">
        <f>IF(M344="","",IF(ISNUMBER(M344),IF(M344&lt;0,"Expired",IF(M344&lt;=30,"Due ≤30 days",IF(M344&lt;=90,"Due ≤90 days","OK"))),"Check date"))</f>
        <v/>
      </c>
      <c r="O344" s="24">
        <f>IF(ISNUMBER(E344),EDATE(E344,12*(IFERROR(DATEDIF(E344,TODAY(),"y"),0)+1)),"")</f>
        <v/>
      </c>
      <c r="P344" s="26" t="n"/>
      <c r="Q344" s="26" t="n"/>
      <c r="R344" s="27">
        <f>IF(LEN(A344)=0,"",MAX(0,IF(ISNUMBER(Q344),Q344,12)-N(P344)))</f>
        <v/>
      </c>
      <c r="S344" s="23" t="n"/>
      <c r="T344" s="27">
        <f>IF(S344="","",IF(ISNUMBER(S344),S344-TODAY(),"Check date"))</f>
        <v/>
      </c>
      <c r="U344" s="22" t="n"/>
      <c r="V344" s="22" t="n"/>
      <c r="W344" s="22" t="n"/>
      <c r="X344" s="22" t="n"/>
    </row>
    <row r="345">
      <c r="A345" s="22" t="n"/>
      <c r="B345" s="22" t="n"/>
      <c r="C345" s="22" t="n"/>
      <c r="D345" s="22" t="n"/>
      <c r="E345" s="23" t="n"/>
      <c r="F345" s="23" t="n"/>
      <c r="G345" s="23" t="n"/>
      <c r="H345" s="24">
        <f>IF(ISNUMBER(G345),EDATE(G345,24),"")</f>
        <v/>
      </c>
      <c r="I345" s="24">
        <f>IF(OR(AND(LEN(F345)&gt;0,ISNUMBER(F345)=FALSE),AND(LEN(G345)&gt;0,ISNUMBER(G345)=FALSE)),"Check date",IF(COUNT(F345,H345)=0,"",MIN(F345,H345)))</f>
        <v/>
      </c>
      <c r="J345" s="25">
        <f>IF(ISNUMBER(I345)=FALSE,"",IF(AND(ISNUMBER(H345),I345=H345),"24-month work rule","Registry expiry"))</f>
        <v/>
      </c>
      <c r="K345" s="26" t="n"/>
      <c r="L345" s="24">
        <f>IF(ISNUMBER(I345),I345-IF(ISNUMBER(K345),K345,30),"")</f>
        <v/>
      </c>
      <c r="M345" s="27">
        <f>IF(I345="","",IF(ISNUMBER(I345),I345-TODAY(),"Check date"))</f>
        <v/>
      </c>
      <c r="N345" s="28">
        <f>IF(M345="","",IF(ISNUMBER(M345),IF(M345&lt;0,"Expired",IF(M345&lt;=30,"Due ≤30 days",IF(M345&lt;=90,"Due ≤90 days","OK"))),"Check date"))</f>
        <v/>
      </c>
      <c r="O345" s="24">
        <f>IF(ISNUMBER(E345),EDATE(E345,12*(IFERROR(DATEDIF(E345,TODAY(),"y"),0)+1)),"")</f>
        <v/>
      </c>
      <c r="P345" s="26" t="n"/>
      <c r="Q345" s="26" t="n"/>
      <c r="R345" s="27">
        <f>IF(LEN(A345)=0,"",MAX(0,IF(ISNUMBER(Q345),Q345,12)-N(P345)))</f>
        <v/>
      </c>
      <c r="S345" s="23" t="n"/>
      <c r="T345" s="27">
        <f>IF(S345="","",IF(ISNUMBER(S345),S345-TODAY(),"Check date"))</f>
        <v/>
      </c>
      <c r="U345" s="22" t="n"/>
      <c r="V345" s="22" t="n"/>
      <c r="W345" s="22" t="n"/>
      <c r="X345" s="22" t="n"/>
    </row>
    <row r="346">
      <c r="A346" s="22" t="n"/>
      <c r="B346" s="22" t="n"/>
      <c r="C346" s="22" t="n"/>
      <c r="D346" s="22" t="n"/>
      <c r="E346" s="23" t="n"/>
      <c r="F346" s="23" t="n"/>
      <c r="G346" s="23" t="n"/>
      <c r="H346" s="24">
        <f>IF(ISNUMBER(G346),EDATE(G346,24),"")</f>
        <v/>
      </c>
      <c r="I346" s="24">
        <f>IF(OR(AND(LEN(F346)&gt;0,ISNUMBER(F346)=FALSE),AND(LEN(G346)&gt;0,ISNUMBER(G346)=FALSE)),"Check date",IF(COUNT(F346,H346)=0,"",MIN(F346,H346)))</f>
        <v/>
      </c>
      <c r="J346" s="25">
        <f>IF(ISNUMBER(I346)=FALSE,"",IF(AND(ISNUMBER(H346),I346=H346),"24-month work rule","Registry expiry"))</f>
        <v/>
      </c>
      <c r="K346" s="26" t="n"/>
      <c r="L346" s="24">
        <f>IF(ISNUMBER(I346),I346-IF(ISNUMBER(K346),K346,30),"")</f>
        <v/>
      </c>
      <c r="M346" s="27">
        <f>IF(I346="","",IF(ISNUMBER(I346),I346-TODAY(),"Check date"))</f>
        <v/>
      </c>
      <c r="N346" s="28">
        <f>IF(M346="","",IF(ISNUMBER(M346),IF(M346&lt;0,"Expired",IF(M346&lt;=30,"Due ≤30 days",IF(M346&lt;=90,"Due ≤90 days","OK"))),"Check date"))</f>
        <v/>
      </c>
      <c r="O346" s="24">
        <f>IF(ISNUMBER(E346),EDATE(E346,12*(IFERROR(DATEDIF(E346,TODAY(),"y"),0)+1)),"")</f>
        <v/>
      </c>
      <c r="P346" s="26" t="n"/>
      <c r="Q346" s="26" t="n"/>
      <c r="R346" s="27">
        <f>IF(LEN(A346)=0,"",MAX(0,IF(ISNUMBER(Q346),Q346,12)-N(P346)))</f>
        <v/>
      </c>
      <c r="S346" s="23" t="n"/>
      <c r="T346" s="27">
        <f>IF(S346="","",IF(ISNUMBER(S346),S346-TODAY(),"Check date"))</f>
        <v/>
      </c>
      <c r="U346" s="22" t="n"/>
      <c r="V346" s="22" t="n"/>
      <c r="W346" s="22" t="n"/>
      <c r="X346" s="22" t="n"/>
    </row>
    <row r="347">
      <c r="A347" s="22" t="n"/>
      <c r="B347" s="22" t="n"/>
      <c r="C347" s="22" t="n"/>
      <c r="D347" s="22" t="n"/>
      <c r="E347" s="23" t="n"/>
      <c r="F347" s="23" t="n"/>
      <c r="G347" s="23" t="n"/>
      <c r="H347" s="24">
        <f>IF(ISNUMBER(G347),EDATE(G347,24),"")</f>
        <v/>
      </c>
      <c r="I347" s="24">
        <f>IF(OR(AND(LEN(F347)&gt;0,ISNUMBER(F347)=FALSE),AND(LEN(G347)&gt;0,ISNUMBER(G347)=FALSE)),"Check date",IF(COUNT(F347,H347)=0,"",MIN(F347,H347)))</f>
        <v/>
      </c>
      <c r="J347" s="25">
        <f>IF(ISNUMBER(I347)=FALSE,"",IF(AND(ISNUMBER(H347),I347=H347),"24-month work rule","Registry expiry"))</f>
        <v/>
      </c>
      <c r="K347" s="26" t="n"/>
      <c r="L347" s="24">
        <f>IF(ISNUMBER(I347),I347-IF(ISNUMBER(K347),K347,30),"")</f>
        <v/>
      </c>
      <c r="M347" s="27">
        <f>IF(I347="","",IF(ISNUMBER(I347),I347-TODAY(),"Check date"))</f>
        <v/>
      </c>
      <c r="N347" s="28">
        <f>IF(M347="","",IF(ISNUMBER(M347),IF(M347&lt;0,"Expired",IF(M347&lt;=30,"Due ≤30 days",IF(M347&lt;=90,"Due ≤90 days","OK"))),"Check date"))</f>
        <v/>
      </c>
      <c r="O347" s="24">
        <f>IF(ISNUMBER(E347),EDATE(E347,12*(IFERROR(DATEDIF(E347,TODAY(),"y"),0)+1)),"")</f>
        <v/>
      </c>
      <c r="P347" s="26" t="n"/>
      <c r="Q347" s="26" t="n"/>
      <c r="R347" s="27">
        <f>IF(LEN(A347)=0,"",MAX(0,IF(ISNUMBER(Q347),Q347,12)-N(P347)))</f>
        <v/>
      </c>
      <c r="S347" s="23" t="n"/>
      <c r="T347" s="27">
        <f>IF(S347="","",IF(ISNUMBER(S347),S347-TODAY(),"Check date"))</f>
        <v/>
      </c>
      <c r="U347" s="22" t="n"/>
      <c r="V347" s="22" t="n"/>
      <c r="W347" s="22" t="n"/>
      <c r="X347" s="22" t="n"/>
    </row>
    <row r="348">
      <c r="A348" s="22" t="n"/>
      <c r="B348" s="22" t="n"/>
      <c r="C348" s="22" t="n"/>
      <c r="D348" s="22" t="n"/>
      <c r="E348" s="23" t="n"/>
      <c r="F348" s="23" t="n"/>
      <c r="G348" s="23" t="n"/>
      <c r="H348" s="24">
        <f>IF(ISNUMBER(G348),EDATE(G348,24),"")</f>
        <v/>
      </c>
      <c r="I348" s="24">
        <f>IF(OR(AND(LEN(F348)&gt;0,ISNUMBER(F348)=FALSE),AND(LEN(G348)&gt;0,ISNUMBER(G348)=FALSE)),"Check date",IF(COUNT(F348,H348)=0,"",MIN(F348,H348)))</f>
        <v/>
      </c>
      <c r="J348" s="25">
        <f>IF(ISNUMBER(I348)=FALSE,"",IF(AND(ISNUMBER(H348),I348=H348),"24-month work rule","Registry expiry"))</f>
        <v/>
      </c>
      <c r="K348" s="26" t="n"/>
      <c r="L348" s="24">
        <f>IF(ISNUMBER(I348),I348-IF(ISNUMBER(K348),K348,30),"")</f>
        <v/>
      </c>
      <c r="M348" s="27">
        <f>IF(I348="","",IF(ISNUMBER(I348),I348-TODAY(),"Check date"))</f>
        <v/>
      </c>
      <c r="N348" s="28">
        <f>IF(M348="","",IF(ISNUMBER(M348),IF(M348&lt;0,"Expired",IF(M348&lt;=30,"Due ≤30 days",IF(M348&lt;=90,"Due ≤90 days","OK"))),"Check date"))</f>
        <v/>
      </c>
      <c r="O348" s="24">
        <f>IF(ISNUMBER(E348),EDATE(E348,12*(IFERROR(DATEDIF(E348,TODAY(),"y"),0)+1)),"")</f>
        <v/>
      </c>
      <c r="P348" s="26" t="n"/>
      <c r="Q348" s="26" t="n"/>
      <c r="R348" s="27">
        <f>IF(LEN(A348)=0,"",MAX(0,IF(ISNUMBER(Q348),Q348,12)-N(P348)))</f>
        <v/>
      </c>
      <c r="S348" s="23" t="n"/>
      <c r="T348" s="27">
        <f>IF(S348="","",IF(ISNUMBER(S348),S348-TODAY(),"Check date"))</f>
        <v/>
      </c>
      <c r="U348" s="22" t="n"/>
      <c r="V348" s="22" t="n"/>
      <c r="W348" s="22" t="n"/>
      <c r="X348" s="22" t="n"/>
    </row>
    <row r="349">
      <c r="A349" s="22" t="n"/>
      <c r="B349" s="22" t="n"/>
      <c r="C349" s="22" t="n"/>
      <c r="D349" s="22" t="n"/>
      <c r="E349" s="23" t="n"/>
      <c r="F349" s="23" t="n"/>
      <c r="G349" s="23" t="n"/>
      <c r="H349" s="24">
        <f>IF(ISNUMBER(G349),EDATE(G349,24),"")</f>
        <v/>
      </c>
      <c r="I349" s="24">
        <f>IF(OR(AND(LEN(F349)&gt;0,ISNUMBER(F349)=FALSE),AND(LEN(G349)&gt;0,ISNUMBER(G349)=FALSE)),"Check date",IF(COUNT(F349,H349)=0,"",MIN(F349,H349)))</f>
        <v/>
      </c>
      <c r="J349" s="25">
        <f>IF(ISNUMBER(I349)=FALSE,"",IF(AND(ISNUMBER(H349),I349=H349),"24-month work rule","Registry expiry"))</f>
        <v/>
      </c>
      <c r="K349" s="26" t="n"/>
      <c r="L349" s="24">
        <f>IF(ISNUMBER(I349),I349-IF(ISNUMBER(K349),K349,30),"")</f>
        <v/>
      </c>
      <c r="M349" s="27">
        <f>IF(I349="","",IF(ISNUMBER(I349),I349-TODAY(),"Check date"))</f>
        <v/>
      </c>
      <c r="N349" s="28">
        <f>IF(M349="","",IF(ISNUMBER(M349),IF(M349&lt;0,"Expired",IF(M349&lt;=30,"Due ≤30 days",IF(M349&lt;=90,"Due ≤90 days","OK"))),"Check date"))</f>
        <v/>
      </c>
      <c r="O349" s="24">
        <f>IF(ISNUMBER(E349),EDATE(E349,12*(IFERROR(DATEDIF(E349,TODAY(),"y"),0)+1)),"")</f>
        <v/>
      </c>
      <c r="P349" s="26" t="n"/>
      <c r="Q349" s="26" t="n"/>
      <c r="R349" s="27">
        <f>IF(LEN(A349)=0,"",MAX(0,IF(ISNUMBER(Q349),Q349,12)-N(P349)))</f>
        <v/>
      </c>
      <c r="S349" s="23" t="n"/>
      <c r="T349" s="27">
        <f>IF(S349="","",IF(ISNUMBER(S349),S349-TODAY(),"Check date"))</f>
        <v/>
      </c>
      <c r="U349" s="22" t="n"/>
      <c r="V349" s="22" t="n"/>
      <c r="W349" s="22" t="n"/>
      <c r="X349" s="22" t="n"/>
    </row>
    <row r="350">
      <c r="A350" s="22" t="n"/>
      <c r="B350" s="22" t="n"/>
      <c r="C350" s="22" t="n"/>
      <c r="D350" s="22" t="n"/>
      <c r="E350" s="23" t="n"/>
      <c r="F350" s="23" t="n"/>
      <c r="G350" s="23" t="n"/>
      <c r="H350" s="24">
        <f>IF(ISNUMBER(G350),EDATE(G350,24),"")</f>
        <v/>
      </c>
      <c r="I350" s="24">
        <f>IF(OR(AND(LEN(F350)&gt;0,ISNUMBER(F350)=FALSE),AND(LEN(G350)&gt;0,ISNUMBER(G350)=FALSE)),"Check date",IF(COUNT(F350,H350)=0,"",MIN(F350,H350)))</f>
        <v/>
      </c>
      <c r="J350" s="25">
        <f>IF(ISNUMBER(I350)=FALSE,"",IF(AND(ISNUMBER(H350),I350=H350),"24-month work rule","Registry expiry"))</f>
        <v/>
      </c>
      <c r="K350" s="26" t="n"/>
      <c r="L350" s="24">
        <f>IF(ISNUMBER(I350),I350-IF(ISNUMBER(K350),K350,30),"")</f>
        <v/>
      </c>
      <c r="M350" s="27">
        <f>IF(I350="","",IF(ISNUMBER(I350),I350-TODAY(),"Check date"))</f>
        <v/>
      </c>
      <c r="N350" s="28">
        <f>IF(M350="","",IF(ISNUMBER(M350),IF(M350&lt;0,"Expired",IF(M350&lt;=30,"Due ≤30 days",IF(M350&lt;=90,"Due ≤90 days","OK"))),"Check date"))</f>
        <v/>
      </c>
      <c r="O350" s="24">
        <f>IF(ISNUMBER(E350),EDATE(E350,12*(IFERROR(DATEDIF(E350,TODAY(),"y"),0)+1)),"")</f>
        <v/>
      </c>
      <c r="P350" s="26" t="n"/>
      <c r="Q350" s="26" t="n"/>
      <c r="R350" s="27">
        <f>IF(LEN(A350)=0,"",MAX(0,IF(ISNUMBER(Q350),Q350,12)-N(P350)))</f>
        <v/>
      </c>
      <c r="S350" s="23" t="n"/>
      <c r="T350" s="27">
        <f>IF(S350="","",IF(ISNUMBER(S350),S350-TODAY(),"Check date"))</f>
        <v/>
      </c>
      <c r="U350" s="22" t="n"/>
      <c r="V350" s="22" t="n"/>
      <c r="W350" s="22" t="n"/>
      <c r="X350" s="22" t="n"/>
    </row>
    <row r="351">
      <c r="A351" s="22" t="n"/>
      <c r="B351" s="22" t="n"/>
      <c r="C351" s="22" t="n"/>
      <c r="D351" s="22" t="n"/>
      <c r="E351" s="23" t="n"/>
      <c r="F351" s="23" t="n"/>
      <c r="G351" s="23" t="n"/>
      <c r="H351" s="24">
        <f>IF(ISNUMBER(G351),EDATE(G351,24),"")</f>
        <v/>
      </c>
      <c r="I351" s="24">
        <f>IF(OR(AND(LEN(F351)&gt;0,ISNUMBER(F351)=FALSE),AND(LEN(G351)&gt;0,ISNUMBER(G351)=FALSE)),"Check date",IF(COUNT(F351,H351)=0,"",MIN(F351,H351)))</f>
        <v/>
      </c>
      <c r="J351" s="25">
        <f>IF(ISNUMBER(I351)=FALSE,"",IF(AND(ISNUMBER(H351),I351=H351),"24-month work rule","Registry expiry"))</f>
        <v/>
      </c>
      <c r="K351" s="26" t="n"/>
      <c r="L351" s="24">
        <f>IF(ISNUMBER(I351),I351-IF(ISNUMBER(K351),K351,30),"")</f>
        <v/>
      </c>
      <c r="M351" s="27">
        <f>IF(I351="","",IF(ISNUMBER(I351),I351-TODAY(),"Check date"))</f>
        <v/>
      </c>
      <c r="N351" s="28">
        <f>IF(M351="","",IF(ISNUMBER(M351),IF(M351&lt;0,"Expired",IF(M351&lt;=30,"Due ≤30 days",IF(M351&lt;=90,"Due ≤90 days","OK"))),"Check date"))</f>
        <v/>
      </c>
      <c r="O351" s="24">
        <f>IF(ISNUMBER(E351),EDATE(E351,12*(IFERROR(DATEDIF(E351,TODAY(),"y"),0)+1)),"")</f>
        <v/>
      </c>
      <c r="P351" s="26" t="n"/>
      <c r="Q351" s="26" t="n"/>
      <c r="R351" s="27">
        <f>IF(LEN(A351)=0,"",MAX(0,IF(ISNUMBER(Q351),Q351,12)-N(P351)))</f>
        <v/>
      </c>
      <c r="S351" s="23" t="n"/>
      <c r="T351" s="27">
        <f>IF(S351="","",IF(ISNUMBER(S351),S351-TODAY(),"Check date"))</f>
        <v/>
      </c>
      <c r="U351" s="22" t="n"/>
      <c r="V351" s="22" t="n"/>
      <c r="W351" s="22" t="n"/>
      <c r="X351" s="22" t="n"/>
    </row>
    <row r="352">
      <c r="A352" s="22" t="n"/>
      <c r="B352" s="22" t="n"/>
      <c r="C352" s="22" t="n"/>
      <c r="D352" s="22" t="n"/>
      <c r="E352" s="23" t="n"/>
      <c r="F352" s="23" t="n"/>
      <c r="G352" s="23" t="n"/>
      <c r="H352" s="24">
        <f>IF(ISNUMBER(G352),EDATE(G352,24),"")</f>
        <v/>
      </c>
      <c r="I352" s="24">
        <f>IF(OR(AND(LEN(F352)&gt;0,ISNUMBER(F352)=FALSE),AND(LEN(G352)&gt;0,ISNUMBER(G352)=FALSE)),"Check date",IF(COUNT(F352,H352)=0,"",MIN(F352,H352)))</f>
        <v/>
      </c>
      <c r="J352" s="25">
        <f>IF(ISNUMBER(I352)=FALSE,"",IF(AND(ISNUMBER(H352),I352=H352),"24-month work rule","Registry expiry"))</f>
        <v/>
      </c>
      <c r="K352" s="26" t="n"/>
      <c r="L352" s="24">
        <f>IF(ISNUMBER(I352),I352-IF(ISNUMBER(K352),K352,30),"")</f>
        <v/>
      </c>
      <c r="M352" s="27">
        <f>IF(I352="","",IF(ISNUMBER(I352),I352-TODAY(),"Check date"))</f>
        <v/>
      </c>
      <c r="N352" s="28">
        <f>IF(M352="","",IF(ISNUMBER(M352),IF(M352&lt;0,"Expired",IF(M352&lt;=30,"Due ≤30 days",IF(M352&lt;=90,"Due ≤90 days","OK"))),"Check date"))</f>
        <v/>
      </c>
      <c r="O352" s="24">
        <f>IF(ISNUMBER(E352),EDATE(E352,12*(IFERROR(DATEDIF(E352,TODAY(),"y"),0)+1)),"")</f>
        <v/>
      </c>
      <c r="P352" s="26" t="n"/>
      <c r="Q352" s="26" t="n"/>
      <c r="R352" s="27">
        <f>IF(LEN(A352)=0,"",MAX(0,IF(ISNUMBER(Q352),Q352,12)-N(P352)))</f>
        <v/>
      </c>
      <c r="S352" s="23" t="n"/>
      <c r="T352" s="27">
        <f>IF(S352="","",IF(ISNUMBER(S352),S352-TODAY(),"Check date"))</f>
        <v/>
      </c>
      <c r="U352" s="22" t="n"/>
      <c r="V352" s="22" t="n"/>
      <c r="W352" s="22" t="n"/>
      <c r="X352" s="22" t="n"/>
    </row>
    <row r="353">
      <c r="A353" s="22" t="n"/>
      <c r="B353" s="22" t="n"/>
      <c r="C353" s="22" t="n"/>
      <c r="D353" s="22" t="n"/>
      <c r="E353" s="23" t="n"/>
      <c r="F353" s="23" t="n"/>
      <c r="G353" s="23" t="n"/>
      <c r="H353" s="24">
        <f>IF(ISNUMBER(G353),EDATE(G353,24),"")</f>
        <v/>
      </c>
      <c r="I353" s="24">
        <f>IF(OR(AND(LEN(F353)&gt;0,ISNUMBER(F353)=FALSE),AND(LEN(G353)&gt;0,ISNUMBER(G353)=FALSE)),"Check date",IF(COUNT(F353,H353)=0,"",MIN(F353,H353)))</f>
        <v/>
      </c>
      <c r="J353" s="25">
        <f>IF(ISNUMBER(I353)=FALSE,"",IF(AND(ISNUMBER(H353),I353=H353),"24-month work rule","Registry expiry"))</f>
        <v/>
      </c>
      <c r="K353" s="26" t="n"/>
      <c r="L353" s="24">
        <f>IF(ISNUMBER(I353),I353-IF(ISNUMBER(K353),K353,30),"")</f>
        <v/>
      </c>
      <c r="M353" s="27">
        <f>IF(I353="","",IF(ISNUMBER(I353),I353-TODAY(),"Check date"))</f>
        <v/>
      </c>
      <c r="N353" s="28">
        <f>IF(M353="","",IF(ISNUMBER(M353),IF(M353&lt;0,"Expired",IF(M353&lt;=30,"Due ≤30 days",IF(M353&lt;=90,"Due ≤90 days","OK"))),"Check date"))</f>
        <v/>
      </c>
      <c r="O353" s="24">
        <f>IF(ISNUMBER(E353),EDATE(E353,12*(IFERROR(DATEDIF(E353,TODAY(),"y"),0)+1)),"")</f>
        <v/>
      </c>
      <c r="P353" s="26" t="n"/>
      <c r="Q353" s="26" t="n"/>
      <c r="R353" s="27">
        <f>IF(LEN(A353)=0,"",MAX(0,IF(ISNUMBER(Q353),Q353,12)-N(P353)))</f>
        <v/>
      </c>
      <c r="S353" s="23" t="n"/>
      <c r="T353" s="27">
        <f>IF(S353="","",IF(ISNUMBER(S353),S353-TODAY(),"Check date"))</f>
        <v/>
      </c>
      <c r="U353" s="22" t="n"/>
      <c r="V353" s="22" t="n"/>
      <c r="W353" s="22" t="n"/>
      <c r="X353" s="22" t="n"/>
    </row>
    <row r="354">
      <c r="A354" s="22" t="n"/>
      <c r="B354" s="22" t="n"/>
      <c r="C354" s="22" t="n"/>
      <c r="D354" s="22" t="n"/>
      <c r="E354" s="23" t="n"/>
      <c r="F354" s="23" t="n"/>
      <c r="G354" s="23" t="n"/>
      <c r="H354" s="24">
        <f>IF(ISNUMBER(G354),EDATE(G354,24),"")</f>
        <v/>
      </c>
      <c r="I354" s="24">
        <f>IF(OR(AND(LEN(F354)&gt;0,ISNUMBER(F354)=FALSE),AND(LEN(G354)&gt;0,ISNUMBER(G354)=FALSE)),"Check date",IF(COUNT(F354,H354)=0,"",MIN(F354,H354)))</f>
        <v/>
      </c>
      <c r="J354" s="25">
        <f>IF(ISNUMBER(I354)=FALSE,"",IF(AND(ISNUMBER(H354),I354=H354),"24-month work rule","Registry expiry"))</f>
        <v/>
      </c>
      <c r="K354" s="26" t="n"/>
      <c r="L354" s="24">
        <f>IF(ISNUMBER(I354),I354-IF(ISNUMBER(K354),K354,30),"")</f>
        <v/>
      </c>
      <c r="M354" s="27">
        <f>IF(I354="","",IF(ISNUMBER(I354),I354-TODAY(),"Check date"))</f>
        <v/>
      </c>
      <c r="N354" s="28">
        <f>IF(M354="","",IF(ISNUMBER(M354),IF(M354&lt;0,"Expired",IF(M354&lt;=30,"Due ≤30 days",IF(M354&lt;=90,"Due ≤90 days","OK"))),"Check date"))</f>
        <v/>
      </c>
      <c r="O354" s="24">
        <f>IF(ISNUMBER(E354),EDATE(E354,12*(IFERROR(DATEDIF(E354,TODAY(),"y"),0)+1)),"")</f>
        <v/>
      </c>
      <c r="P354" s="26" t="n"/>
      <c r="Q354" s="26" t="n"/>
      <c r="R354" s="27">
        <f>IF(LEN(A354)=0,"",MAX(0,IF(ISNUMBER(Q354),Q354,12)-N(P354)))</f>
        <v/>
      </c>
      <c r="S354" s="23" t="n"/>
      <c r="T354" s="27">
        <f>IF(S354="","",IF(ISNUMBER(S354),S354-TODAY(),"Check date"))</f>
        <v/>
      </c>
      <c r="U354" s="22" t="n"/>
      <c r="V354" s="22" t="n"/>
      <c r="W354" s="22" t="n"/>
      <c r="X354" s="22" t="n"/>
    </row>
    <row r="355">
      <c r="A355" s="22" t="n"/>
      <c r="B355" s="22" t="n"/>
      <c r="C355" s="22" t="n"/>
      <c r="D355" s="22" t="n"/>
      <c r="E355" s="23" t="n"/>
      <c r="F355" s="23" t="n"/>
      <c r="G355" s="23" t="n"/>
      <c r="H355" s="24">
        <f>IF(ISNUMBER(G355),EDATE(G355,24),"")</f>
        <v/>
      </c>
      <c r="I355" s="24">
        <f>IF(OR(AND(LEN(F355)&gt;0,ISNUMBER(F355)=FALSE),AND(LEN(G355)&gt;0,ISNUMBER(G355)=FALSE)),"Check date",IF(COUNT(F355,H355)=0,"",MIN(F355,H355)))</f>
        <v/>
      </c>
      <c r="J355" s="25">
        <f>IF(ISNUMBER(I355)=FALSE,"",IF(AND(ISNUMBER(H355),I355=H355),"24-month work rule","Registry expiry"))</f>
        <v/>
      </c>
      <c r="K355" s="26" t="n"/>
      <c r="L355" s="24">
        <f>IF(ISNUMBER(I355),I355-IF(ISNUMBER(K355),K355,30),"")</f>
        <v/>
      </c>
      <c r="M355" s="27">
        <f>IF(I355="","",IF(ISNUMBER(I355),I355-TODAY(),"Check date"))</f>
        <v/>
      </c>
      <c r="N355" s="28">
        <f>IF(M355="","",IF(ISNUMBER(M355),IF(M355&lt;0,"Expired",IF(M355&lt;=30,"Due ≤30 days",IF(M355&lt;=90,"Due ≤90 days","OK"))),"Check date"))</f>
        <v/>
      </c>
      <c r="O355" s="24">
        <f>IF(ISNUMBER(E355),EDATE(E355,12*(IFERROR(DATEDIF(E355,TODAY(),"y"),0)+1)),"")</f>
        <v/>
      </c>
      <c r="P355" s="26" t="n"/>
      <c r="Q355" s="26" t="n"/>
      <c r="R355" s="27">
        <f>IF(LEN(A355)=0,"",MAX(0,IF(ISNUMBER(Q355),Q355,12)-N(P355)))</f>
        <v/>
      </c>
      <c r="S355" s="23" t="n"/>
      <c r="T355" s="27">
        <f>IF(S355="","",IF(ISNUMBER(S355),S355-TODAY(),"Check date"))</f>
        <v/>
      </c>
      <c r="U355" s="22" t="n"/>
      <c r="V355" s="22" t="n"/>
      <c r="W355" s="22" t="n"/>
      <c r="X355" s="22" t="n"/>
    </row>
    <row r="356">
      <c r="A356" s="22" t="n"/>
      <c r="B356" s="22" t="n"/>
      <c r="C356" s="22" t="n"/>
      <c r="D356" s="22" t="n"/>
      <c r="E356" s="23" t="n"/>
      <c r="F356" s="23" t="n"/>
      <c r="G356" s="23" t="n"/>
      <c r="H356" s="24">
        <f>IF(ISNUMBER(G356),EDATE(G356,24),"")</f>
        <v/>
      </c>
      <c r="I356" s="24">
        <f>IF(OR(AND(LEN(F356)&gt;0,ISNUMBER(F356)=FALSE),AND(LEN(G356)&gt;0,ISNUMBER(G356)=FALSE)),"Check date",IF(COUNT(F356,H356)=0,"",MIN(F356,H356)))</f>
        <v/>
      </c>
      <c r="J356" s="25">
        <f>IF(ISNUMBER(I356)=FALSE,"",IF(AND(ISNUMBER(H356),I356=H356),"24-month work rule","Registry expiry"))</f>
        <v/>
      </c>
      <c r="K356" s="26" t="n"/>
      <c r="L356" s="24">
        <f>IF(ISNUMBER(I356),I356-IF(ISNUMBER(K356),K356,30),"")</f>
        <v/>
      </c>
      <c r="M356" s="27">
        <f>IF(I356="","",IF(ISNUMBER(I356),I356-TODAY(),"Check date"))</f>
        <v/>
      </c>
      <c r="N356" s="28">
        <f>IF(M356="","",IF(ISNUMBER(M356),IF(M356&lt;0,"Expired",IF(M356&lt;=30,"Due ≤30 days",IF(M356&lt;=90,"Due ≤90 days","OK"))),"Check date"))</f>
        <v/>
      </c>
      <c r="O356" s="24">
        <f>IF(ISNUMBER(E356),EDATE(E356,12*(IFERROR(DATEDIF(E356,TODAY(),"y"),0)+1)),"")</f>
        <v/>
      </c>
      <c r="P356" s="26" t="n"/>
      <c r="Q356" s="26" t="n"/>
      <c r="R356" s="27">
        <f>IF(LEN(A356)=0,"",MAX(0,IF(ISNUMBER(Q356),Q356,12)-N(P356)))</f>
        <v/>
      </c>
      <c r="S356" s="23" t="n"/>
      <c r="T356" s="27">
        <f>IF(S356="","",IF(ISNUMBER(S356),S356-TODAY(),"Check date"))</f>
        <v/>
      </c>
      <c r="U356" s="22" t="n"/>
      <c r="V356" s="22" t="n"/>
      <c r="W356" s="22" t="n"/>
      <c r="X356" s="22" t="n"/>
    </row>
    <row r="357">
      <c r="A357" s="22" t="n"/>
      <c r="B357" s="22" t="n"/>
      <c r="C357" s="22" t="n"/>
      <c r="D357" s="22" t="n"/>
      <c r="E357" s="23" t="n"/>
      <c r="F357" s="23" t="n"/>
      <c r="G357" s="23" t="n"/>
      <c r="H357" s="24">
        <f>IF(ISNUMBER(G357),EDATE(G357,24),"")</f>
        <v/>
      </c>
      <c r="I357" s="24">
        <f>IF(OR(AND(LEN(F357)&gt;0,ISNUMBER(F357)=FALSE),AND(LEN(G357)&gt;0,ISNUMBER(G357)=FALSE)),"Check date",IF(COUNT(F357,H357)=0,"",MIN(F357,H357)))</f>
        <v/>
      </c>
      <c r="J357" s="25">
        <f>IF(ISNUMBER(I357)=FALSE,"",IF(AND(ISNUMBER(H357),I357=H357),"24-month work rule","Registry expiry"))</f>
        <v/>
      </c>
      <c r="K357" s="26" t="n"/>
      <c r="L357" s="24">
        <f>IF(ISNUMBER(I357),I357-IF(ISNUMBER(K357),K357,30),"")</f>
        <v/>
      </c>
      <c r="M357" s="27">
        <f>IF(I357="","",IF(ISNUMBER(I357),I357-TODAY(),"Check date"))</f>
        <v/>
      </c>
      <c r="N357" s="28">
        <f>IF(M357="","",IF(ISNUMBER(M357),IF(M357&lt;0,"Expired",IF(M357&lt;=30,"Due ≤30 days",IF(M357&lt;=90,"Due ≤90 days","OK"))),"Check date"))</f>
        <v/>
      </c>
      <c r="O357" s="24">
        <f>IF(ISNUMBER(E357),EDATE(E357,12*(IFERROR(DATEDIF(E357,TODAY(),"y"),0)+1)),"")</f>
        <v/>
      </c>
      <c r="P357" s="26" t="n"/>
      <c r="Q357" s="26" t="n"/>
      <c r="R357" s="27">
        <f>IF(LEN(A357)=0,"",MAX(0,IF(ISNUMBER(Q357),Q357,12)-N(P357)))</f>
        <v/>
      </c>
      <c r="S357" s="23" t="n"/>
      <c r="T357" s="27">
        <f>IF(S357="","",IF(ISNUMBER(S357),S357-TODAY(),"Check date"))</f>
        <v/>
      </c>
      <c r="U357" s="22" t="n"/>
      <c r="V357" s="22" t="n"/>
      <c r="W357" s="22" t="n"/>
      <c r="X357" s="22" t="n"/>
    </row>
    <row r="358">
      <c r="A358" s="22" t="n"/>
      <c r="B358" s="22" t="n"/>
      <c r="C358" s="22" t="n"/>
      <c r="D358" s="22" t="n"/>
      <c r="E358" s="23" t="n"/>
      <c r="F358" s="23" t="n"/>
      <c r="G358" s="23" t="n"/>
      <c r="H358" s="24">
        <f>IF(ISNUMBER(G358),EDATE(G358,24),"")</f>
        <v/>
      </c>
      <c r="I358" s="24">
        <f>IF(OR(AND(LEN(F358)&gt;0,ISNUMBER(F358)=FALSE),AND(LEN(G358)&gt;0,ISNUMBER(G358)=FALSE)),"Check date",IF(COUNT(F358,H358)=0,"",MIN(F358,H358)))</f>
        <v/>
      </c>
      <c r="J358" s="25">
        <f>IF(ISNUMBER(I358)=FALSE,"",IF(AND(ISNUMBER(H358),I358=H358),"24-month work rule","Registry expiry"))</f>
        <v/>
      </c>
      <c r="K358" s="26" t="n"/>
      <c r="L358" s="24">
        <f>IF(ISNUMBER(I358),I358-IF(ISNUMBER(K358),K358,30),"")</f>
        <v/>
      </c>
      <c r="M358" s="27">
        <f>IF(I358="","",IF(ISNUMBER(I358),I358-TODAY(),"Check date"))</f>
        <v/>
      </c>
      <c r="N358" s="28">
        <f>IF(M358="","",IF(ISNUMBER(M358),IF(M358&lt;0,"Expired",IF(M358&lt;=30,"Due ≤30 days",IF(M358&lt;=90,"Due ≤90 days","OK"))),"Check date"))</f>
        <v/>
      </c>
      <c r="O358" s="24">
        <f>IF(ISNUMBER(E358),EDATE(E358,12*(IFERROR(DATEDIF(E358,TODAY(),"y"),0)+1)),"")</f>
        <v/>
      </c>
      <c r="P358" s="26" t="n"/>
      <c r="Q358" s="26" t="n"/>
      <c r="R358" s="27">
        <f>IF(LEN(A358)=0,"",MAX(0,IF(ISNUMBER(Q358),Q358,12)-N(P358)))</f>
        <v/>
      </c>
      <c r="S358" s="23" t="n"/>
      <c r="T358" s="27">
        <f>IF(S358="","",IF(ISNUMBER(S358),S358-TODAY(),"Check date"))</f>
        <v/>
      </c>
      <c r="U358" s="22" t="n"/>
      <c r="V358" s="22" t="n"/>
      <c r="W358" s="22" t="n"/>
      <c r="X358" s="22" t="n"/>
    </row>
    <row r="359">
      <c r="A359" s="22" t="n"/>
      <c r="B359" s="22" t="n"/>
      <c r="C359" s="22" t="n"/>
      <c r="D359" s="22" t="n"/>
      <c r="E359" s="23" t="n"/>
      <c r="F359" s="23" t="n"/>
      <c r="G359" s="23" t="n"/>
      <c r="H359" s="24">
        <f>IF(ISNUMBER(G359),EDATE(G359,24),"")</f>
        <v/>
      </c>
      <c r="I359" s="24">
        <f>IF(OR(AND(LEN(F359)&gt;0,ISNUMBER(F359)=FALSE),AND(LEN(G359)&gt;0,ISNUMBER(G359)=FALSE)),"Check date",IF(COUNT(F359,H359)=0,"",MIN(F359,H359)))</f>
        <v/>
      </c>
      <c r="J359" s="25">
        <f>IF(ISNUMBER(I359)=FALSE,"",IF(AND(ISNUMBER(H359),I359=H359),"24-month work rule","Registry expiry"))</f>
        <v/>
      </c>
      <c r="K359" s="26" t="n"/>
      <c r="L359" s="24">
        <f>IF(ISNUMBER(I359),I359-IF(ISNUMBER(K359),K359,30),"")</f>
        <v/>
      </c>
      <c r="M359" s="27">
        <f>IF(I359="","",IF(ISNUMBER(I359),I359-TODAY(),"Check date"))</f>
        <v/>
      </c>
      <c r="N359" s="28">
        <f>IF(M359="","",IF(ISNUMBER(M359),IF(M359&lt;0,"Expired",IF(M359&lt;=30,"Due ≤30 days",IF(M359&lt;=90,"Due ≤90 days","OK"))),"Check date"))</f>
        <v/>
      </c>
      <c r="O359" s="24">
        <f>IF(ISNUMBER(E359),EDATE(E359,12*(IFERROR(DATEDIF(E359,TODAY(),"y"),0)+1)),"")</f>
        <v/>
      </c>
      <c r="P359" s="26" t="n"/>
      <c r="Q359" s="26" t="n"/>
      <c r="R359" s="27">
        <f>IF(LEN(A359)=0,"",MAX(0,IF(ISNUMBER(Q359),Q359,12)-N(P359)))</f>
        <v/>
      </c>
      <c r="S359" s="23" t="n"/>
      <c r="T359" s="27">
        <f>IF(S359="","",IF(ISNUMBER(S359),S359-TODAY(),"Check date"))</f>
        <v/>
      </c>
      <c r="U359" s="22" t="n"/>
      <c r="V359" s="22" t="n"/>
      <c r="W359" s="22" t="n"/>
      <c r="X359" s="22" t="n"/>
    </row>
    <row r="360">
      <c r="A360" s="22" t="n"/>
      <c r="B360" s="22" t="n"/>
      <c r="C360" s="22" t="n"/>
      <c r="D360" s="22" t="n"/>
      <c r="E360" s="23" t="n"/>
      <c r="F360" s="23" t="n"/>
      <c r="G360" s="23" t="n"/>
      <c r="H360" s="24">
        <f>IF(ISNUMBER(G360),EDATE(G360,24),"")</f>
        <v/>
      </c>
      <c r="I360" s="24">
        <f>IF(OR(AND(LEN(F360)&gt;0,ISNUMBER(F360)=FALSE),AND(LEN(G360)&gt;0,ISNUMBER(G360)=FALSE)),"Check date",IF(COUNT(F360,H360)=0,"",MIN(F360,H360)))</f>
        <v/>
      </c>
      <c r="J360" s="25">
        <f>IF(ISNUMBER(I360)=FALSE,"",IF(AND(ISNUMBER(H360),I360=H360),"24-month work rule","Registry expiry"))</f>
        <v/>
      </c>
      <c r="K360" s="26" t="n"/>
      <c r="L360" s="24">
        <f>IF(ISNUMBER(I360),I360-IF(ISNUMBER(K360),K360,30),"")</f>
        <v/>
      </c>
      <c r="M360" s="27">
        <f>IF(I360="","",IF(ISNUMBER(I360),I360-TODAY(),"Check date"))</f>
        <v/>
      </c>
      <c r="N360" s="28">
        <f>IF(M360="","",IF(ISNUMBER(M360),IF(M360&lt;0,"Expired",IF(M360&lt;=30,"Due ≤30 days",IF(M360&lt;=90,"Due ≤90 days","OK"))),"Check date"))</f>
        <v/>
      </c>
      <c r="O360" s="24">
        <f>IF(ISNUMBER(E360),EDATE(E360,12*(IFERROR(DATEDIF(E360,TODAY(),"y"),0)+1)),"")</f>
        <v/>
      </c>
      <c r="P360" s="26" t="n"/>
      <c r="Q360" s="26" t="n"/>
      <c r="R360" s="27">
        <f>IF(LEN(A360)=0,"",MAX(0,IF(ISNUMBER(Q360),Q360,12)-N(P360)))</f>
        <v/>
      </c>
      <c r="S360" s="23" t="n"/>
      <c r="T360" s="27">
        <f>IF(S360="","",IF(ISNUMBER(S360),S360-TODAY(),"Check date"))</f>
        <v/>
      </c>
      <c r="U360" s="22" t="n"/>
      <c r="V360" s="22" t="n"/>
      <c r="W360" s="22" t="n"/>
      <c r="X360" s="22" t="n"/>
    </row>
    <row r="361">
      <c r="A361" s="22" t="n"/>
      <c r="B361" s="22" t="n"/>
      <c r="C361" s="22" t="n"/>
      <c r="D361" s="22" t="n"/>
      <c r="E361" s="23" t="n"/>
      <c r="F361" s="23" t="n"/>
      <c r="G361" s="23" t="n"/>
      <c r="H361" s="24">
        <f>IF(ISNUMBER(G361),EDATE(G361,24),"")</f>
        <v/>
      </c>
      <c r="I361" s="24">
        <f>IF(OR(AND(LEN(F361)&gt;0,ISNUMBER(F361)=FALSE),AND(LEN(G361)&gt;0,ISNUMBER(G361)=FALSE)),"Check date",IF(COUNT(F361,H361)=0,"",MIN(F361,H361)))</f>
        <v/>
      </c>
      <c r="J361" s="25">
        <f>IF(ISNUMBER(I361)=FALSE,"",IF(AND(ISNUMBER(H361),I361=H361),"24-month work rule","Registry expiry"))</f>
        <v/>
      </c>
      <c r="K361" s="26" t="n"/>
      <c r="L361" s="24">
        <f>IF(ISNUMBER(I361),I361-IF(ISNUMBER(K361),K361,30),"")</f>
        <v/>
      </c>
      <c r="M361" s="27">
        <f>IF(I361="","",IF(ISNUMBER(I361),I361-TODAY(),"Check date"))</f>
        <v/>
      </c>
      <c r="N361" s="28">
        <f>IF(M361="","",IF(ISNUMBER(M361),IF(M361&lt;0,"Expired",IF(M361&lt;=30,"Due ≤30 days",IF(M361&lt;=90,"Due ≤90 days","OK"))),"Check date"))</f>
        <v/>
      </c>
      <c r="O361" s="24">
        <f>IF(ISNUMBER(E361),EDATE(E361,12*(IFERROR(DATEDIF(E361,TODAY(),"y"),0)+1)),"")</f>
        <v/>
      </c>
      <c r="P361" s="26" t="n"/>
      <c r="Q361" s="26" t="n"/>
      <c r="R361" s="27">
        <f>IF(LEN(A361)=0,"",MAX(0,IF(ISNUMBER(Q361),Q361,12)-N(P361)))</f>
        <v/>
      </c>
      <c r="S361" s="23" t="n"/>
      <c r="T361" s="27">
        <f>IF(S361="","",IF(ISNUMBER(S361),S361-TODAY(),"Check date"))</f>
        <v/>
      </c>
      <c r="U361" s="22" t="n"/>
      <c r="V361" s="22" t="n"/>
      <c r="W361" s="22" t="n"/>
      <c r="X361" s="22" t="n"/>
    </row>
    <row r="362">
      <c r="A362" s="22" t="n"/>
      <c r="B362" s="22" t="n"/>
      <c r="C362" s="22" t="n"/>
      <c r="D362" s="22" t="n"/>
      <c r="E362" s="23" t="n"/>
      <c r="F362" s="23" t="n"/>
      <c r="G362" s="23" t="n"/>
      <c r="H362" s="24">
        <f>IF(ISNUMBER(G362),EDATE(G362,24),"")</f>
        <v/>
      </c>
      <c r="I362" s="24">
        <f>IF(OR(AND(LEN(F362)&gt;0,ISNUMBER(F362)=FALSE),AND(LEN(G362)&gt;0,ISNUMBER(G362)=FALSE)),"Check date",IF(COUNT(F362,H362)=0,"",MIN(F362,H362)))</f>
        <v/>
      </c>
      <c r="J362" s="25">
        <f>IF(ISNUMBER(I362)=FALSE,"",IF(AND(ISNUMBER(H362),I362=H362),"24-month work rule","Registry expiry"))</f>
        <v/>
      </c>
      <c r="K362" s="26" t="n"/>
      <c r="L362" s="24">
        <f>IF(ISNUMBER(I362),I362-IF(ISNUMBER(K362),K362,30),"")</f>
        <v/>
      </c>
      <c r="M362" s="27">
        <f>IF(I362="","",IF(ISNUMBER(I362),I362-TODAY(),"Check date"))</f>
        <v/>
      </c>
      <c r="N362" s="28">
        <f>IF(M362="","",IF(ISNUMBER(M362),IF(M362&lt;0,"Expired",IF(M362&lt;=30,"Due ≤30 days",IF(M362&lt;=90,"Due ≤90 days","OK"))),"Check date"))</f>
        <v/>
      </c>
      <c r="O362" s="24">
        <f>IF(ISNUMBER(E362),EDATE(E362,12*(IFERROR(DATEDIF(E362,TODAY(),"y"),0)+1)),"")</f>
        <v/>
      </c>
      <c r="P362" s="26" t="n"/>
      <c r="Q362" s="26" t="n"/>
      <c r="R362" s="27">
        <f>IF(LEN(A362)=0,"",MAX(0,IF(ISNUMBER(Q362),Q362,12)-N(P362)))</f>
        <v/>
      </c>
      <c r="S362" s="23" t="n"/>
      <c r="T362" s="27">
        <f>IF(S362="","",IF(ISNUMBER(S362),S362-TODAY(),"Check date"))</f>
        <v/>
      </c>
      <c r="U362" s="22" t="n"/>
      <c r="V362" s="22" t="n"/>
      <c r="W362" s="22" t="n"/>
      <c r="X362" s="22" t="n"/>
    </row>
    <row r="363">
      <c r="A363" s="22" t="n"/>
      <c r="B363" s="22" t="n"/>
      <c r="C363" s="22" t="n"/>
      <c r="D363" s="22" t="n"/>
      <c r="E363" s="23" t="n"/>
      <c r="F363" s="23" t="n"/>
      <c r="G363" s="23" t="n"/>
      <c r="H363" s="24">
        <f>IF(ISNUMBER(G363),EDATE(G363,24),"")</f>
        <v/>
      </c>
      <c r="I363" s="24">
        <f>IF(OR(AND(LEN(F363)&gt;0,ISNUMBER(F363)=FALSE),AND(LEN(G363)&gt;0,ISNUMBER(G363)=FALSE)),"Check date",IF(COUNT(F363,H363)=0,"",MIN(F363,H363)))</f>
        <v/>
      </c>
      <c r="J363" s="25">
        <f>IF(ISNUMBER(I363)=FALSE,"",IF(AND(ISNUMBER(H363),I363=H363),"24-month work rule","Registry expiry"))</f>
        <v/>
      </c>
      <c r="K363" s="26" t="n"/>
      <c r="L363" s="24">
        <f>IF(ISNUMBER(I363),I363-IF(ISNUMBER(K363),K363,30),"")</f>
        <v/>
      </c>
      <c r="M363" s="27">
        <f>IF(I363="","",IF(ISNUMBER(I363),I363-TODAY(),"Check date"))</f>
        <v/>
      </c>
      <c r="N363" s="28">
        <f>IF(M363="","",IF(ISNUMBER(M363),IF(M363&lt;0,"Expired",IF(M363&lt;=30,"Due ≤30 days",IF(M363&lt;=90,"Due ≤90 days","OK"))),"Check date"))</f>
        <v/>
      </c>
      <c r="O363" s="24">
        <f>IF(ISNUMBER(E363),EDATE(E363,12*(IFERROR(DATEDIF(E363,TODAY(),"y"),0)+1)),"")</f>
        <v/>
      </c>
      <c r="P363" s="26" t="n"/>
      <c r="Q363" s="26" t="n"/>
      <c r="R363" s="27">
        <f>IF(LEN(A363)=0,"",MAX(0,IF(ISNUMBER(Q363),Q363,12)-N(P363)))</f>
        <v/>
      </c>
      <c r="S363" s="23" t="n"/>
      <c r="T363" s="27">
        <f>IF(S363="","",IF(ISNUMBER(S363),S363-TODAY(),"Check date"))</f>
        <v/>
      </c>
      <c r="U363" s="22" t="n"/>
      <c r="V363" s="22" t="n"/>
      <c r="W363" s="22" t="n"/>
      <c r="X363" s="22" t="n"/>
    </row>
    <row r="364">
      <c r="A364" s="22" t="n"/>
      <c r="B364" s="22" t="n"/>
      <c r="C364" s="22" t="n"/>
      <c r="D364" s="22" t="n"/>
      <c r="E364" s="23" t="n"/>
      <c r="F364" s="23" t="n"/>
      <c r="G364" s="23" t="n"/>
      <c r="H364" s="24">
        <f>IF(ISNUMBER(G364),EDATE(G364,24),"")</f>
        <v/>
      </c>
      <c r="I364" s="24">
        <f>IF(OR(AND(LEN(F364)&gt;0,ISNUMBER(F364)=FALSE),AND(LEN(G364)&gt;0,ISNUMBER(G364)=FALSE)),"Check date",IF(COUNT(F364,H364)=0,"",MIN(F364,H364)))</f>
        <v/>
      </c>
      <c r="J364" s="25">
        <f>IF(ISNUMBER(I364)=FALSE,"",IF(AND(ISNUMBER(H364),I364=H364),"24-month work rule","Registry expiry"))</f>
        <v/>
      </c>
      <c r="K364" s="26" t="n"/>
      <c r="L364" s="24">
        <f>IF(ISNUMBER(I364),I364-IF(ISNUMBER(K364),K364,30),"")</f>
        <v/>
      </c>
      <c r="M364" s="27">
        <f>IF(I364="","",IF(ISNUMBER(I364),I364-TODAY(),"Check date"))</f>
        <v/>
      </c>
      <c r="N364" s="28">
        <f>IF(M364="","",IF(ISNUMBER(M364),IF(M364&lt;0,"Expired",IF(M364&lt;=30,"Due ≤30 days",IF(M364&lt;=90,"Due ≤90 days","OK"))),"Check date"))</f>
        <v/>
      </c>
      <c r="O364" s="24">
        <f>IF(ISNUMBER(E364),EDATE(E364,12*(IFERROR(DATEDIF(E364,TODAY(),"y"),0)+1)),"")</f>
        <v/>
      </c>
      <c r="P364" s="26" t="n"/>
      <c r="Q364" s="26" t="n"/>
      <c r="R364" s="27">
        <f>IF(LEN(A364)=0,"",MAX(0,IF(ISNUMBER(Q364),Q364,12)-N(P364)))</f>
        <v/>
      </c>
      <c r="S364" s="23" t="n"/>
      <c r="T364" s="27">
        <f>IF(S364="","",IF(ISNUMBER(S364),S364-TODAY(),"Check date"))</f>
        <v/>
      </c>
      <c r="U364" s="22" t="n"/>
      <c r="V364" s="22" t="n"/>
      <c r="W364" s="22" t="n"/>
      <c r="X364" s="22" t="n"/>
    </row>
    <row r="365">
      <c r="A365" s="22" t="n"/>
      <c r="B365" s="22" t="n"/>
      <c r="C365" s="22" t="n"/>
      <c r="D365" s="22" t="n"/>
      <c r="E365" s="23" t="n"/>
      <c r="F365" s="23" t="n"/>
      <c r="G365" s="23" t="n"/>
      <c r="H365" s="24">
        <f>IF(ISNUMBER(G365),EDATE(G365,24),"")</f>
        <v/>
      </c>
      <c r="I365" s="24">
        <f>IF(OR(AND(LEN(F365)&gt;0,ISNUMBER(F365)=FALSE),AND(LEN(G365)&gt;0,ISNUMBER(G365)=FALSE)),"Check date",IF(COUNT(F365,H365)=0,"",MIN(F365,H365)))</f>
        <v/>
      </c>
      <c r="J365" s="25">
        <f>IF(ISNUMBER(I365)=FALSE,"",IF(AND(ISNUMBER(H365),I365=H365),"24-month work rule","Registry expiry"))</f>
        <v/>
      </c>
      <c r="K365" s="26" t="n"/>
      <c r="L365" s="24">
        <f>IF(ISNUMBER(I365),I365-IF(ISNUMBER(K365),K365,30),"")</f>
        <v/>
      </c>
      <c r="M365" s="27">
        <f>IF(I365="","",IF(ISNUMBER(I365),I365-TODAY(),"Check date"))</f>
        <v/>
      </c>
      <c r="N365" s="28">
        <f>IF(M365="","",IF(ISNUMBER(M365),IF(M365&lt;0,"Expired",IF(M365&lt;=30,"Due ≤30 days",IF(M365&lt;=90,"Due ≤90 days","OK"))),"Check date"))</f>
        <v/>
      </c>
      <c r="O365" s="24">
        <f>IF(ISNUMBER(E365),EDATE(E365,12*(IFERROR(DATEDIF(E365,TODAY(),"y"),0)+1)),"")</f>
        <v/>
      </c>
      <c r="P365" s="26" t="n"/>
      <c r="Q365" s="26" t="n"/>
      <c r="R365" s="27">
        <f>IF(LEN(A365)=0,"",MAX(0,IF(ISNUMBER(Q365),Q365,12)-N(P365)))</f>
        <v/>
      </c>
      <c r="S365" s="23" t="n"/>
      <c r="T365" s="27">
        <f>IF(S365="","",IF(ISNUMBER(S365),S365-TODAY(),"Check date"))</f>
        <v/>
      </c>
      <c r="U365" s="22" t="n"/>
      <c r="V365" s="22" t="n"/>
      <c r="W365" s="22" t="n"/>
      <c r="X365" s="22" t="n"/>
    </row>
    <row r="366">
      <c r="A366" s="22" t="n"/>
      <c r="B366" s="22" t="n"/>
      <c r="C366" s="22" t="n"/>
      <c r="D366" s="22" t="n"/>
      <c r="E366" s="23" t="n"/>
      <c r="F366" s="23" t="n"/>
      <c r="G366" s="23" t="n"/>
      <c r="H366" s="24">
        <f>IF(ISNUMBER(G366),EDATE(G366,24),"")</f>
        <v/>
      </c>
      <c r="I366" s="24">
        <f>IF(OR(AND(LEN(F366)&gt;0,ISNUMBER(F366)=FALSE),AND(LEN(G366)&gt;0,ISNUMBER(G366)=FALSE)),"Check date",IF(COUNT(F366,H366)=0,"",MIN(F366,H366)))</f>
        <v/>
      </c>
      <c r="J366" s="25">
        <f>IF(ISNUMBER(I366)=FALSE,"",IF(AND(ISNUMBER(H366),I366=H366),"24-month work rule","Registry expiry"))</f>
        <v/>
      </c>
      <c r="K366" s="26" t="n"/>
      <c r="L366" s="24">
        <f>IF(ISNUMBER(I366),I366-IF(ISNUMBER(K366),K366,30),"")</f>
        <v/>
      </c>
      <c r="M366" s="27">
        <f>IF(I366="","",IF(ISNUMBER(I366),I366-TODAY(),"Check date"))</f>
        <v/>
      </c>
      <c r="N366" s="28">
        <f>IF(M366="","",IF(ISNUMBER(M366),IF(M366&lt;0,"Expired",IF(M366&lt;=30,"Due ≤30 days",IF(M366&lt;=90,"Due ≤90 days","OK"))),"Check date"))</f>
        <v/>
      </c>
      <c r="O366" s="24">
        <f>IF(ISNUMBER(E366),EDATE(E366,12*(IFERROR(DATEDIF(E366,TODAY(),"y"),0)+1)),"")</f>
        <v/>
      </c>
      <c r="P366" s="26" t="n"/>
      <c r="Q366" s="26" t="n"/>
      <c r="R366" s="27">
        <f>IF(LEN(A366)=0,"",MAX(0,IF(ISNUMBER(Q366),Q366,12)-N(P366)))</f>
        <v/>
      </c>
      <c r="S366" s="23" t="n"/>
      <c r="T366" s="27">
        <f>IF(S366="","",IF(ISNUMBER(S366),S366-TODAY(),"Check date"))</f>
        <v/>
      </c>
      <c r="U366" s="22" t="n"/>
      <c r="V366" s="22" t="n"/>
      <c r="W366" s="22" t="n"/>
      <c r="X366" s="22" t="n"/>
    </row>
    <row r="367">
      <c r="A367" s="22" t="n"/>
      <c r="B367" s="22" t="n"/>
      <c r="C367" s="22" t="n"/>
      <c r="D367" s="22" t="n"/>
      <c r="E367" s="23" t="n"/>
      <c r="F367" s="23" t="n"/>
      <c r="G367" s="23" t="n"/>
      <c r="H367" s="24">
        <f>IF(ISNUMBER(G367),EDATE(G367,24),"")</f>
        <v/>
      </c>
      <c r="I367" s="24">
        <f>IF(OR(AND(LEN(F367)&gt;0,ISNUMBER(F367)=FALSE),AND(LEN(G367)&gt;0,ISNUMBER(G367)=FALSE)),"Check date",IF(COUNT(F367,H367)=0,"",MIN(F367,H367)))</f>
        <v/>
      </c>
      <c r="J367" s="25">
        <f>IF(ISNUMBER(I367)=FALSE,"",IF(AND(ISNUMBER(H367),I367=H367),"24-month work rule","Registry expiry"))</f>
        <v/>
      </c>
      <c r="K367" s="26" t="n"/>
      <c r="L367" s="24">
        <f>IF(ISNUMBER(I367),I367-IF(ISNUMBER(K367),K367,30),"")</f>
        <v/>
      </c>
      <c r="M367" s="27">
        <f>IF(I367="","",IF(ISNUMBER(I367),I367-TODAY(),"Check date"))</f>
        <v/>
      </c>
      <c r="N367" s="28">
        <f>IF(M367="","",IF(ISNUMBER(M367),IF(M367&lt;0,"Expired",IF(M367&lt;=30,"Due ≤30 days",IF(M367&lt;=90,"Due ≤90 days","OK"))),"Check date"))</f>
        <v/>
      </c>
      <c r="O367" s="24">
        <f>IF(ISNUMBER(E367),EDATE(E367,12*(IFERROR(DATEDIF(E367,TODAY(),"y"),0)+1)),"")</f>
        <v/>
      </c>
      <c r="P367" s="26" t="n"/>
      <c r="Q367" s="26" t="n"/>
      <c r="R367" s="27">
        <f>IF(LEN(A367)=0,"",MAX(0,IF(ISNUMBER(Q367),Q367,12)-N(P367)))</f>
        <v/>
      </c>
      <c r="S367" s="23" t="n"/>
      <c r="T367" s="27">
        <f>IF(S367="","",IF(ISNUMBER(S367),S367-TODAY(),"Check date"))</f>
        <v/>
      </c>
      <c r="U367" s="22" t="n"/>
      <c r="V367" s="22" t="n"/>
      <c r="W367" s="22" t="n"/>
      <c r="X367" s="22" t="n"/>
    </row>
    <row r="368">
      <c r="A368" s="22" t="n"/>
      <c r="B368" s="22" t="n"/>
      <c r="C368" s="22" t="n"/>
      <c r="D368" s="22" t="n"/>
      <c r="E368" s="23" t="n"/>
      <c r="F368" s="23" t="n"/>
      <c r="G368" s="23" t="n"/>
      <c r="H368" s="24">
        <f>IF(ISNUMBER(G368),EDATE(G368,24),"")</f>
        <v/>
      </c>
      <c r="I368" s="24">
        <f>IF(OR(AND(LEN(F368)&gt;0,ISNUMBER(F368)=FALSE),AND(LEN(G368)&gt;0,ISNUMBER(G368)=FALSE)),"Check date",IF(COUNT(F368,H368)=0,"",MIN(F368,H368)))</f>
        <v/>
      </c>
      <c r="J368" s="25">
        <f>IF(ISNUMBER(I368)=FALSE,"",IF(AND(ISNUMBER(H368),I368=H368),"24-month work rule","Registry expiry"))</f>
        <v/>
      </c>
      <c r="K368" s="26" t="n"/>
      <c r="L368" s="24">
        <f>IF(ISNUMBER(I368),I368-IF(ISNUMBER(K368),K368,30),"")</f>
        <v/>
      </c>
      <c r="M368" s="27">
        <f>IF(I368="","",IF(ISNUMBER(I368),I368-TODAY(),"Check date"))</f>
        <v/>
      </c>
      <c r="N368" s="28">
        <f>IF(M368="","",IF(ISNUMBER(M368),IF(M368&lt;0,"Expired",IF(M368&lt;=30,"Due ≤30 days",IF(M368&lt;=90,"Due ≤90 days","OK"))),"Check date"))</f>
        <v/>
      </c>
      <c r="O368" s="24">
        <f>IF(ISNUMBER(E368),EDATE(E368,12*(IFERROR(DATEDIF(E368,TODAY(),"y"),0)+1)),"")</f>
        <v/>
      </c>
      <c r="P368" s="26" t="n"/>
      <c r="Q368" s="26" t="n"/>
      <c r="R368" s="27">
        <f>IF(LEN(A368)=0,"",MAX(0,IF(ISNUMBER(Q368),Q368,12)-N(P368)))</f>
        <v/>
      </c>
      <c r="S368" s="23" t="n"/>
      <c r="T368" s="27">
        <f>IF(S368="","",IF(ISNUMBER(S368),S368-TODAY(),"Check date"))</f>
        <v/>
      </c>
      <c r="U368" s="22" t="n"/>
      <c r="V368" s="22" t="n"/>
      <c r="W368" s="22" t="n"/>
      <c r="X368" s="22" t="n"/>
    </row>
    <row r="369">
      <c r="A369" s="22" t="n"/>
      <c r="B369" s="22" t="n"/>
      <c r="C369" s="22" t="n"/>
      <c r="D369" s="22" t="n"/>
      <c r="E369" s="23" t="n"/>
      <c r="F369" s="23" t="n"/>
      <c r="G369" s="23" t="n"/>
      <c r="H369" s="24">
        <f>IF(ISNUMBER(G369),EDATE(G369,24),"")</f>
        <v/>
      </c>
      <c r="I369" s="24">
        <f>IF(OR(AND(LEN(F369)&gt;0,ISNUMBER(F369)=FALSE),AND(LEN(G369)&gt;0,ISNUMBER(G369)=FALSE)),"Check date",IF(COUNT(F369,H369)=0,"",MIN(F369,H369)))</f>
        <v/>
      </c>
      <c r="J369" s="25">
        <f>IF(ISNUMBER(I369)=FALSE,"",IF(AND(ISNUMBER(H369),I369=H369),"24-month work rule","Registry expiry"))</f>
        <v/>
      </c>
      <c r="K369" s="26" t="n"/>
      <c r="L369" s="24">
        <f>IF(ISNUMBER(I369),I369-IF(ISNUMBER(K369),K369,30),"")</f>
        <v/>
      </c>
      <c r="M369" s="27">
        <f>IF(I369="","",IF(ISNUMBER(I369),I369-TODAY(),"Check date"))</f>
        <v/>
      </c>
      <c r="N369" s="28">
        <f>IF(M369="","",IF(ISNUMBER(M369),IF(M369&lt;0,"Expired",IF(M369&lt;=30,"Due ≤30 days",IF(M369&lt;=90,"Due ≤90 days","OK"))),"Check date"))</f>
        <v/>
      </c>
      <c r="O369" s="24">
        <f>IF(ISNUMBER(E369),EDATE(E369,12*(IFERROR(DATEDIF(E369,TODAY(),"y"),0)+1)),"")</f>
        <v/>
      </c>
      <c r="P369" s="26" t="n"/>
      <c r="Q369" s="26" t="n"/>
      <c r="R369" s="27">
        <f>IF(LEN(A369)=0,"",MAX(0,IF(ISNUMBER(Q369),Q369,12)-N(P369)))</f>
        <v/>
      </c>
      <c r="S369" s="23" t="n"/>
      <c r="T369" s="27">
        <f>IF(S369="","",IF(ISNUMBER(S369),S369-TODAY(),"Check date"))</f>
        <v/>
      </c>
      <c r="U369" s="22" t="n"/>
      <c r="V369" s="22" t="n"/>
      <c r="W369" s="22" t="n"/>
      <c r="X369" s="22" t="n"/>
    </row>
    <row r="370">
      <c r="A370" s="22" t="n"/>
      <c r="B370" s="22" t="n"/>
      <c r="C370" s="22" t="n"/>
      <c r="D370" s="22" t="n"/>
      <c r="E370" s="23" t="n"/>
      <c r="F370" s="23" t="n"/>
      <c r="G370" s="23" t="n"/>
      <c r="H370" s="24">
        <f>IF(ISNUMBER(G370),EDATE(G370,24),"")</f>
        <v/>
      </c>
      <c r="I370" s="24">
        <f>IF(OR(AND(LEN(F370)&gt;0,ISNUMBER(F370)=FALSE),AND(LEN(G370)&gt;0,ISNUMBER(G370)=FALSE)),"Check date",IF(COUNT(F370,H370)=0,"",MIN(F370,H370)))</f>
        <v/>
      </c>
      <c r="J370" s="25">
        <f>IF(ISNUMBER(I370)=FALSE,"",IF(AND(ISNUMBER(H370),I370=H370),"24-month work rule","Registry expiry"))</f>
        <v/>
      </c>
      <c r="K370" s="26" t="n"/>
      <c r="L370" s="24">
        <f>IF(ISNUMBER(I370),I370-IF(ISNUMBER(K370),K370,30),"")</f>
        <v/>
      </c>
      <c r="M370" s="27">
        <f>IF(I370="","",IF(ISNUMBER(I370),I370-TODAY(),"Check date"))</f>
        <v/>
      </c>
      <c r="N370" s="28">
        <f>IF(M370="","",IF(ISNUMBER(M370),IF(M370&lt;0,"Expired",IF(M370&lt;=30,"Due ≤30 days",IF(M370&lt;=90,"Due ≤90 days","OK"))),"Check date"))</f>
        <v/>
      </c>
      <c r="O370" s="24">
        <f>IF(ISNUMBER(E370),EDATE(E370,12*(IFERROR(DATEDIF(E370,TODAY(),"y"),0)+1)),"")</f>
        <v/>
      </c>
      <c r="P370" s="26" t="n"/>
      <c r="Q370" s="26" t="n"/>
      <c r="R370" s="27">
        <f>IF(LEN(A370)=0,"",MAX(0,IF(ISNUMBER(Q370),Q370,12)-N(P370)))</f>
        <v/>
      </c>
      <c r="S370" s="23" t="n"/>
      <c r="T370" s="27">
        <f>IF(S370="","",IF(ISNUMBER(S370),S370-TODAY(),"Check date"))</f>
        <v/>
      </c>
      <c r="U370" s="22" t="n"/>
      <c r="V370" s="22" t="n"/>
      <c r="W370" s="22" t="n"/>
      <c r="X370" s="22" t="n"/>
    </row>
    <row r="371">
      <c r="A371" s="22" t="n"/>
      <c r="B371" s="22" t="n"/>
      <c r="C371" s="22" t="n"/>
      <c r="D371" s="22" t="n"/>
      <c r="E371" s="23" t="n"/>
      <c r="F371" s="23" t="n"/>
      <c r="G371" s="23" t="n"/>
      <c r="H371" s="24">
        <f>IF(ISNUMBER(G371),EDATE(G371,24),"")</f>
        <v/>
      </c>
      <c r="I371" s="24">
        <f>IF(OR(AND(LEN(F371)&gt;0,ISNUMBER(F371)=FALSE),AND(LEN(G371)&gt;0,ISNUMBER(G371)=FALSE)),"Check date",IF(COUNT(F371,H371)=0,"",MIN(F371,H371)))</f>
        <v/>
      </c>
      <c r="J371" s="25">
        <f>IF(ISNUMBER(I371)=FALSE,"",IF(AND(ISNUMBER(H371),I371=H371),"24-month work rule","Registry expiry"))</f>
        <v/>
      </c>
      <c r="K371" s="26" t="n"/>
      <c r="L371" s="24">
        <f>IF(ISNUMBER(I371),I371-IF(ISNUMBER(K371),K371,30),"")</f>
        <v/>
      </c>
      <c r="M371" s="27">
        <f>IF(I371="","",IF(ISNUMBER(I371),I371-TODAY(),"Check date"))</f>
        <v/>
      </c>
      <c r="N371" s="28">
        <f>IF(M371="","",IF(ISNUMBER(M371),IF(M371&lt;0,"Expired",IF(M371&lt;=30,"Due ≤30 days",IF(M371&lt;=90,"Due ≤90 days","OK"))),"Check date"))</f>
        <v/>
      </c>
      <c r="O371" s="24">
        <f>IF(ISNUMBER(E371),EDATE(E371,12*(IFERROR(DATEDIF(E371,TODAY(),"y"),0)+1)),"")</f>
        <v/>
      </c>
      <c r="P371" s="26" t="n"/>
      <c r="Q371" s="26" t="n"/>
      <c r="R371" s="27">
        <f>IF(LEN(A371)=0,"",MAX(0,IF(ISNUMBER(Q371),Q371,12)-N(P371)))</f>
        <v/>
      </c>
      <c r="S371" s="23" t="n"/>
      <c r="T371" s="27">
        <f>IF(S371="","",IF(ISNUMBER(S371),S371-TODAY(),"Check date"))</f>
        <v/>
      </c>
      <c r="U371" s="22" t="n"/>
      <c r="V371" s="22" t="n"/>
      <c r="W371" s="22" t="n"/>
      <c r="X371" s="22" t="n"/>
    </row>
    <row r="372">
      <c r="A372" s="22" t="n"/>
      <c r="B372" s="22" t="n"/>
      <c r="C372" s="22" t="n"/>
      <c r="D372" s="22" t="n"/>
      <c r="E372" s="23" t="n"/>
      <c r="F372" s="23" t="n"/>
      <c r="G372" s="23" t="n"/>
      <c r="H372" s="24">
        <f>IF(ISNUMBER(G372),EDATE(G372,24),"")</f>
        <v/>
      </c>
      <c r="I372" s="24">
        <f>IF(OR(AND(LEN(F372)&gt;0,ISNUMBER(F372)=FALSE),AND(LEN(G372)&gt;0,ISNUMBER(G372)=FALSE)),"Check date",IF(COUNT(F372,H372)=0,"",MIN(F372,H372)))</f>
        <v/>
      </c>
      <c r="J372" s="25">
        <f>IF(ISNUMBER(I372)=FALSE,"",IF(AND(ISNUMBER(H372),I372=H372),"24-month work rule","Registry expiry"))</f>
        <v/>
      </c>
      <c r="K372" s="26" t="n"/>
      <c r="L372" s="24">
        <f>IF(ISNUMBER(I372),I372-IF(ISNUMBER(K372),K372,30),"")</f>
        <v/>
      </c>
      <c r="M372" s="27">
        <f>IF(I372="","",IF(ISNUMBER(I372),I372-TODAY(),"Check date"))</f>
        <v/>
      </c>
      <c r="N372" s="28">
        <f>IF(M372="","",IF(ISNUMBER(M372),IF(M372&lt;0,"Expired",IF(M372&lt;=30,"Due ≤30 days",IF(M372&lt;=90,"Due ≤90 days","OK"))),"Check date"))</f>
        <v/>
      </c>
      <c r="O372" s="24">
        <f>IF(ISNUMBER(E372),EDATE(E372,12*(IFERROR(DATEDIF(E372,TODAY(),"y"),0)+1)),"")</f>
        <v/>
      </c>
      <c r="P372" s="26" t="n"/>
      <c r="Q372" s="26" t="n"/>
      <c r="R372" s="27">
        <f>IF(LEN(A372)=0,"",MAX(0,IF(ISNUMBER(Q372),Q372,12)-N(P372)))</f>
        <v/>
      </c>
      <c r="S372" s="23" t="n"/>
      <c r="T372" s="27">
        <f>IF(S372="","",IF(ISNUMBER(S372),S372-TODAY(),"Check date"))</f>
        <v/>
      </c>
      <c r="U372" s="22" t="n"/>
      <c r="V372" s="22" t="n"/>
      <c r="W372" s="22" t="n"/>
      <c r="X372" s="22" t="n"/>
    </row>
    <row r="373">
      <c r="A373" s="22" t="n"/>
      <c r="B373" s="22" t="n"/>
      <c r="C373" s="22" t="n"/>
      <c r="D373" s="22" t="n"/>
      <c r="E373" s="23" t="n"/>
      <c r="F373" s="23" t="n"/>
      <c r="G373" s="23" t="n"/>
      <c r="H373" s="24">
        <f>IF(ISNUMBER(G373),EDATE(G373,24),"")</f>
        <v/>
      </c>
      <c r="I373" s="24">
        <f>IF(OR(AND(LEN(F373)&gt;0,ISNUMBER(F373)=FALSE),AND(LEN(G373)&gt;0,ISNUMBER(G373)=FALSE)),"Check date",IF(COUNT(F373,H373)=0,"",MIN(F373,H373)))</f>
        <v/>
      </c>
      <c r="J373" s="25">
        <f>IF(ISNUMBER(I373)=FALSE,"",IF(AND(ISNUMBER(H373),I373=H373),"24-month work rule","Registry expiry"))</f>
        <v/>
      </c>
      <c r="K373" s="26" t="n"/>
      <c r="L373" s="24">
        <f>IF(ISNUMBER(I373),I373-IF(ISNUMBER(K373),K373,30),"")</f>
        <v/>
      </c>
      <c r="M373" s="27">
        <f>IF(I373="","",IF(ISNUMBER(I373),I373-TODAY(),"Check date"))</f>
        <v/>
      </c>
      <c r="N373" s="28">
        <f>IF(M373="","",IF(ISNUMBER(M373),IF(M373&lt;0,"Expired",IF(M373&lt;=30,"Due ≤30 days",IF(M373&lt;=90,"Due ≤90 days","OK"))),"Check date"))</f>
        <v/>
      </c>
      <c r="O373" s="24">
        <f>IF(ISNUMBER(E373),EDATE(E373,12*(IFERROR(DATEDIF(E373,TODAY(),"y"),0)+1)),"")</f>
        <v/>
      </c>
      <c r="P373" s="26" t="n"/>
      <c r="Q373" s="26" t="n"/>
      <c r="R373" s="27">
        <f>IF(LEN(A373)=0,"",MAX(0,IF(ISNUMBER(Q373),Q373,12)-N(P373)))</f>
        <v/>
      </c>
      <c r="S373" s="23" t="n"/>
      <c r="T373" s="27">
        <f>IF(S373="","",IF(ISNUMBER(S373),S373-TODAY(),"Check date"))</f>
        <v/>
      </c>
      <c r="U373" s="22" t="n"/>
      <c r="V373" s="22" t="n"/>
      <c r="W373" s="22" t="n"/>
      <c r="X373" s="22" t="n"/>
    </row>
    <row r="374">
      <c r="A374" s="22" t="n"/>
      <c r="B374" s="22" t="n"/>
      <c r="C374" s="22" t="n"/>
      <c r="D374" s="22" t="n"/>
      <c r="E374" s="23" t="n"/>
      <c r="F374" s="23" t="n"/>
      <c r="G374" s="23" t="n"/>
      <c r="H374" s="24">
        <f>IF(ISNUMBER(G374),EDATE(G374,24),"")</f>
        <v/>
      </c>
      <c r="I374" s="24">
        <f>IF(OR(AND(LEN(F374)&gt;0,ISNUMBER(F374)=FALSE),AND(LEN(G374)&gt;0,ISNUMBER(G374)=FALSE)),"Check date",IF(COUNT(F374,H374)=0,"",MIN(F374,H374)))</f>
        <v/>
      </c>
      <c r="J374" s="25">
        <f>IF(ISNUMBER(I374)=FALSE,"",IF(AND(ISNUMBER(H374),I374=H374),"24-month work rule","Registry expiry"))</f>
        <v/>
      </c>
      <c r="K374" s="26" t="n"/>
      <c r="L374" s="24">
        <f>IF(ISNUMBER(I374),I374-IF(ISNUMBER(K374),K374,30),"")</f>
        <v/>
      </c>
      <c r="M374" s="27">
        <f>IF(I374="","",IF(ISNUMBER(I374),I374-TODAY(),"Check date"))</f>
        <v/>
      </c>
      <c r="N374" s="28">
        <f>IF(M374="","",IF(ISNUMBER(M374),IF(M374&lt;0,"Expired",IF(M374&lt;=30,"Due ≤30 days",IF(M374&lt;=90,"Due ≤90 days","OK"))),"Check date"))</f>
        <v/>
      </c>
      <c r="O374" s="24">
        <f>IF(ISNUMBER(E374),EDATE(E374,12*(IFERROR(DATEDIF(E374,TODAY(),"y"),0)+1)),"")</f>
        <v/>
      </c>
      <c r="P374" s="26" t="n"/>
      <c r="Q374" s="26" t="n"/>
      <c r="R374" s="27">
        <f>IF(LEN(A374)=0,"",MAX(0,IF(ISNUMBER(Q374),Q374,12)-N(P374)))</f>
        <v/>
      </c>
      <c r="S374" s="23" t="n"/>
      <c r="T374" s="27">
        <f>IF(S374="","",IF(ISNUMBER(S374),S374-TODAY(),"Check date"))</f>
        <v/>
      </c>
      <c r="U374" s="22" t="n"/>
      <c r="V374" s="22" t="n"/>
      <c r="W374" s="22" t="n"/>
      <c r="X374" s="22" t="n"/>
    </row>
    <row r="375">
      <c r="A375" s="22" t="n"/>
      <c r="B375" s="22" t="n"/>
      <c r="C375" s="22" t="n"/>
      <c r="D375" s="22" t="n"/>
      <c r="E375" s="23" t="n"/>
      <c r="F375" s="23" t="n"/>
      <c r="G375" s="23" t="n"/>
      <c r="H375" s="24">
        <f>IF(ISNUMBER(G375),EDATE(G375,24),"")</f>
        <v/>
      </c>
      <c r="I375" s="24">
        <f>IF(OR(AND(LEN(F375)&gt;0,ISNUMBER(F375)=FALSE),AND(LEN(G375)&gt;0,ISNUMBER(G375)=FALSE)),"Check date",IF(COUNT(F375,H375)=0,"",MIN(F375,H375)))</f>
        <v/>
      </c>
      <c r="J375" s="25">
        <f>IF(ISNUMBER(I375)=FALSE,"",IF(AND(ISNUMBER(H375),I375=H375),"24-month work rule","Registry expiry"))</f>
        <v/>
      </c>
      <c r="K375" s="26" t="n"/>
      <c r="L375" s="24">
        <f>IF(ISNUMBER(I375),I375-IF(ISNUMBER(K375),K375,30),"")</f>
        <v/>
      </c>
      <c r="M375" s="27">
        <f>IF(I375="","",IF(ISNUMBER(I375),I375-TODAY(),"Check date"))</f>
        <v/>
      </c>
      <c r="N375" s="28">
        <f>IF(M375="","",IF(ISNUMBER(M375),IF(M375&lt;0,"Expired",IF(M375&lt;=30,"Due ≤30 days",IF(M375&lt;=90,"Due ≤90 days","OK"))),"Check date"))</f>
        <v/>
      </c>
      <c r="O375" s="24">
        <f>IF(ISNUMBER(E375),EDATE(E375,12*(IFERROR(DATEDIF(E375,TODAY(),"y"),0)+1)),"")</f>
        <v/>
      </c>
      <c r="P375" s="26" t="n"/>
      <c r="Q375" s="26" t="n"/>
      <c r="R375" s="27">
        <f>IF(LEN(A375)=0,"",MAX(0,IF(ISNUMBER(Q375),Q375,12)-N(P375)))</f>
        <v/>
      </c>
      <c r="S375" s="23" t="n"/>
      <c r="T375" s="27">
        <f>IF(S375="","",IF(ISNUMBER(S375),S375-TODAY(),"Check date"))</f>
        <v/>
      </c>
      <c r="U375" s="22" t="n"/>
      <c r="V375" s="22" t="n"/>
      <c r="W375" s="22" t="n"/>
      <c r="X375" s="22" t="n"/>
    </row>
    <row r="376">
      <c r="A376" s="22" t="n"/>
      <c r="B376" s="22" t="n"/>
      <c r="C376" s="22" t="n"/>
      <c r="D376" s="22" t="n"/>
      <c r="E376" s="23" t="n"/>
      <c r="F376" s="23" t="n"/>
      <c r="G376" s="23" t="n"/>
      <c r="H376" s="24">
        <f>IF(ISNUMBER(G376),EDATE(G376,24),"")</f>
        <v/>
      </c>
      <c r="I376" s="24">
        <f>IF(OR(AND(LEN(F376)&gt;0,ISNUMBER(F376)=FALSE),AND(LEN(G376)&gt;0,ISNUMBER(G376)=FALSE)),"Check date",IF(COUNT(F376,H376)=0,"",MIN(F376,H376)))</f>
        <v/>
      </c>
      <c r="J376" s="25">
        <f>IF(ISNUMBER(I376)=FALSE,"",IF(AND(ISNUMBER(H376),I376=H376),"24-month work rule","Registry expiry"))</f>
        <v/>
      </c>
      <c r="K376" s="26" t="n"/>
      <c r="L376" s="24">
        <f>IF(ISNUMBER(I376),I376-IF(ISNUMBER(K376),K376,30),"")</f>
        <v/>
      </c>
      <c r="M376" s="27">
        <f>IF(I376="","",IF(ISNUMBER(I376),I376-TODAY(),"Check date"))</f>
        <v/>
      </c>
      <c r="N376" s="28">
        <f>IF(M376="","",IF(ISNUMBER(M376),IF(M376&lt;0,"Expired",IF(M376&lt;=30,"Due ≤30 days",IF(M376&lt;=90,"Due ≤90 days","OK"))),"Check date"))</f>
        <v/>
      </c>
      <c r="O376" s="24">
        <f>IF(ISNUMBER(E376),EDATE(E376,12*(IFERROR(DATEDIF(E376,TODAY(),"y"),0)+1)),"")</f>
        <v/>
      </c>
      <c r="P376" s="26" t="n"/>
      <c r="Q376" s="26" t="n"/>
      <c r="R376" s="27">
        <f>IF(LEN(A376)=0,"",MAX(0,IF(ISNUMBER(Q376),Q376,12)-N(P376)))</f>
        <v/>
      </c>
      <c r="S376" s="23" t="n"/>
      <c r="T376" s="27">
        <f>IF(S376="","",IF(ISNUMBER(S376),S376-TODAY(),"Check date"))</f>
        <v/>
      </c>
      <c r="U376" s="22" t="n"/>
      <c r="V376" s="22" t="n"/>
      <c r="W376" s="22" t="n"/>
      <c r="X376" s="22" t="n"/>
    </row>
    <row r="377">
      <c r="A377" s="22" t="n"/>
      <c r="B377" s="22" t="n"/>
      <c r="C377" s="22" t="n"/>
      <c r="D377" s="22" t="n"/>
      <c r="E377" s="23" t="n"/>
      <c r="F377" s="23" t="n"/>
      <c r="G377" s="23" t="n"/>
      <c r="H377" s="24">
        <f>IF(ISNUMBER(G377),EDATE(G377,24),"")</f>
        <v/>
      </c>
      <c r="I377" s="24">
        <f>IF(OR(AND(LEN(F377)&gt;0,ISNUMBER(F377)=FALSE),AND(LEN(G377)&gt;0,ISNUMBER(G377)=FALSE)),"Check date",IF(COUNT(F377,H377)=0,"",MIN(F377,H377)))</f>
        <v/>
      </c>
      <c r="J377" s="25">
        <f>IF(ISNUMBER(I377)=FALSE,"",IF(AND(ISNUMBER(H377),I377=H377),"24-month work rule","Registry expiry"))</f>
        <v/>
      </c>
      <c r="K377" s="26" t="n"/>
      <c r="L377" s="24">
        <f>IF(ISNUMBER(I377),I377-IF(ISNUMBER(K377),K377,30),"")</f>
        <v/>
      </c>
      <c r="M377" s="27">
        <f>IF(I377="","",IF(ISNUMBER(I377),I377-TODAY(),"Check date"))</f>
        <v/>
      </c>
      <c r="N377" s="28">
        <f>IF(M377="","",IF(ISNUMBER(M377),IF(M377&lt;0,"Expired",IF(M377&lt;=30,"Due ≤30 days",IF(M377&lt;=90,"Due ≤90 days","OK"))),"Check date"))</f>
        <v/>
      </c>
      <c r="O377" s="24">
        <f>IF(ISNUMBER(E377),EDATE(E377,12*(IFERROR(DATEDIF(E377,TODAY(),"y"),0)+1)),"")</f>
        <v/>
      </c>
      <c r="P377" s="26" t="n"/>
      <c r="Q377" s="26" t="n"/>
      <c r="R377" s="27">
        <f>IF(LEN(A377)=0,"",MAX(0,IF(ISNUMBER(Q377),Q377,12)-N(P377)))</f>
        <v/>
      </c>
      <c r="S377" s="23" t="n"/>
      <c r="T377" s="27">
        <f>IF(S377="","",IF(ISNUMBER(S377),S377-TODAY(),"Check date"))</f>
        <v/>
      </c>
      <c r="U377" s="22" t="n"/>
      <c r="V377" s="22" t="n"/>
      <c r="W377" s="22" t="n"/>
      <c r="X377" s="22" t="n"/>
    </row>
    <row r="378">
      <c r="A378" s="22" t="n"/>
      <c r="B378" s="22" t="n"/>
      <c r="C378" s="22" t="n"/>
      <c r="D378" s="22" t="n"/>
      <c r="E378" s="23" t="n"/>
      <c r="F378" s="23" t="n"/>
      <c r="G378" s="23" t="n"/>
      <c r="H378" s="24">
        <f>IF(ISNUMBER(G378),EDATE(G378,24),"")</f>
        <v/>
      </c>
      <c r="I378" s="24">
        <f>IF(OR(AND(LEN(F378)&gt;0,ISNUMBER(F378)=FALSE),AND(LEN(G378)&gt;0,ISNUMBER(G378)=FALSE)),"Check date",IF(COUNT(F378,H378)=0,"",MIN(F378,H378)))</f>
        <v/>
      </c>
      <c r="J378" s="25">
        <f>IF(ISNUMBER(I378)=FALSE,"",IF(AND(ISNUMBER(H378),I378=H378),"24-month work rule","Registry expiry"))</f>
        <v/>
      </c>
      <c r="K378" s="26" t="n"/>
      <c r="L378" s="24">
        <f>IF(ISNUMBER(I378),I378-IF(ISNUMBER(K378),K378,30),"")</f>
        <v/>
      </c>
      <c r="M378" s="27">
        <f>IF(I378="","",IF(ISNUMBER(I378),I378-TODAY(),"Check date"))</f>
        <v/>
      </c>
      <c r="N378" s="28">
        <f>IF(M378="","",IF(ISNUMBER(M378),IF(M378&lt;0,"Expired",IF(M378&lt;=30,"Due ≤30 days",IF(M378&lt;=90,"Due ≤90 days","OK"))),"Check date"))</f>
        <v/>
      </c>
      <c r="O378" s="24">
        <f>IF(ISNUMBER(E378),EDATE(E378,12*(IFERROR(DATEDIF(E378,TODAY(),"y"),0)+1)),"")</f>
        <v/>
      </c>
      <c r="P378" s="26" t="n"/>
      <c r="Q378" s="26" t="n"/>
      <c r="R378" s="27">
        <f>IF(LEN(A378)=0,"",MAX(0,IF(ISNUMBER(Q378),Q378,12)-N(P378)))</f>
        <v/>
      </c>
      <c r="S378" s="23" t="n"/>
      <c r="T378" s="27">
        <f>IF(S378="","",IF(ISNUMBER(S378),S378-TODAY(),"Check date"))</f>
        <v/>
      </c>
      <c r="U378" s="22" t="n"/>
      <c r="V378" s="22" t="n"/>
      <c r="W378" s="22" t="n"/>
      <c r="X378" s="22" t="n"/>
    </row>
    <row r="379">
      <c r="A379" s="22" t="n"/>
      <c r="B379" s="22" t="n"/>
      <c r="C379" s="22" t="n"/>
      <c r="D379" s="22" t="n"/>
      <c r="E379" s="23" t="n"/>
      <c r="F379" s="23" t="n"/>
      <c r="G379" s="23" t="n"/>
      <c r="H379" s="24">
        <f>IF(ISNUMBER(G379),EDATE(G379,24),"")</f>
        <v/>
      </c>
      <c r="I379" s="24">
        <f>IF(OR(AND(LEN(F379)&gt;0,ISNUMBER(F379)=FALSE),AND(LEN(G379)&gt;0,ISNUMBER(G379)=FALSE)),"Check date",IF(COUNT(F379,H379)=0,"",MIN(F379,H379)))</f>
        <v/>
      </c>
      <c r="J379" s="25">
        <f>IF(ISNUMBER(I379)=FALSE,"",IF(AND(ISNUMBER(H379),I379=H379),"24-month work rule","Registry expiry"))</f>
        <v/>
      </c>
      <c r="K379" s="26" t="n"/>
      <c r="L379" s="24">
        <f>IF(ISNUMBER(I379),I379-IF(ISNUMBER(K379),K379,30),"")</f>
        <v/>
      </c>
      <c r="M379" s="27">
        <f>IF(I379="","",IF(ISNUMBER(I379),I379-TODAY(),"Check date"))</f>
        <v/>
      </c>
      <c r="N379" s="28">
        <f>IF(M379="","",IF(ISNUMBER(M379),IF(M379&lt;0,"Expired",IF(M379&lt;=30,"Due ≤30 days",IF(M379&lt;=90,"Due ≤90 days","OK"))),"Check date"))</f>
        <v/>
      </c>
      <c r="O379" s="24">
        <f>IF(ISNUMBER(E379),EDATE(E379,12*(IFERROR(DATEDIF(E379,TODAY(),"y"),0)+1)),"")</f>
        <v/>
      </c>
      <c r="P379" s="26" t="n"/>
      <c r="Q379" s="26" t="n"/>
      <c r="R379" s="27">
        <f>IF(LEN(A379)=0,"",MAX(0,IF(ISNUMBER(Q379),Q379,12)-N(P379)))</f>
        <v/>
      </c>
      <c r="S379" s="23" t="n"/>
      <c r="T379" s="27">
        <f>IF(S379="","",IF(ISNUMBER(S379),S379-TODAY(),"Check date"))</f>
        <v/>
      </c>
      <c r="U379" s="22" t="n"/>
      <c r="V379" s="22" t="n"/>
      <c r="W379" s="22" t="n"/>
      <c r="X379" s="22" t="n"/>
    </row>
    <row r="380">
      <c r="A380" s="22" t="n"/>
      <c r="B380" s="22" t="n"/>
      <c r="C380" s="22" t="n"/>
      <c r="D380" s="22" t="n"/>
      <c r="E380" s="23" t="n"/>
      <c r="F380" s="23" t="n"/>
      <c r="G380" s="23" t="n"/>
      <c r="H380" s="24">
        <f>IF(ISNUMBER(G380),EDATE(G380,24),"")</f>
        <v/>
      </c>
      <c r="I380" s="24">
        <f>IF(OR(AND(LEN(F380)&gt;0,ISNUMBER(F380)=FALSE),AND(LEN(G380)&gt;0,ISNUMBER(G380)=FALSE)),"Check date",IF(COUNT(F380,H380)=0,"",MIN(F380,H380)))</f>
        <v/>
      </c>
      <c r="J380" s="25">
        <f>IF(ISNUMBER(I380)=FALSE,"",IF(AND(ISNUMBER(H380),I380=H380),"24-month work rule","Registry expiry"))</f>
        <v/>
      </c>
      <c r="K380" s="26" t="n"/>
      <c r="L380" s="24">
        <f>IF(ISNUMBER(I380),I380-IF(ISNUMBER(K380),K380,30),"")</f>
        <v/>
      </c>
      <c r="M380" s="27">
        <f>IF(I380="","",IF(ISNUMBER(I380),I380-TODAY(),"Check date"))</f>
        <v/>
      </c>
      <c r="N380" s="28">
        <f>IF(M380="","",IF(ISNUMBER(M380),IF(M380&lt;0,"Expired",IF(M380&lt;=30,"Due ≤30 days",IF(M380&lt;=90,"Due ≤90 days","OK"))),"Check date"))</f>
        <v/>
      </c>
      <c r="O380" s="24">
        <f>IF(ISNUMBER(E380),EDATE(E380,12*(IFERROR(DATEDIF(E380,TODAY(),"y"),0)+1)),"")</f>
        <v/>
      </c>
      <c r="P380" s="26" t="n"/>
      <c r="Q380" s="26" t="n"/>
      <c r="R380" s="27">
        <f>IF(LEN(A380)=0,"",MAX(0,IF(ISNUMBER(Q380),Q380,12)-N(P380)))</f>
        <v/>
      </c>
      <c r="S380" s="23" t="n"/>
      <c r="T380" s="27">
        <f>IF(S380="","",IF(ISNUMBER(S380),S380-TODAY(),"Check date"))</f>
        <v/>
      </c>
      <c r="U380" s="22" t="n"/>
      <c r="V380" s="22" t="n"/>
      <c r="W380" s="22" t="n"/>
      <c r="X380" s="22" t="n"/>
    </row>
    <row r="381">
      <c r="A381" s="22" t="n"/>
      <c r="B381" s="22" t="n"/>
      <c r="C381" s="22" t="n"/>
      <c r="D381" s="22" t="n"/>
      <c r="E381" s="23" t="n"/>
      <c r="F381" s="23" t="n"/>
      <c r="G381" s="23" t="n"/>
      <c r="H381" s="24">
        <f>IF(ISNUMBER(G381),EDATE(G381,24),"")</f>
        <v/>
      </c>
      <c r="I381" s="24">
        <f>IF(OR(AND(LEN(F381)&gt;0,ISNUMBER(F381)=FALSE),AND(LEN(G381)&gt;0,ISNUMBER(G381)=FALSE)),"Check date",IF(COUNT(F381,H381)=0,"",MIN(F381,H381)))</f>
        <v/>
      </c>
      <c r="J381" s="25">
        <f>IF(ISNUMBER(I381)=FALSE,"",IF(AND(ISNUMBER(H381),I381=H381),"24-month work rule","Registry expiry"))</f>
        <v/>
      </c>
      <c r="K381" s="26" t="n"/>
      <c r="L381" s="24">
        <f>IF(ISNUMBER(I381),I381-IF(ISNUMBER(K381),K381,30),"")</f>
        <v/>
      </c>
      <c r="M381" s="27">
        <f>IF(I381="","",IF(ISNUMBER(I381),I381-TODAY(),"Check date"))</f>
        <v/>
      </c>
      <c r="N381" s="28">
        <f>IF(M381="","",IF(ISNUMBER(M381),IF(M381&lt;0,"Expired",IF(M381&lt;=30,"Due ≤30 days",IF(M381&lt;=90,"Due ≤90 days","OK"))),"Check date"))</f>
        <v/>
      </c>
      <c r="O381" s="24">
        <f>IF(ISNUMBER(E381),EDATE(E381,12*(IFERROR(DATEDIF(E381,TODAY(),"y"),0)+1)),"")</f>
        <v/>
      </c>
      <c r="P381" s="26" t="n"/>
      <c r="Q381" s="26" t="n"/>
      <c r="R381" s="27">
        <f>IF(LEN(A381)=0,"",MAX(0,IF(ISNUMBER(Q381),Q381,12)-N(P381)))</f>
        <v/>
      </c>
      <c r="S381" s="23" t="n"/>
      <c r="T381" s="27">
        <f>IF(S381="","",IF(ISNUMBER(S381),S381-TODAY(),"Check date"))</f>
        <v/>
      </c>
      <c r="U381" s="22" t="n"/>
      <c r="V381" s="22" t="n"/>
      <c r="W381" s="22" t="n"/>
      <c r="X381" s="22" t="n"/>
    </row>
    <row r="382">
      <c r="A382" s="22" t="n"/>
      <c r="B382" s="22" t="n"/>
      <c r="C382" s="22" t="n"/>
      <c r="D382" s="22" t="n"/>
      <c r="E382" s="23" t="n"/>
      <c r="F382" s="23" t="n"/>
      <c r="G382" s="23" t="n"/>
      <c r="H382" s="24">
        <f>IF(ISNUMBER(G382),EDATE(G382,24),"")</f>
        <v/>
      </c>
      <c r="I382" s="24">
        <f>IF(OR(AND(LEN(F382)&gt;0,ISNUMBER(F382)=FALSE),AND(LEN(G382)&gt;0,ISNUMBER(G382)=FALSE)),"Check date",IF(COUNT(F382,H382)=0,"",MIN(F382,H382)))</f>
        <v/>
      </c>
      <c r="J382" s="25">
        <f>IF(ISNUMBER(I382)=FALSE,"",IF(AND(ISNUMBER(H382),I382=H382),"24-month work rule","Registry expiry"))</f>
        <v/>
      </c>
      <c r="K382" s="26" t="n"/>
      <c r="L382" s="24">
        <f>IF(ISNUMBER(I382),I382-IF(ISNUMBER(K382),K382,30),"")</f>
        <v/>
      </c>
      <c r="M382" s="27">
        <f>IF(I382="","",IF(ISNUMBER(I382),I382-TODAY(),"Check date"))</f>
        <v/>
      </c>
      <c r="N382" s="28">
        <f>IF(M382="","",IF(ISNUMBER(M382),IF(M382&lt;0,"Expired",IF(M382&lt;=30,"Due ≤30 days",IF(M382&lt;=90,"Due ≤90 days","OK"))),"Check date"))</f>
        <v/>
      </c>
      <c r="O382" s="24">
        <f>IF(ISNUMBER(E382),EDATE(E382,12*(IFERROR(DATEDIF(E382,TODAY(),"y"),0)+1)),"")</f>
        <v/>
      </c>
      <c r="P382" s="26" t="n"/>
      <c r="Q382" s="26" t="n"/>
      <c r="R382" s="27">
        <f>IF(LEN(A382)=0,"",MAX(0,IF(ISNUMBER(Q382),Q382,12)-N(P382)))</f>
        <v/>
      </c>
      <c r="S382" s="23" t="n"/>
      <c r="T382" s="27">
        <f>IF(S382="","",IF(ISNUMBER(S382),S382-TODAY(),"Check date"))</f>
        <v/>
      </c>
      <c r="U382" s="22" t="n"/>
      <c r="V382" s="22" t="n"/>
      <c r="W382" s="22" t="n"/>
      <c r="X382" s="22" t="n"/>
    </row>
    <row r="383">
      <c r="A383" s="22" t="n"/>
      <c r="B383" s="22" t="n"/>
      <c r="C383" s="22" t="n"/>
      <c r="D383" s="22" t="n"/>
      <c r="E383" s="23" t="n"/>
      <c r="F383" s="23" t="n"/>
      <c r="G383" s="23" t="n"/>
      <c r="H383" s="24">
        <f>IF(ISNUMBER(G383),EDATE(G383,24),"")</f>
        <v/>
      </c>
      <c r="I383" s="24">
        <f>IF(OR(AND(LEN(F383)&gt;0,ISNUMBER(F383)=FALSE),AND(LEN(G383)&gt;0,ISNUMBER(G383)=FALSE)),"Check date",IF(COUNT(F383,H383)=0,"",MIN(F383,H383)))</f>
        <v/>
      </c>
      <c r="J383" s="25">
        <f>IF(ISNUMBER(I383)=FALSE,"",IF(AND(ISNUMBER(H383),I383=H383),"24-month work rule","Registry expiry"))</f>
        <v/>
      </c>
      <c r="K383" s="26" t="n"/>
      <c r="L383" s="24">
        <f>IF(ISNUMBER(I383),I383-IF(ISNUMBER(K383),K383,30),"")</f>
        <v/>
      </c>
      <c r="M383" s="27">
        <f>IF(I383="","",IF(ISNUMBER(I383),I383-TODAY(),"Check date"))</f>
        <v/>
      </c>
      <c r="N383" s="28">
        <f>IF(M383="","",IF(ISNUMBER(M383),IF(M383&lt;0,"Expired",IF(M383&lt;=30,"Due ≤30 days",IF(M383&lt;=90,"Due ≤90 days","OK"))),"Check date"))</f>
        <v/>
      </c>
      <c r="O383" s="24">
        <f>IF(ISNUMBER(E383),EDATE(E383,12*(IFERROR(DATEDIF(E383,TODAY(),"y"),0)+1)),"")</f>
        <v/>
      </c>
      <c r="P383" s="26" t="n"/>
      <c r="Q383" s="26" t="n"/>
      <c r="R383" s="27">
        <f>IF(LEN(A383)=0,"",MAX(0,IF(ISNUMBER(Q383),Q383,12)-N(P383)))</f>
        <v/>
      </c>
      <c r="S383" s="23" t="n"/>
      <c r="T383" s="27">
        <f>IF(S383="","",IF(ISNUMBER(S383),S383-TODAY(),"Check date"))</f>
        <v/>
      </c>
      <c r="U383" s="22" t="n"/>
      <c r="V383" s="22" t="n"/>
      <c r="W383" s="22" t="n"/>
      <c r="X383" s="22" t="n"/>
    </row>
    <row r="384">
      <c r="A384" s="22" t="n"/>
      <c r="B384" s="22" t="n"/>
      <c r="C384" s="22" t="n"/>
      <c r="D384" s="22" t="n"/>
      <c r="E384" s="23" t="n"/>
      <c r="F384" s="23" t="n"/>
      <c r="G384" s="23" t="n"/>
      <c r="H384" s="24">
        <f>IF(ISNUMBER(G384),EDATE(G384,24),"")</f>
        <v/>
      </c>
      <c r="I384" s="24">
        <f>IF(OR(AND(LEN(F384)&gt;0,ISNUMBER(F384)=FALSE),AND(LEN(G384)&gt;0,ISNUMBER(G384)=FALSE)),"Check date",IF(COUNT(F384,H384)=0,"",MIN(F384,H384)))</f>
        <v/>
      </c>
      <c r="J384" s="25">
        <f>IF(ISNUMBER(I384)=FALSE,"",IF(AND(ISNUMBER(H384),I384=H384),"24-month work rule","Registry expiry"))</f>
        <v/>
      </c>
      <c r="K384" s="26" t="n"/>
      <c r="L384" s="24">
        <f>IF(ISNUMBER(I384),I384-IF(ISNUMBER(K384),K384,30),"")</f>
        <v/>
      </c>
      <c r="M384" s="27">
        <f>IF(I384="","",IF(ISNUMBER(I384),I384-TODAY(),"Check date"))</f>
        <v/>
      </c>
      <c r="N384" s="28">
        <f>IF(M384="","",IF(ISNUMBER(M384),IF(M384&lt;0,"Expired",IF(M384&lt;=30,"Due ≤30 days",IF(M384&lt;=90,"Due ≤90 days","OK"))),"Check date"))</f>
        <v/>
      </c>
      <c r="O384" s="24">
        <f>IF(ISNUMBER(E384),EDATE(E384,12*(IFERROR(DATEDIF(E384,TODAY(),"y"),0)+1)),"")</f>
        <v/>
      </c>
      <c r="P384" s="26" t="n"/>
      <c r="Q384" s="26" t="n"/>
      <c r="R384" s="27">
        <f>IF(LEN(A384)=0,"",MAX(0,IF(ISNUMBER(Q384),Q384,12)-N(P384)))</f>
        <v/>
      </c>
      <c r="S384" s="23" t="n"/>
      <c r="T384" s="27">
        <f>IF(S384="","",IF(ISNUMBER(S384),S384-TODAY(),"Check date"))</f>
        <v/>
      </c>
      <c r="U384" s="22" t="n"/>
      <c r="V384" s="22" t="n"/>
      <c r="W384" s="22" t="n"/>
      <c r="X384" s="22" t="n"/>
    </row>
    <row r="385">
      <c r="A385" s="22" t="n"/>
      <c r="B385" s="22" t="n"/>
      <c r="C385" s="22" t="n"/>
      <c r="D385" s="22" t="n"/>
      <c r="E385" s="23" t="n"/>
      <c r="F385" s="23" t="n"/>
      <c r="G385" s="23" t="n"/>
      <c r="H385" s="24">
        <f>IF(ISNUMBER(G385),EDATE(G385,24),"")</f>
        <v/>
      </c>
      <c r="I385" s="24">
        <f>IF(OR(AND(LEN(F385)&gt;0,ISNUMBER(F385)=FALSE),AND(LEN(G385)&gt;0,ISNUMBER(G385)=FALSE)),"Check date",IF(COUNT(F385,H385)=0,"",MIN(F385,H385)))</f>
        <v/>
      </c>
      <c r="J385" s="25">
        <f>IF(ISNUMBER(I385)=FALSE,"",IF(AND(ISNUMBER(H385),I385=H385),"24-month work rule","Registry expiry"))</f>
        <v/>
      </c>
      <c r="K385" s="26" t="n"/>
      <c r="L385" s="24">
        <f>IF(ISNUMBER(I385),I385-IF(ISNUMBER(K385),K385,30),"")</f>
        <v/>
      </c>
      <c r="M385" s="27">
        <f>IF(I385="","",IF(ISNUMBER(I385),I385-TODAY(),"Check date"))</f>
        <v/>
      </c>
      <c r="N385" s="28">
        <f>IF(M385="","",IF(ISNUMBER(M385),IF(M385&lt;0,"Expired",IF(M385&lt;=30,"Due ≤30 days",IF(M385&lt;=90,"Due ≤90 days","OK"))),"Check date"))</f>
        <v/>
      </c>
      <c r="O385" s="24">
        <f>IF(ISNUMBER(E385),EDATE(E385,12*(IFERROR(DATEDIF(E385,TODAY(),"y"),0)+1)),"")</f>
        <v/>
      </c>
      <c r="P385" s="26" t="n"/>
      <c r="Q385" s="26" t="n"/>
      <c r="R385" s="27">
        <f>IF(LEN(A385)=0,"",MAX(0,IF(ISNUMBER(Q385),Q385,12)-N(P385)))</f>
        <v/>
      </c>
      <c r="S385" s="23" t="n"/>
      <c r="T385" s="27">
        <f>IF(S385="","",IF(ISNUMBER(S385),S385-TODAY(),"Check date"))</f>
        <v/>
      </c>
      <c r="U385" s="22" t="n"/>
      <c r="V385" s="22" t="n"/>
      <c r="W385" s="22" t="n"/>
      <c r="X385" s="22" t="n"/>
    </row>
    <row r="386">
      <c r="A386" s="22" t="n"/>
      <c r="B386" s="22" t="n"/>
      <c r="C386" s="22" t="n"/>
      <c r="D386" s="22" t="n"/>
      <c r="E386" s="23" t="n"/>
      <c r="F386" s="23" t="n"/>
      <c r="G386" s="23" t="n"/>
      <c r="H386" s="24">
        <f>IF(ISNUMBER(G386),EDATE(G386,24),"")</f>
        <v/>
      </c>
      <c r="I386" s="24">
        <f>IF(OR(AND(LEN(F386)&gt;0,ISNUMBER(F386)=FALSE),AND(LEN(G386)&gt;0,ISNUMBER(G386)=FALSE)),"Check date",IF(COUNT(F386,H386)=0,"",MIN(F386,H386)))</f>
        <v/>
      </c>
      <c r="J386" s="25">
        <f>IF(ISNUMBER(I386)=FALSE,"",IF(AND(ISNUMBER(H386),I386=H386),"24-month work rule","Registry expiry"))</f>
        <v/>
      </c>
      <c r="K386" s="26" t="n"/>
      <c r="L386" s="24">
        <f>IF(ISNUMBER(I386),I386-IF(ISNUMBER(K386),K386,30),"")</f>
        <v/>
      </c>
      <c r="M386" s="27">
        <f>IF(I386="","",IF(ISNUMBER(I386),I386-TODAY(),"Check date"))</f>
        <v/>
      </c>
      <c r="N386" s="28">
        <f>IF(M386="","",IF(ISNUMBER(M386),IF(M386&lt;0,"Expired",IF(M386&lt;=30,"Due ≤30 days",IF(M386&lt;=90,"Due ≤90 days","OK"))),"Check date"))</f>
        <v/>
      </c>
      <c r="O386" s="24">
        <f>IF(ISNUMBER(E386),EDATE(E386,12*(IFERROR(DATEDIF(E386,TODAY(),"y"),0)+1)),"")</f>
        <v/>
      </c>
      <c r="P386" s="26" t="n"/>
      <c r="Q386" s="26" t="n"/>
      <c r="R386" s="27">
        <f>IF(LEN(A386)=0,"",MAX(0,IF(ISNUMBER(Q386),Q386,12)-N(P386)))</f>
        <v/>
      </c>
      <c r="S386" s="23" t="n"/>
      <c r="T386" s="27">
        <f>IF(S386="","",IF(ISNUMBER(S386),S386-TODAY(),"Check date"))</f>
        <v/>
      </c>
      <c r="U386" s="22" t="n"/>
      <c r="V386" s="22" t="n"/>
      <c r="W386" s="22" t="n"/>
      <c r="X386" s="22" t="n"/>
    </row>
    <row r="387">
      <c r="A387" s="22" t="n"/>
      <c r="B387" s="22" t="n"/>
      <c r="C387" s="22" t="n"/>
      <c r="D387" s="22" t="n"/>
      <c r="E387" s="23" t="n"/>
      <c r="F387" s="23" t="n"/>
      <c r="G387" s="23" t="n"/>
      <c r="H387" s="24">
        <f>IF(ISNUMBER(G387),EDATE(G387,24),"")</f>
        <v/>
      </c>
      <c r="I387" s="24">
        <f>IF(OR(AND(LEN(F387)&gt;0,ISNUMBER(F387)=FALSE),AND(LEN(G387)&gt;0,ISNUMBER(G387)=FALSE)),"Check date",IF(COUNT(F387,H387)=0,"",MIN(F387,H387)))</f>
        <v/>
      </c>
      <c r="J387" s="25">
        <f>IF(ISNUMBER(I387)=FALSE,"",IF(AND(ISNUMBER(H387),I387=H387),"24-month work rule","Registry expiry"))</f>
        <v/>
      </c>
      <c r="K387" s="26" t="n"/>
      <c r="L387" s="24">
        <f>IF(ISNUMBER(I387),I387-IF(ISNUMBER(K387),K387,30),"")</f>
        <v/>
      </c>
      <c r="M387" s="27">
        <f>IF(I387="","",IF(ISNUMBER(I387),I387-TODAY(),"Check date"))</f>
        <v/>
      </c>
      <c r="N387" s="28">
        <f>IF(M387="","",IF(ISNUMBER(M387),IF(M387&lt;0,"Expired",IF(M387&lt;=30,"Due ≤30 days",IF(M387&lt;=90,"Due ≤90 days","OK"))),"Check date"))</f>
        <v/>
      </c>
      <c r="O387" s="24">
        <f>IF(ISNUMBER(E387),EDATE(E387,12*(IFERROR(DATEDIF(E387,TODAY(),"y"),0)+1)),"")</f>
        <v/>
      </c>
      <c r="P387" s="26" t="n"/>
      <c r="Q387" s="26" t="n"/>
      <c r="R387" s="27">
        <f>IF(LEN(A387)=0,"",MAX(0,IF(ISNUMBER(Q387),Q387,12)-N(P387)))</f>
        <v/>
      </c>
      <c r="S387" s="23" t="n"/>
      <c r="T387" s="27">
        <f>IF(S387="","",IF(ISNUMBER(S387),S387-TODAY(),"Check date"))</f>
        <v/>
      </c>
      <c r="U387" s="22" t="n"/>
      <c r="V387" s="22" t="n"/>
      <c r="W387" s="22" t="n"/>
      <c r="X387" s="22" t="n"/>
    </row>
    <row r="388">
      <c r="A388" s="22" t="n"/>
      <c r="B388" s="22" t="n"/>
      <c r="C388" s="22" t="n"/>
      <c r="D388" s="22" t="n"/>
      <c r="E388" s="23" t="n"/>
      <c r="F388" s="23" t="n"/>
      <c r="G388" s="23" t="n"/>
      <c r="H388" s="24">
        <f>IF(ISNUMBER(G388),EDATE(G388,24),"")</f>
        <v/>
      </c>
      <c r="I388" s="24">
        <f>IF(OR(AND(LEN(F388)&gt;0,ISNUMBER(F388)=FALSE),AND(LEN(G388)&gt;0,ISNUMBER(G388)=FALSE)),"Check date",IF(COUNT(F388,H388)=0,"",MIN(F388,H388)))</f>
        <v/>
      </c>
      <c r="J388" s="25">
        <f>IF(ISNUMBER(I388)=FALSE,"",IF(AND(ISNUMBER(H388),I388=H388),"24-month work rule","Registry expiry"))</f>
        <v/>
      </c>
      <c r="K388" s="26" t="n"/>
      <c r="L388" s="24">
        <f>IF(ISNUMBER(I388),I388-IF(ISNUMBER(K388),K388,30),"")</f>
        <v/>
      </c>
      <c r="M388" s="27">
        <f>IF(I388="","",IF(ISNUMBER(I388),I388-TODAY(),"Check date"))</f>
        <v/>
      </c>
      <c r="N388" s="28">
        <f>IF(M388="","",IF(ISNUMBER(M388),IF(M388&lt;0,"Expired",IF(M388&lt;=30,"Due ≤30 days",IF(M388&lt;=90,"Due ≤90 days","OK"))),"Check date"))</f>
        <v/>
      </c>
      <c r="O388" s="24">
        <f>IF(ISNUMBER(E388),EDATE(E388,12*(IFERROR(DATEDIF(E388,TODAY(),"y"),0)+1)),"")</f>
        <v/>
      </c>
      <c r="P388" s="26" t="n"/>
      <c r="Q388" s="26" t="n"/>
      <c r="R388" s="27">
        <f>IF(LEN(A388)=0,"",MAX(0,IF(ISNUMBER(Q388),Q388,12)-N(P388)))</f>
        <v/>
      </c>
      <c r="S388" s="23" t="n"/>
      <c r="T388" s="27">
        <f>IF(S388="","",IF(ISNUMBER(S388),S388-TODAY(),"Check date"))</f>
        <v/>
      </c>
      <c r="U388" s="22" t="n"/>
      <c r="V388" s="22" t="n"/>
      <c r="W388" s="22" t="n"/>
      <c r="X388" s="22" t="n"/>
    </row>
    <row r="389">
      <c r="A389" s="22" t="n"/>
      <c r="B389" s="22" t="n"/>
      <c r="C389" s="22" t="n"/>
      <c r="D389" s="22" t="n"/>
      <c r="E389" s="23" t="n"/>
      <c r="F389" s="23" t="n"/>
      <c r="G389" s="23" t="n"/>
      <c r="H389" s="24">
        <f>IF(ISNUMBER(G389),EDATE(G389,24),"")</f>
        <v/>
      </c>
      <c r="I389" s="24">
        <f>IF(OR(AND(LEN(F389)&gt;0,ISNUMBER(F389)=FALSE),AND(LEN(G389)&gt;0,ISNUMBER(G389)=FALSE)),"Check date",IF(COUNT(F389,H389)=0,"",MIN(F389,H389)))</f>
        <v/>
      </c>
      <c r="J389" s="25">
        <f>IF(ISNUMBER(I389)=FALSE,"",IF(AND(ISNUMBER(H389),I389=H389),"24-month work rule","Registry expiry"))</f>
        <v/>
      </c>
      <c r="K389" s="26" t="n"/>
      <c r="L389" s="24">
        <f>IF(ISNUMBER(I389),I389-IF(ISNUMBER(K389),K389,30),"")</f>
        <v/>
      </c>
      <c r="M389" s="27">
        <f>IF(I389="","",IF(ISNUMBER(I389),I389-TODAY(),"Check date"))</f>
        <v/>
      </c>
      <c r="N389" s="28">
        <f>IF(M389="","",IF(ISNUMBER(M389),IF(M389&lt;0,"Expired",IF(M389&lt;=30,"Due ≤30 days",IF(M389&lt;=90,"Due ≤90 days","OK"))),"Check date"))</f>
        <v/>
      </c>
      <c r="O389" s="24">
        <f>IF(ISNUMBER(E389),EDATE(E389,12*(IFERROR(DATEDIF(E389,TODAY(),"y"),0)+1)),"")</f>
        <v/>
      </c>
      <c r="P389" s="26" t="n"/>
      <c r="Q389" s="26" t="n"/>
      <c r="R389" s="27">
        <f>IF(LEN(A389)=0,"",MAX(0,IF(ISNUMBER(Q389),Q389,12)-N(P389)))</f>
        <v/>
      </c>
      <c r="S389" s="23" t="n"/>
      <c r="T389" s="27">
        <f>IF(S389="","",IF(ISNUMBER(S389),S389-TODAY(),"Check date"))</f>
        <v/>
      </c>
      <c r="U389" s="22" t="n"/>
      <c r="V389" s="22" t="n"/>
      <c r="W389" s="22" t="n"/>
      <c r="X389" s="22" t="n"/>
    </row>
    <row r="390">
      <c r="A390" s="22" t="n"/>
      <c r="B390" s="22" t="n"/>
      <c r="C390" s="22" t="n"/>
      <c r="D390" s="22" t="n"/>
      <c r="E390" s="23" t="n"/>
      <c r="F390" s="23" t="n"/>
      <c r="G390" s="23" t="n"/>
      <c r="H390" s="24">
        <f>IF(ISNUMBER(G390),EDATE(G390,24),"")</f>
        <v/>
      </c>
      <c r="I390" s="24">
        <f>IF(OR(AND(LEN(F390)&gt;0,ISNUMBER(F390)=FALSE),AND(LEN(G390)&gt;0,ISNUMBER(G390)=FALSE)),"Check date",IF(COUNT(F390,H390)=0,"",MIN(F390,H390)))</f>
        <v/>
      </c>
      <c r="J390" s="25">
        <f>IF(ISNUMBER(I390)=FALSE,"",IF(AND(ISNUMBER(H390),I390=H390),"24-month work rule","Registry expiry"))</f>
        <v/>
      </c>
      <c r="K390" s="26" t="n"/>
      <c r="L390" s="24">
        <f>IF(ISNUMBER(I390),I390-IF(ISNUMBER(K390),K390,30),"")</f>
        <v/>
      </c>
      <c r="M390" s="27">
        <f>IF(I390="","",IF(ISNUMBER(I390),I390-TODAY(),"Check date"))</f>
        <v/>
      </c>
      <c r="N390" s="28">
        <f>IF(M390="","",IF(ISNUMBER(M390),IF(M390&lt;0,"Expired",IF(M390&lt;=30,"Due ≤30 days",IF(M390&lt;=90,"Due ≤90 days","OK"))),"Check date"))</f>
        <v/>
      </c>
      <c r="O390" s="24">
        <f>IF(ISNUMBER(E390),EDATE(E390,12*(IFERROR(DATEDIF(E390,TODAY(),"y"),0)+1)),"")</f>
        <v/>
      </c>
      <c r="P390" s="26" t="n"/>
      <c r="Q390" s="26" t="n"/>
      <c r="R390" s="27">
        <f>IF(LEN(A390)=0,"",MAX(0,IF(ISNUMBER(Q390),Q390,12)-N(P390)))</f>
        <v/>
      </c>
      <c r="S390" s="23" t="n"/>
      <c r="T390" s="27">
        <f>IF(S390="","",IF(ISNUMBER(S390),S390-TODAY(),"Check date"))</f>
        <v/>
      </c>
      <c r="U390" s="22" t="n"/>
      <c r="V390" s="22" t="n"/>
      <c r="W390" s="22" t="n"/>
      <c r="X390" s="22" t="n"/>
    </row>
    <row r="391">
      <c r="A391" s="22" t="n"/>
      <c r="B391" s="22" t="n"/>
      <c r="C391" s="22" t="n"/>
      <c r="D391" s="22" t="n"/>
      <c r="E391" s="23" t="n"/>
      <c r="F391" s="23" t="n"/>
      <c r="G391" s="23" t="n"/>
      <c r="H391" s="24">
        <f>IF(ISNUMBER(G391),EDATE(G391,24),"")</f>
        <v/>
      </c>
      <c r="I391" s="24">
        <f>IF(OR(AND(LEN(F391)&gt;0,ISNUMBER(F391)=FALSE),AND(LEN(G391)&gt;0,ISNUMBER(G391)=FALSE)),"Check date",IF(COUNT(F391,H391)=0,"",MIN(F391,H391)))</f>
        <v/>
      </c>
      <c r="J391" s="25">
        <f>IF(ISNUMBER(I391)=FALSE,"",IF(AND(ISNUMBER(H391),I391=H391),"24-month work rule","Registry expiry"))</f>
        <v/>
      </c>
      <c r="K391" s="26" t="n"/>
      <c r="L391" s="24">
        <f>IF(ISNUMBER(I391),I391-IF(ISNUMBER(K391),K391,30),"")</f>
        <v/>
      </c>
      <c r="M391" s="27">
        <f>IF(I391="","",IF(ISNUMBER(I391),I391-TODAY(),"Check date"))</f>
        <v/>
      </c>
      <c r="N391" s="28">
        <f>IF(M391="","",IF(ISNUMBER(M391),IF(M391&lt;0,"Expired",IF(M391&lt;=30,"Due ≤30 days",IF(M391&lt;=90,"Due ≤90 days","OK"))),"Check date"))</f>
        <v/>
      </c>
      <c r="O391" s="24">
        <f>IF(ISNUMBER(E391),EDATE(E391,12*(IFERROR(DATEDIF(E391,TODAY(),"y"),0)+1)),"")</f>
        <v/>
      </c>
      <c r="P391" s="26" t="n"/>
      <c r="Q391" s="26" t="n"/>
      <c r="R391" s="27">
        <f>IF(LEN(A391)=0,"",MAX(0,IF(ISNUMBER(Q391),Q391,12)-N(P391)))</f>
        <v/>
      </c>
      <c r="S391" s="23" t="n"/>
      <c r="T391" s="27">
        <f>IF(S391="","",IF(ISNUMBER(S391),S391-TODAY(),"Check date"))</f>
        <v/>
      </c>
      <c r="U391" s="22" t="n"/>
      <c r="V391" s="22" t="n"/>
      <c r="W391" s="22" t="n"/>
      <c r="X391" s="22" t="n"/>
    </row>
    <row r="392">
      <c r="A392" s="22" t="n"/>
      <c r="B392" s="22" t="n"/>
      <c r="C392" s="22" t="n"/>
      <c r="D392" s="22" t="n"/>
      <c r="E392" s="23" t="n"/>
      <c r="F392" s="23" t="n"/>
      <c r="G392" s="23" t="n"/>
      <c r="H392" s="24">
        <f>IF(ISNUMBER(G392),EDATE(G392,24),"")</f>
        <v/>
      </c>
      <c r="I392" s="24">
        <f>IF(OR(AND(LEN(F392)&gt;0,ISNUMBER(F392)=FALSE),AND(LEN(G392)&gt;0,ISNUMBER(G392)=FALSE)),"Check date",IF(COUNT(F392,H392)=0,"",MIN(F392,H392)))</f>
        <v/>
      </c>
      <c r="J392" s="25">
        <f>IF(ISNUMBER(I392)=FALSE,"",IF(AND(ISNUMBER(H392),I392=H392),"24-month work rule","Registry expiry"))</f>
        <v/>
      </c>
      <c r="K392" s="26" t="n"/>
      <c r="L392" s="24">
        <f>IF(ISNUMBER(I392),I392-IF(ISNUMBER(K392),K392,30),"")</f>
        <v/>
      </c>
      <c r="M392" s="27">
        <f>IF(I392="","",IF(ISNUMBER(I392),I392-TODAY(),"Check date"))</f>
        <v/>
      </c>
      <c r="N392" s="28">
        <f>IF(M392="","",IF(ISNUMBER(M392),IF(M392&lt;0,"Expired",IF(M392&lt;=30,"Due ≤30 days",IF(M392&lt;=90,"Due ≤90 days","OK"))),"Check date"))</f>
        <v/>
      </c>
      <c r="O392" s="24">
        <f>IF(ISNUMBER(E392),EDATE(E392,12*(IFERROR(DATEDIF(E392,TODAY(),"y"),0)+1)),"")</f>
        <v/>
      </c>
      <c r="P392" s="26" t="n"/>
      <c r="Q392" s="26" t="n"/>
      <c r="R392" s="27">
        <f>IF(LEN(A392)=0,"",MAX(0,IF(ISNUMBER(Q392),Q392,12)-N(P392)))</f>
        <v/>
      </c>
      <c r="S392" s="23" t="n"/>
      <c r="T392" s="27">
        <f>IF(S392="","",IF(ISNUMBER(S392),S392-TODAY(),"Check date"))</f>
        <v/>
      </c>
      <c r="U392" s="22" t="n"/>
      <c r="V392" s="22" t="n"/>
      <c r="W392" s="22" t="n"/>
      <c r="X392" s="22" t="n"/>
    </row>
    <row r="393">
      <c r="A393" s="22" t="n"/>
      <c r="B393" s="22" t="n"/>
      <c r="C393" s="22" t="n"/>
      <c r="D393" s="22" t="n"/>
      <c r="E393" s="23" t="n"/>
      <c r="F393" s="23" t="n"/>
      <c r="G393" s="23" t="n"/>
      <c r="H393" s="24">
        <f>IF(ISNUMBER(G393),EDATE(G393,24),"")</f>
        <v/>
      </c>
      <c r="I393" s="24">
        <f>IF(OR(AND(LEN(F393)&gt;0,ISNUMBER(F393)=FALSE),AND(LEN(G393)&gt;0,ISNUMBER(G393)=FALSE)),"Check date",IF(COUNT(F393,H393)=0,"",MIN(F393,H393)))</f>
        <v/>
      </c>
      <c r="J393" s="25">
        <f>IF(ISNUMBER(I393)=FALSE,"",IF(AND(ISNUMBER(H393),I393=H393),"24-month work rule","Registry expiry"))</f>
        <v/>
      </c>
      <c r="K393" s="26" t="n"/>
      <c r="L393" s="24">
        <f>IF(ISNUMBER(I393),I393-IF(ISNUMBER(K393),K393,30),"")</f>
        <v/>
      </c>
      <c r="M393" s="27">
        <f>IF(I393="","",IF(ISNUMBER(I393),I393-TODAY(),"Check date"))</f>
        <v/>
      </c>
      <c r="N393" s="28">
        <f>IF(M393="","",IF(ISNUMBER(M393),IF(M393&lt;0,"Expired",IF(M393&lt;=30,"Due ≤30 days",IF(M393&lt;=90,"Due ≤90 days","OK"))),"Check date"))</f>
        <v/>
      </c>
      <c r="O393" s="24">
        <f>IF(ISNUMBER(E393),EDATE(E393,12*(IFERROR(DATEDIF(E393,TODAY(),"y"),0)+1)),"")</f>
        <v/>
      </c>
      <c r="P393" s="26" t="n"/>
      <c r="Q393" s="26" t="n"/>
      <c r="R393" s="27">
        <f>IF(LEN(A393)=0,"",MAX(0,IF(ISNUMBER(Q393),Q393,12)-N(P393)))</f>
        <v/>
      </c>
      <c r="S393" s="23" t="n"/>
      <c r="T393" s="27">
        <f>IF(S393="","",IF(ISNUMBER(S393),S393-TODAY(),"Check date"))</f>
        <v/>
      </c>
      <c r="U393" s="22" t="n"/>
      <c r="V393" s="22" t="n"/>
      <c r="W393" s="22" t="n"/>
      <c r="X393" s="22" t="n"/>
    </row>
    <row r="394">
      <c r="A394" s="22" t="n"/>
      <c r="B394" s="22" t="n"/>
      <c r="C394" s="22" t="n"/>
      <c r="D394" s="22" t="n"/>
      <c r="E394" s="23" t="n"/>
      <c r="F394" s="23" t="n"/>
      <c r="G394" s="23" t="n"/>
      <c r="H394" s="24">
        <f>IF(ISNUMBER(G394),EDATE(G394,24),"")</f>
        <v/>
      </c>
      <c r="I394" s="24">
        <f>IF(OR(AND(LEN(F394)&gt;0,ISNUMBER(F394)=FALSE),AND(LEN(G394)&gt;0,ISNUMBER(G394)=FALSE)),"Check date",IF(COUNT(F394,H394)=0,"",MIN(F394,H394)))</f>
        <v/>
      </c>
      <c r="J394" s="25">
        <f>IF(ISNUMBER(I394)=FALSE,"",IF(AND(ISNUMBER(H394),I394=H394),"24-month work rule","Registry expiry"))</f>
        <v/>
      </c>
      <c r="K394" s="26" t="n"/>
      <c r="L394" s="24">
        <f>IF(ISNUMBER(I394),I394-IF(ISNUMBER(K394),K394,30),"")</f>
        <v/>
      </c>
      <c r="M394" s="27">
        <f>IF(I394="","",IF(ISNUMBER(I394),I394-TODAY(),"Check date"))</f>
        <v/>
      </c>
      <c r="N394" s="28">
        <f>IF(M394="","",IF(ISNUMBER(M394),IF(M394&lt;0,"Expired",IF(M394&lt;=30,"Due ≤30 days",IF(M394&lt;=90,"Due ≤90 days","OK"))),"Check date"))</f>
        <v/>
      </c>
      <c r="O394" s="24">
        <f>IF(ISNUMBER(E394),EDATE(E394,12*(IFERROR(DATEDIF(E394,TODAY(),"y"),0)+1)),"")</f>
        <v/>
      </c>
      <c r="P394" s="26" t="n"/>
      <c r="Q394" s="26" t="n"/>
      <c r="R394" s="27">
        <f>IF(LEN(A394)=0,"",MAX(0,IF(ISNUMBER(Q394),Q394,12)-N(P394)))</f>
        <v/>
      </c>
      <c r="S394" s="23" t="n"/>
      <c r="T394" s="27">
        <f>IF(S394="","",IF(ISNUMBER(S394),S394-TODAY(),"Check date"))</f>
        <v/>
      </c>
      <c r="U394" s="22" t="n"/>
      <c r="V394" s="22" t="n"/>
      <c r="W394" s="22" t="n"/>
      <c r="X394" s="22" t="n"/>
    </row>
    <row r="395">
      <c r="A395" s="22" t="n"/>
      <c r="B395" s="22" t="n"/>
      <c r="C395" s="22" t="n"/>
      <c r="D395" s="22" t="n"/>
      <c r="E395" s="23" t="n"/>
      <c r="F395" s="23" t="n"/>
      <c r="G395" s="23" t="n"/>
      <c r="H395" s="24">
        <f>IF(ISNUMBER(G395),EDATE(G395,24),"")</f>
        <v/>
      </c>
      <c r="I395" s="24">
        <f>IF(OR(AND(LEN(F395)&gt;0,ISNUMBER(F395)=FALSE),AND(LEN(G395)&gt;0,ISNUMBER(G395)=FALSE)),"Check date",IF(COUNT(F395,H395)=0,"",MIN(F395,H395)))</f>
        <v/>
      </c>
      <c r="J395" s="25">
        <f>IF(ISNUMBER(I395)=FALSE,"",IF(AND(ISNUMBER(H395),I395=H395),"24-month work rule","Registry expiry"))</f>
        <v/>
      </c>
      <c r="K395" s="26" t="n"/>
      <c r="L395" s="24">
        <f>IF(ISNUMBER(I395),I395-IF(ISNUMBER(K395),K395,30),"")</f>
        <v/>
      </c>
      <c r="M395" s="27">
        <f>IF(I395="","",IF(ISNUMBER(I395),I395-TODAY(),"Check date"))</f>
        <v/>
      </c>
      <c r="N395" s="28">
        <f>IF(M395="","",IF(ISNUMBER(M395),IF(M395&lt;0,"Expired",IF(M395&lt;=30,"Due ≤30 days",IF(M395&lt;=90,"Due ≤90 days","OK"))),"Check date"))</f>
        <v/>
      </c>
      <c r="O395" s="24">
        <f>IF(ISNUMBER(E395),EDATE(E395,12*(IFERROR(DATEDIF(E395,TODAY(),"y"),0)+1)),"")</f>
        <v/>
      </c>
      <c r="P395" s="26" t="n"/>
      <c r="Q395" s="26" t="n"/>
      <c r="R395" s="27">
        <f>IF(LEN(A395)=0,"",MAX(0,IF(ISNUMBER(Q395),Q395,12)-N(P395)))</f>
        <v/>
      </c>
      <c r="S395" s="23" t="n"/>
      <c r="T395" s="27">
        <f>IF(S395="","",IF(ISNUMBER(S395),S395-TODAY(),"Check date"))</f>
        <v/>
      </c>
      <c r="U395" s="22" t="n"/>
      <c r="V395" s="22" t="n"/>
      <c r="W395" s="22" t="n"/>
      <c r="X395" s="22" t="n"/>
    </row>
    <row r="396">
      <c r="A396" s="22" t="n"/>
      <c r="B396" s="22" t="n"/>
      <c r="C396" s="22" t="n"/>
      <c r="D396" s="22" t="n"/>
      <c r="E396" s="23" t="n"/>
      <c r="F396" s="23" t="n"/>
      <c r="G396" s="23" t="n"/>
      <c r="H396" s="24">
        <f>IF(ISNUMBER(G396),EDATE(G396,24),"")</f>
        <v/>
      </c>
      <c r="I396" s="24">
        <f>IF(OR(AND(LEN(F396)&gt;0,ISNUMBER(F396)=FALSE),AND(LEN(G396)&gt;0,ISNUMBER(G396)=FALSE)),"Check date",IF(COUNT(F396,H396)=0,"",MIN(F396,H396)))</f>
        <v/>
      </c>
      <c r="J396" s="25">
        <f>IF(ISNUMBER(I396)=FALSE,"",IF(AND(ISNUMBER(H396),I396=H396),"24-month work rule","Registry expiry"))</f>
        <v/>
      </c>
      <c r="K396" s="26" t="n"/>
      <c r="L396" s="24">
        <f>IF(ISNUMBER(I396),I396-IF(ISNUMBER(K396),K396,30),"")</f>
        <v/>
      </c>
      <c r="M396" s="27">
        <f>IF(I396="","",IF(ISNUMBER(I396),I396-TODAY(),"Check date"))</f>
        <v/>
      </c>
      <c r="N396" s="28">
        <f>IF(M396="","",IF(ISNUMBER(M396),IF(M396&lt;0,"Expired",IF(M396&lt;=30,"Due ≤30 days",IF(M396&lt;=90,"Due ≤90 days","OK"))),"Check date"))</f>
        <v/>
      </c>
      <c r="O396" s="24">
        <f>IF(ISNUMBER(E396),EDATE(E396,12*(IFERROR(DATEDIF(E396,TODAY(),"y"),0)+1)),"")</f>
        <v/>
      </c>
      <c r="P396" s="26" t="n"/>
      <c r="Q396" s="26" t="n"/>
      <c r="R396" s="27">
        <f>IF(LEN(A396)=0,"",MAX(0,IF(ISNUMBER(Q396),Q396,12)-N(P396)))</f>
        <v/>
      </c>
      <c r="S396" s="23" t="n"/>
      <c r="T396" s="27">
        <f>IF(S396="","",IF(ISNUMBER(S396),S396-TODAY(),"Check date"))</f>
        <v/>
      </c>
      <c r="U396" s="22" t="n"/>
      <c r="V396" s="22" t="n"/>
      <c r="W396" s="22" t="n"/>
      <c r="X396" s="22" t="n"/>
    </row>
    <row r="397">
      <c r="A397" s="22" t="n"/>
      <c r="B397" s="22" t="n"/>
      <c r="C397" s="22" t="n"/>
      <c r="D397" s="22" t="n"/>
      <c r="E397" s="23" t="n"/>
      <c r="F397" s="23" t="n"/>
      <c r="G397" s="23" t="n"/>
      <c r="H397" s="24">
        <f>IF(ISNUMBER(G397),EDATE(G397,24),"")</f>
        <v/>
      </c>
      <c r="I397" s="24">
        <f>IF(OR(AND(LEN(F397)&gt;0,ISNUMBER(F397)=FALSE),AND(LEN(G397)&gt;0,ISNUMBER(G397)=FALSE)),"Check date",IF(COUNT(F397,H397)=0,"",MIN(F397,H397)))</f>
        <v/>
      </c>
      <c r="J397" s="25">
        <f>IF(ISNUMBER(I397)=FALSE,"",IF(AND(ISNUMBER(H397),I397=H397),"24-month work rule","Registry expiry"))</f>
        <v/>
      </c>
      <c r="K397" s="26" t="n"/>
      <c r="L397" s="24">
        <f>IF(ISNUMBER(I397),I397-IF(ISNUMBER(K397),K397,30),"")</f>
        <v/>
      </c>
      <c r="M397" s="27">
        <f>IF(I397="","",IF(ISNUMBER(I397),I397-TODAY(),"Check date"))</f>
        <v/>
      </c>
      <c r="N397" s="28">
        <f>IF(M397="","",IF(ISNUMBER(M397),IF(M397&lt;0,"Expired",IF(M397&lt;=30,"Due ≤30 days",IF(M397&lt;=90,"Due ≤90 days","OK"))),"Check date"))</f>
        <v/>
      </c>
      <c r="O397" s="24">
        <f>IF(ISNUMBER(E397),EDATE(E397,12*(IFERROR(DATEDIF(E397,TODAY(),"y"),0)+1)),"")</f>
        <v/>
      </c>
      <c r="P397" s="26" t="n"/>
      <c r="Q397" s="26" t="n"/>
      <c r="R397" s="27">
        <f>IF(LEN(A397)=0,"",MAX(0,IF(ISNUMBER(Q397),Q397,12)-N(P397)))</f>
        <v/>
      </c>
      <c r="S397" s="23" t="n"/>
      <c r="T397" s="27">
        <f>IF(S397="","",IF(ISNUMBER(S397),S397-TODAY(),"Check date"))</f>
        <v/>
      </c>
      <c r="U397" s="22" t="n"/>
      <c r="V397" s="22" t="n"/>
      <c r="W397" s="22" t="n"/>
      <c r="X397" s="22" t="n"/>
    </row>
    <row r="398">
      <c r="A398" s="22" t="n"/>
      <c r="B398" s="22" t="n"/>
      <c r="C398" s="22" t="n"/>
      <c r="D398" s="22" t="n"/>
      <c r="E398" s="23" t="n"/>
      <c r="F398" s="23" t="n"/>
      <c r="G398" s="23" t="n"/>
      <c r="H398" s="24">
        <f>IF(ISNUMBER(G398),EDATE(G398,24),"")</f>
        <v/>
      </c>
      <c r="I398" s="24">
        <f>IF(OR(AND(LEN(F398)&gt;0,ISNUMBER(F398)=FALSE),AND(LEN(G398)&gt;0,ISNUMBER(G398)=FALSE)),"Check date",IF(COUNT(F398,H398)=0,"",MIN(F398,H398)))</f>
        <v/>
      </c>
      <c r="J398" s="25">
        <f>IF(ISNUMBER(I398)=FALSE,"",IF(AND(ISNUMBER(H398),I398=H398),"24-month work rule","Registry expiry"))</f>
        <v/>
      </c>
      <c r="K398" s="26" t="n"/>
      <c r="L398" s="24">
        <f>IF(ISNUMBER(I398),I398-IF(ISNUMBER(K398),K398,30),"")</f>
        <v/>
      </c>
      <c r="M398" s="27">
        <f>IF(I398="","",IF(ISNUMBER(I398),I398-TODAY(),"Check date"))</f>
        <v/>
      </c>
      <c r="N398" s="28">
        <f>IF(M398="","",IF(ISNUMBER(M398),IF(M398&lt;0,"Expired",IF(M398&lt;=30,"Due ≤30 days",IF(M398&lt;=90,"Due ≤90 days","OK"))),"Check date"))</f>
        <v/>
      </c>
      <c r="O398" s="24">
        <f>IF(ISNUMBER(E398),EDATE(E398,12*(IFERROR(DATEDIF(E398,TODAY(),"y"),0)+1)),"")</f>
        <v/>
      </c>
      <c r="P398" s="26" t="n"/>
      <c r="Q398" s="26" t="n"/>
      <c r="R398" s="27">
        <f>IF(LEN(A398)=0,"",MAX(0,IF(ISNUMBER(Q398),Q398,12)-N(P398)))</f>
        <v/>
      </c>
      <c r="S398" s="23" t="n"/>
      <c r="T398" s="27">
        <f>IF(S398="","",IF(ISNUMBER(S398),S398-TODAY(),"Check date"))</f>
        <v/>
      </c>
      <c r="U398" s="22" t="n"/>
      <c r="V398" s="22" t="n"/>
      <c r="W398" s="22" t="n"/>
      <c r="X398" s="22" t="n"/>
    </row>
    <row r="399">
      <c r="A399" s="22" t="n"/>
      <c r="B399" s="22" t="n"/>
      <c r="C399" s="22" t="n"/>
      <c r="D399" s="22" t="n"/>
      <c r="E399" s="23" t="n"/>
      <c r="F399" s="23" t="n"/>
      <c r="G399" s="23" t="n"/>
      <c r="H399" s="24">
        <f>IF(ISNUMBER(G399),EDATE(G399,24),"")</f>
        <v/>
      </c>
      <c r="I399" s="24">
        <f>IF(OR(AND(LEN(F399)&gt;0,ISNUMBER(F399)=FALSE),AND(LEN(G399)&gt;0,ISNUMBER(G399)=FALSE)),"Check date",IF(COUNT(F399,H399)=0,"",MIN(F399,H399)))</f>
        <v/>
      </c>
      <c r="J399" s="25">
        <f>IF(ISNUMBER(I399)=FALSE,"",IF(AND(ISNUMBER(H399),I399=H399),"24-month work rule","Registry expiry"))</f>
        <v/>
      </c>
      <c r="K399" s="26" t="n"/>
      <c r="L399" s="24">
        <f>IF(ISNUMBER(I399),I399-IF(ISNUMBER(K399),K399,30),"")</f>
        <v/>
      </c>
      <c r="M399" s="27">
        <f>IF(I399="","",IF(ISNUMBER(I399),I399-TODAY(),"Check date"))</f>
        <v/>
      </c>
      <c r="N399" s="28">
        <f>IF(M399="","",IF(ISNUMBER(M399),IF(M399&lt;0,"Expired",IF(M399&lt;=30,"Due ≤30 days",IF(M399&lt;=90,"Due ≤90 days","OK"))),"Check date"))</f>
        <v/>
      </c>
      <c r="O399" s="24">
        <f>IF(ISNUMBER(E399),EDATE(E399,12*(IFERROR(DATEDIF(E399,TODAY(),"y"),0)+1)),"")</f>
        <v/>
      </c>
      <c r="P399" s="26" t="n"/>
      <c r="Q399" s="26" t="n"/>
      <c r="R399" s="27">
        <f>IF(LEN(A399)=0,"",MAX(0,IF(ISNUMBER(Q399),Q399,12)-N(P399)))</f>
        <v/>
      </c>
      <c r="S399" s="23" t="n"/>
      <c r="T399" s="27">
        <f>IF(S399="","",IF(ISNUMBER(S399),S399-TODAY(),"Check date"))</f>
        <v/>
      </c>
      <c r="U399" s="22" t="n"/>
      <c r="V399" s="22" t="n"/>
      <c r="W399" s="22" t="n"/>
      <c r="X399" s="22" t="n"/>
    </row>
    <row r="400">
      <c r="A400" s="22" t="n"/>
      <c r="B400" s="22" t="n"/>
      <c r="C400" s="22" t="n"/>
      <c r="D400" s="22" t="n"/>
      <c r="E400" s="23" t="n"/>
      <c r="F400" s="23" t="n"/>
      <c r="G400" s="23" t="n"/>
      <c r="H400" s="24">
        <f>IF(ISNUMBER(G400),EDATE(G400,24),"")</f>
        <v/>
      </c>
      <c r="I400" s="24">
        <f>IF(OR(AND(LEN(F400)&gt;0,ISNUMBER(F400)=FALSE),AND(LEN(G400)&gt;0,ISNUMBER(G400)=FALSE)),"Check date",IF(COUNT(F400,H400)=0,"",MIN(F400,H400)))</f>
        <v/>
      </c>
      <c r="J400" s="25">
        <f>IF(ISNUMBER(I400)=FALSE,"",IF(AND(ISNUMBER(H400),I400=H400),"24-month work rule","Registry expiry"))</f>
        <v/>
      </c>
      <c r="K400" s="26" t="n"/>
      <c r="L400" s="24">
        <f>IF(ISNUMBER(I400),I400-IF(ISNUMBER(K400),K400,30),"")</f>
        <v/>
      </c>
      <c r="M400" s="27">
        <f>IF(I400="","",IF(ISNUMBER(I400),I400-TODAY(),"Check date"))</f>
        <v/>
      </c>
      <c r="N400" s="28">
        <f>IF(M400="","",IF(ISNUMBER(M400),IF(M400&lt;0,"Expired",IF(M400&lt;=30,"Due ≤30 days",IF(M400&lt;=90,"Due ≤90 days","OK"))),"Check date"))</f>
        <v/>
      </c>
      <c r="O400" s="24">
        <f>IF(ISNUMBER(E400),EDATE(E400,12*(IFERROR(DATEDIF(E400,TODAY(),"y"),0)+1)),"")</f>
        <v/>
      </c>
      <c r="P400" s="26" t="n"/>
      <c r="Q400" s="26" t="n"/>
      <c r="R400" s="27">
        <f>IF(LEN(A400)=0,"",MAX(0,IF(ISNUMBER(Q400),Q400,12)-N(P400)))</f>
        <v/>
      </c>
      <c r="S400" s="23" t="n"/>
      <c r="T400" s="27">
        <f>IF(S400="","",IF(ISNUMBER(S400),S400-TODAY(),"Check date"))</f>
        <v/>
      </c>
      <c r="U400" s="22" t="n"/>
      <c r="V400" s="22" t="n"/>
      <c r="W400" s="22" t="n"/>
      <c r="X400" s="22" t="n"/>
    </row>
    <row r="401">
      <c r="A401" s="22" t="n"/>
      <c r="B401" s="22" t="n"/>
      <c r="C401" s="22" t="n"/>
      <c r="D401" s="22" t="n"/>
      <c r="E401" s="23" t="n"/>
      <c r="F401" s="23" t="n"/>
      <c r="G401" s="23" t="n"/>
      <c r="H401" s="24">
        <f>IF(ISNUMBER(G401),EDATE(G401,24),"")</f>
        <v/>
      </c>
      <c r="I401" s="24">
        <f>IF(OR(AND(LEN(F401)&gt;0,ISNUMBER(F401)=FALSE),AND(LEN(G401)&gt;0,ISNUMBER(G401)=FALSE)),"Check date",IF(COUNT(F401,H401)=0,"",MIN(F401,H401)))</f>
        <v/>
      </c>
      <c r="J401" s="25">
        <f>IF(ISNUMBER(I401)=FALSE,"",IF(AND(ISNUMBER(H401),I401=H401),"24-month work rule","Registry expiry"))</f>
        <v/>
      </c>
      <c r="K401" s="26" t="n"/>
      <c r="L401" s="24">
        <f>IF(ISNUMBER(I401),I401-IF(ISNUMBER(K401),K401,30),"")</f>
        <v/>
      </c>
      <c r="M401" s="27">
        <f>IF(I401="","",IF(ISNUMBER(I401),I401-TODAY(),"Check date"))</f>
        <v/>
      </c>
      <c r="N401" s="28">
        <f>IF(M401="","",IF(ISNUMBER(M401),IF(M401&lt;0,"Expired",IF(M401&lt;=30,"Due ≤30 days",IF(M401&lt;=90,"Due ≤90 days","OK"))),"Check date"))</f>
        <v/>
      </c>
      <c r="O401" s="24">
        <f>IF(ISNUMBER(E401),EDATE(E401,12*(IFERROR(DATEDIF(E401,TODAY(),"y"),0)+1)),"")</f>
        <v/>
      </c>
      <c r="P401" s="26" t="n"/>
      <c r="Q401" s="26" t="n"/>
      <c r="R401" s="27">
        <f>IF(LEN(A401)=0,"",MAX(0,IF(ISNUMBER(Q401),Q401,12)-N(P401)))</f>
        <v/>
      </c>
      <c r="S401" s="23" t="n"/>
      <c r="T401" s="27">
        <f>IF(S401="","",IF(ISNUMBER(S401),S401-TODAY(),"Check date"))</f>
        <v/>
      </c>
      <c r="U401" s="22" t="n"/>
      <c r="V401" s="22" t="n"/>
      <c r="W401" s="22" t="n"/>
      <c r="X401" s="22" t="n"/>
    </row>
    <row r="402">
      <c r="A402" s="22" t="n"/>
      <c r="B402" s="22" t="n"/>
      <c r="C402" s="22" t="n"/>
      <c r="D402" s="22" t="n"/>
      <c r="E402" s="23" t="n"/>
      <c r="F402" s="23" t="n"/>
      <c r="G402" s="23" t="n"/>
      <c r="H402" s="24">
        <f>IF(ISNUMBER(G402),EDATE(G402,24),"")</f>
        <v/>
      </c>
      <c r="I402" s="24">
        <f>IF(OR(AND(LEN(F402)&gt;0,ISNUMBER(F402)=FALSE),AND(LEN(G402)&gt;0,ISNUMBER(G402)=FALSE)),"Check date",IF(COUNT(F402,H402)=0,"",MIN(F402,H402)))</f>
        <v/>
      </c>
      <c r="J402" s="25">
        <f>IF(ISNUMBER(I402)=FALSE,"",IF(AND(ISNUMBER(H402),I402=H402),"24-month work rule","Registry expiry"))</f>
        <v/>
      </c>
      <c r="K402" s="26" t="n"/>
      <c r="L402" s="24">
        <f>IF(ISNUMBER(I402),I402-IF(ISNUMBER(K402),K402,30),"")</f>
        <v/>
      </c>
      <c r="M402" s="27">
        <f>IF(I402="","",IF(ISNUMBER(I402),I402-TODAY(),"Check date"))</f>
        <v/>
      </c>
      <c r="N402" s="28">
        <f>IF(M402="","",IF(ISNUMBER(M402),IF(M402&lt;0,"Expired",IF(M402&lt;=30,"Due ≤30 days",IF(M402&lt;=90,"Due ≤90 days","OK"))),"Check date"))</f>
        <v/>
      </c>
      <c r="O402" s="24">
        <f>IF(ISNUMBER(E402),EDATE(E402,12*(IFERROR(DATEDIF(E402,TODAY(),"y"),0)+1)),"")</f>
        <v/>
      </c>
      <c r="P402" s="26" t="n"/>
      <c r="Q402" s="26" t="n"/>
      <c r="R402" s="27">
        <f>IF(LEN(A402)=0,"",MAX(0,IF(ISNUMBER(Q402),Q402,12)-N(P402)))</f>
        <v/>
      </c>
      <c r="S402" s="23" t="n"/>
      <c r="T402" s="27">
        <f>IF(S402="","",IF(ISNUMBER(S402),S402-TODAY(),"Check date"))</f>
        <v/>
      </c>
      <c r="U402" s="22" t="n"/>
      <c r="V402" s="22" t="n"/>
      <c r="W402" s="22" t="n"/>
      <c r="X402" s="22" t="n"/>
    </row>
    <row r="403">
      <c r="A403" s="22" t="n"/>
      <c r="B403" s="22" t="n"/>
      <c r="C403" s="22" t="n"/>
      <c r="D403" s="22" t="n"/>
      <c r="E403" s="23" t="n"/>
      <c r="F403" s="23" t="n"/>
      <c r="G403" s="23" t="n"/>
      <c r="H403" s="24">
        <f>IF(ISNUMBER(G403),EDATE(G403,24),"")</f>
        <v/>
      </c>
      <c r="I403" s="24">
        <f>IF(OR(AND(LEN(F403)&gt;0,ISNUMBER(F403)=FALSE),AND(LEN(G403)&gt;0,ISNUMBER(G403)=FALSE)),"Check date",IF(COUNT(F403,H403)=0,"",MIN(F403,H403)))</f>
        <v/>
      </c>
      <c r="J403" s="25">
        <f>IF(ISNUMBER(I403)=FALSE,"",IF(AND(ISNUMBER(H403),I403=H403),"24-month work rule","Registry expiry"))</f>
        <v/>
      </c>
      <c r="K403" s="26" t="n"/>
      <c r="L403" s="24">
        <f>IF(ISNUMBER(I403),I403-IF(ISNUMBER(K403),K403,30),"")</f>
        <v/>
      </c>
      <c r="M403" s="27">
        <f>IF(I403="","",IF(ISNUMBER(I403),I403-TODAY(),"Check date"))</f>
        <v/>
      </c>
      <c r="N403" s="28">
        <f>IF(M403="","",IF(ISNUMBER(M403),IF(M403&lt;0,"Expired",IF(M403&lt;=30,"Due ≤30 days",IF(M403&lt;=90,"Due ≤90 days","OK"))),"Check date"))</f>
        <v/>
      </c>
      <c r="O403" s="24">
        <f>IF(ISNUMBER(E403),EDATE(E403,12*(IFERROR(DATEDIF(E403,TODAY(),"y"),0)+1)),"")</f>
        <v/>
      </c>
      <c r="P403" s="26" t="n"/>
      <c r="Q403" s="26" t="n"/>
      <c r="R403" s="27">
        <f>IF(LEN(A403)=0,"",MAX(0,IF(ISNUMBER(Q403),Q403,12)-N(P403)))</f>
        <v/>
      </c>
      <c r="S403" s="23" t="n"/>
      <c r="T403" s="27">
        <f>IF(S403="","",IF(ISNUMBER(S403),S403-TODAY(),"Check date"))</f>
        <v/>
      </c>
      <c r="U403" s="22" t="n"/>
      <c r="V403" s="22" t="n"/>
      <c r="W403" s="22" t="n"/>
      <c r="X403" s="22" t="n"/>
    </row>
    <row r="404">
      <c r="A404" s="22" t="n"/>
      <c r="B404" s="22" t="n"/>
      <c r="C404" s="22" t="n"/>
      <c r="D404" s="22" t="n"/>
      <c r="E404" s="23" t="n"/>
      <c r="F404" s="23" t="n"/>
      <c r="G404" s="23" t="n"/>
      <c r="H404" s="24">
        <f>IF(ISNUMBER(G404),EDATE(G404,24),"")</f>
        <v/>
      </c>
      <c r="I404" s="24">
        <f>IF(OR(AND(LEN(F404)&gt;0,ISNUMBER(F404)=FALSE),AND(LEN(G404)&gt;0,ISNUMBER(G404)=FALSE)),"Check date",IF(COUNT(F404,H404)=0,"",MIN(F404,H404)))</f>
        <v/>
      </c>
      <c r="J404" s="25">
        <f>IF(ISNUMBER(I404)=FALSE,"",IF(AND(ISNUMBER(H404),I404=H404),"24-month work rule","Registry expiry"))</f>
        <v/>
      </c>
      <c r="K404" s="26" t="n"/>
      <c r="L404" s="24">
        <f>IF(ISNUMBER(I404),I404-IF(ISNUMBER(K404),K404,30),"")</f>
        <v/>
      </c>
      <c r="M404" s="27">
        <f>IF(I404="","",IF(ISNUMBER(I404),I404-TODAY(),"Check date"))</f>
        <v/>
      </c>
      <c r="N404" s="28">
        <f>IF(M404="","",IF(ISNUMBER(M404),IF(M404&lt;0,"Expired",IF(M404&lt;=30,"Due ≤30 days",IF(M404&lt;=90,"Due ≤90 days","OK"))),"Check date"))</f>
        <v/>
      </c>
      <c r="O404" s="24">
        <f>IF(ISNUMBER(E404),EDATE(E404,12*(IFERROR(DATEDIF(E404,TODAY(),"y"),0)+1)),"")</f>
        <v/>
      </c>
      <c r="P404" s="26" t="n"/>
      <c r="Q404" s="26" t="n"/>
      <c r="R404" s="27">
        <f>IF(LEN(A404)=0,"",MAX(0,IF(ISNUMBER(Q404),Q404,12)-N(P404)))</f>
        <v/>
      </c>
      <c r="S404" s="23" t="n"/>
      <c r="T404" s="27">
        <f>IF(S404="","",IF(ISNUMBER(S404),S404-TODAY(),"Check date"))</f>
        <v/>
      </c>
      <c r="U404" s="22" t="n"/>
      <c r="V404" s="22" t="n"/>
      <c r="W404" s="22" t="n"/>
      <c r="X404" s="22" t="n"/>
    </row>
    <row r="405">
      <c r="A405" s="22" t="n"/>
      <c r="B405" s="22" t="n"/>
      <c r="C405" s="22" t="n"/>
      <c r="D405" s="22" t="n"/>
      <c r="E405" s="23" t="n"/>
      <c r="F405" s="23" t="n"/>
      <c r="G405" s="23" t="n"/>
      <c r="H405" s="24">
        <f>IF(ISNUMBER(G405),EDATE(G405,24),"")</f>
        <v/>
      </c>
      <c r="I405" s="24">
        <f>IF(OR(AND(LEN(F405)&gt;0,ISNUMBER(F405)=FALSE),AND(LEN(G405)&gt;0,ISNUMBER(G405)=FALSE)),"Check date",IF(COUNT(F405,H405)=0,"",MIN(F405,H405)))</f>
        <v/>
      </c>
      <c r="J405" s="25">
        <f>IF(ISNUMBER(I405)=FALSE,"",IF(AND(ISNUMBER(H405),I405=H405),"24-month work rule","Registry expiry"))</f>
        <v/>
      </c>
      <c r="K405" s="26" t="n"/>
      <c r="L405" s="24">
        <f>IF(ISNUMBER(I405),I405-IF(ISNUMBER(K405),K405,30),"")</f>
        <v/>
      </c>
      <c r="M405" s="27">
        <f>IF(I405="","",IF(ISNUMBER(I405),I405-TODAY(),"Check date"))</f>
        <v/>
      </c>
      <c r="N405" s="28">
        <f>IF(M405="","",IF(ISNUMBER(M405),IF(M405&lt;0,"Expired",IF(M405&lt;=30,"Due ≤30 days",IF(M405&lt;=90,"Due ≤90 days","OK"))),"Check date"))</f>
        <v/>
      </c>
      <c r="O405" s="24">
        <f>IF(ISNUMBER(E405),EDATE(E405,12*(IFERROR(DATEDIF(E405,TODAY(),"y"),0)+1)),"")</f>
        <v/>
      </c>
      <c r="P405" s="26" t="n"/>
      <c r="Q405" s="26" t="n"/>
      <c r="R405" s="27">
        <f>IF(LEN(A405)=0,"",MAX(0,IF(ISNUMBER(Q405),Q405,12)-N(P405)))</f>
        <v/>
      </c>
      <c r="S405" s="23" t="n"/>
      <c r="T405" s="27">
        <f>IF(S405="","",IF(ISNUMBER(S405),S405-TODAY(),"Check date"))</f>
        <v/>
      </c>
      <c r="U405" s="22" t="n"/>
      <c r="V405" s="22" t="n"/>
      <c r="W405" s="22" t="n"/>
      <c r="X405" s="22" t="n"/>
    </row>
    <row r="406">
      <c r="A406" s="22" t="n"/>
      <c r="B406" s="22" t="n"/>
      <c r="C406" s="22" t="n"/>
      <c r="D406" s="22" t="n"/>
      <c r="E406" s="23" t="n"/>
      <c r="F406" s="23" t="n"/>
      <c r="G406" s="23" t="n"/>
      <c r="H406" s="24">
        <f>IF(ISNUMBER(G406),EDATE(G406,24),"")</f>
        <v/>
      </c>
      <c r="I406" s="24">
        <f>IF(OR(AND(LEN(F406)&gt;0,ISNUMBER(F406)=FALSE),AND(LEN(G406)&gt;0,ISNUMBER(G406)=FALSE)),"Check date",IF(COUNT(F406,H406)=0,"",MIN(F406,H406)))</f>
        <v/>
      </c>
      <c r="J406" s="25">
        <f>IF(ISNUMBER(I406)=FALSE,"",IF(AND(ISNUMBER(H406),I406=H406),"24-month work rule","Registry expiry"))</f>
        <v/>
      </c>
      <c r="K406" s="26" t="n"/>
      <c r="L406" s="24">
        <f>IF(ISNUMBER(I406),I406-IF(ISNUMBER(K406),K406,30),"")</f>
        <v/>
      </c>
      <c r="M406" s="27">
        <f>IF(I406="","",IF(ISNUMBER(I406),I406-TODAY(),"Check date"))</f>
        <v/>
      </c>
      <c r="N406" s="28">
        <f>IF(M406="","",IF(ISNUMBER(M406),IF(M406&lt;0,"Expired",IF(M406&lt;=30,"Due ≤30 days",IF(M406&lt;=90,"Due ≤90 days","OK"))),"Check date"))</f>
        <v/>
      </c>
      <c r="O406" s="24">
        <f>IF(ISNUMBER(E406),EDATE(E406,12*(IFERROR(DATEDIF(E406,TODAY(),"y"),0)+1)),"")</f>
        <v/>
      </c>
      <c r="P406" s="26" t="n"/>
      <c r="Q406" s="26" t="n"/>
      <c r="R406" s="27">
        <f>IF(LEN(A406)=0,"",MAX(0,IF(ISNUMBER(Q406),Q406,12)-N(P406)))</f>
        <v/>
      </c>
      <c r="S406" s="23" t="n"/>
      <c r="T406" s="27">
        <f>IF(S406="","",IF(ISNUMBER(S406),S406-TODAY(),"Check date"))</f>
        <v/>
      </c>
      <c r="U406" s="22" t="n"/>
      <c r="V406" s="22" t="n"/>
      <c r="W406" s="22" t="n"/>
      <c r="X406" s="22" t="n"/>
    </row>
    <row r="407">
      <c r="A407" s="22" t="n"/>
      <c r="B407" s="22" t="n"/>
      <c r="C407" s="22" t="n"/>
      <c r="D407" s="22" t="n"/>
      <c r="E407" s="23" t="n"/>
      <c r="F407" s="23" t="n"/>
      <c r="G407" s="23" t="n"/>
      <c r="H407" s="24">
        <f>IF(ISNUMBER(G407),EDATE(G407,24),"")</f>
        <v/>
      </c>
      <c r="I407" s="24">
        <f>IF(OR(AND(LEN(F407)&gt;0,ISNUMBER(F407)=FALSE),AND(LEN(G407)&gt;0,ISNUMBER(G407)=FALSE)),"Check date",IF(COUNT(F407,H407)=0,"",MIN(F407,H407)))</f>
        <v/>
      </c>
      <c r="J407" s="25">
        <f>IF(ISNUMBER(I407)=FALSE,"",IF(AND(ISNUMBER(H407),I407=H407),"24-month work rule","Registry expiry"))</f>
        <v/>
      </c>
      <c r="K407" s="26" t="n"/>
      <c r="L407" s="24">
        <f>IF(ISNUMBER(I407),I407-IF(ISNUMBER(K407),K407,30),"")</f>
        <v/>
      </c>
      <c r="M407" s="27">
        <f>IF(I407="","",IF(ISNUMBER(I407),I407-TODAY(),"Check date"))</f>
        <v/>
      </c>
      <c r="N407" s="28">
        <f>IF(M407="","",IF(ISNUMBER(M407),IF(M407&lt;0,"Expired",IF(M407&lt;=30,"Due ≤30 days",IF(M407&lt;=90,"Due ≤90 days","OK"))),"Check date"))</f>
        <v/>
      </c>
      <c r="O407" s="24">
        <f>IF(ISNUMBER(E407),EDATE(E407,12*(IFERROR(DATEDIF(E407,TODAY(),"y"),0)+1)),"")</f>
        <v/>
      </c>
      <c r="P407" s="26" t="n"/>
      <c r="Q407" s="26" t="n"/>
      <c r="R407" s="27">
        <f>IF(LEN(A407)=0,"",MAX(0,IF(ISNUMBER(Q407),Q407,12)-N(P407)))</f>
        <v/>
      </c>
      <c r="S407" s="23" t="n"/>
      <c r="T407" s="27">
        <f>IF(S407="","",IF(ISNUMBER(S407),S407-TODAY(),"Check date"))</f>
        <v/>
      </c>
      <c r="U407" s="22" t="n"/>
      <c r="V407" s="22" t="n"/>
      <c r="W407" s="22" t="n"/>
      <c r="X407" s="22" t="n"/>
    </row>
    <row r="408">
      <c r="A408" s="22" t="n"/>
      <c r="B408" s="22" t="n"/>
      <c r="C408" s="22" t="n"/>
      <c r="D408" s="22" t="n"/>
      <c r="E408" s="23" t="n"/>
      <c r="F408" s="23" t="n"/>
      <c r="G408" s="23" t="n"/>
      <c r="H408" s="24">
        <f>IF(ISNUMBER(G408),EDATE(G408,24),"")</f>
        <v/>
      </c>
      <c r="I408" s="24">
        <f>IF(OR(AND(LEN(F408)&gt;0,ISNUMBER(F408)=FALSE),AND(LEN(G408)&gt;0,ISNUMBER(G408)=FALSE)),"Check date",IF(COUNT(F408,H408)=0,"",MIN(F408,H408)))</f>
        <v/>
      </c>
      <c r="J408" s="25">
        <f>IF(ISNUMBER(I408)=FALSE,"",IF(AND(ISNUMBER(H408),I408=H408),"24-month work rule","Registry expiry"))</f>
        <v/>
      </c>
      <c r="K408" s="26" t="n"/>
      <c r="L408" s="24">
        <f>IF(ISNUMBER(I408),I408-IF(ISNUMBER(K408),K408,30),"")</f>
        <v/>
      </c>
      <c r="M408" s="27">
        <f>IF(I408="","",IF(ISNUMBER(I408),I408-TODAY(),"Check date"))</f>
        <v/>
      </c>
      <c r="N408" s="28">
        <f>IF(M408="","",IF(ISNUMBER(M408),IF(M408&lt;0,"Expired",IF(M408&lt;=30,"Due ≤30 days",IF(M408&lt;=90,"Due ≤90 days","OK"))),"Check date"))</f>
        <v/>
      </c>
      <c r="O408" s="24">
        <f>IF(ISNUMBER(E408),EDATE(E408,12*(IFERROR(DATEDIF(E408,TODAY(),"y"),0)+1)),"")</f>
        <v/>
      </c>
      <c r="P408" s="26" t="n"/>
      <c r="Q408" s="26" t="n"/>
      <c r="R408" s="27">
        <f>IF(LEN(A408)=0,"",MAX(0,IF(ISNUMBER(Q408),Q408,12)-N(P408)))</f>
        <v/>
      </c>
      <c r="S408" s="23" t="n"/>
      <c r="T408" s="27">
        <f>IF(S408="","",IF(ISNUMBER(S408),S408-TODAY(),"Check date"))</f>
        <v/>
      </c>
      <c r="U408" s="22" t="n"/>
      <c r="V408" s="22" t="n"/>
      <c r="W408" s="22" t="n"/>
      <c r="X408" s="22" t="n"/>
    </row>
    <row r="409">
      <c r="A409" s="22" t="n"/>
      <c r="B409" s="22" t="n"/>
      <c r="C409" s="22" t="n"/>
      <c r="D409" s="22" t="n"/>
      <c r="E409" s="23" t="n"/>
      <c r="F409" s="23" t="n"/>
      <c r="G409" s="23" t="n"/>
      <c r="H409" s="24">
        <f>IF(ISNUMBER(G409),EDATE(G409,24),"")</f>
        <v/>
      </c>
      <c r="I409" s="24">
        <f>IF(OR(AND(LEN(F409)&gt;0,ISNUMBER(F409)=FALSE),AND(LEN(G409)&gt;0,ISNUMBER(G409)=FALSE)),"Check date",IF(COUNT(F409,H409)=0,"",MIN(F409,H409)))</f>
        <v/>
      </c>
      <c r="J409" s="25">
        <f>IF(ISNUMBER(I409)=FALSE,"",IF(AND(ISNUMBER(H409),I409=H409),"24-month work rule","Registry expiry"))</f>
        <v/>
      </c>
      <c r="K409" s="26" t="n"/>
      <c r="L409" s="24">
        <f>IF(ISNUMBER(I409),I409-IF(ISNUMBER(K409),K409,30),"")</f>
        <v/>
      </c>
      <c r="M409" s="27">
        <f>IF(I409="","",IF(ISNUMBER(I409),I409-TODAY(),"Check date"))</f>
        <v/>
      </c>
      <c r="N409" s="28">
        <f>IF(M409="","",IF(ISNUMBER(M409),IF(M409&lt;0,"Expired",IF(M409&lt;=30,"Due ≤30 days",IF(M409&lt;=90,"Due ≤90 days","OK"))),"Check date"))</f>
        <v/>
      </c>
      <c r="O409" s="24">
        <f>IF(ISNUMBER(E409),EDATE(E409,12*(IFERROR(DATEDIF(E409,TODAY(),"y"),0)+1)),"")</f>
        <v/>
      </c>
      <c r="P409" s="26" t="n"/>
      <c r="Q409" s="26" t="n"/>
      <c r="R409" s="27">
        <f>IF(LEN(A409)=0,"",MAX(0,IF(ISNUMBER(Q409),Q409,12)-N(P409)))</f>
        <v/>
      </c>
      <c r="S409" s="23" t="n"/>
      <c r="T409" s="27">
        <f>IF(S409="","",IF(ISNUMBER(S409),S409-TODAY(),"Check date"))</f>
        <v/>
      </c>
      <c r="U409" s="22" t="n"/>
      <c r="V409" s="22" t="n"/>
      <c r="W409" s="22" t="n"/>
      <c r="X409" s="22" t="n"/>
    </row>
    <row r="410">
      <c r="A410" s="22" t="n"/>
      <c r="B410" s="22" t="n"/>
      <c r="C410" s="22" t="n"/>
      <c r="D410" s="22" t="n"/>
      <c r="E410" s="23" t="n"/>
      <c r="F410" s="23" t="n"/>
      <c r="G410" s="23" t="n"/>
      <c r="H410" s="24">
        <f>IF(ISNUMBER(G410),EDATE(G410,24),"")</f>
        <v/>
      </c>
      <c r="I410" s="24">
        <f>IF(OR(AND(LEN(F410)&gt;0,ISNUMBER(F410)=FALSE),AND(LEN(G410)&gt;0,ISNUMBER(G410)=FALSE)),"Check date",IF(COUNT(F410,H410)=0,"",MIN(F410,H410)))</f>
        <v/>
      </c>
      <c r="J410" s="25">
        <f>IF(ISNUMBER(I410)=FALSE,"",IF(AND(ISNUMBER(H410),I410=H410),"24-month work rule","Registry expiry"))</f>
        <v/>
      </c>
      <c r="K410" s="26" t="n"/>
      <c r="L410" s="24">
        <f>IF(ISNUMBER(I410),I410-IF(ISNUMBER(K410),K410,30),"")</f>
        <v/>
      </c>
      <c r="M410" s="27">
        <f>IF(I410="","",IF(ISNUMBER(I410),I410-TODAY(),"Check date"))</f>
        <v/>
      </c>
      <c r="N410" s="28">
        <f>IF(M410="","",IF(ISNUMBER(M410),IF(M410&lt;0,"Expired",IF(M410&lt;=30,"Due ≤30 days",IF(M410&lt;=90,"Due ≤90 days","OK"))),"Check date"))</f>
        <v/>
      </c>
      <c r="O410" s="24">
        <f>IF(ISNUMBER(E410),EDATE(E410,12*(IFERROR(DATEDIF(E410,TODAY(),"y"),0)+1)),"")</f>
        <v/>
      </c>
      <c r="P410" s="26" t="n"/>
      <c r="Q410" s="26" t="n"/>
      <c r="R410" s="27">
        <f>IF(LEN(A410)=0,"",MAX(0,IF(ISNUMBER(Q410),Q410,12)-N(P410)))</f>
        <v/>
      </c>
      <c r="S410" s="23" t="n"/>
      <c r="T410" s="27">
        <f>IF(S410="","",IF(ISNUMBER(S410),S410-TODAY(),"Check date"))</f>
        <v/>
      </c>
      <c r="U410" s="22" t="n"/>
      <c r="V410" s="22" t="n"/>
      <c r="W410" s="22" t="n"/>
      <c r="X410" s="22" t="n"/>
    </row>
    <row r="411">
      <c r="A411" s="22" t="n"/>
      <c r="B411" s="22" t="n"/>
      <c r="C411" s="22" t="n"/>
      <c r="D411" s="22" t="n"/>
      <c r="E411" s="23" t="n"/>
      <c r="F411" s="23" t="n"/>
      <c r="G411" s="23" t="n"/>
      <c r="H411" s="24">
        <f>IF(ISNUMBER(G411),EDATE(G411,24),"")</f>
        <v/>
      </c>
      <c r="I411" s="24">
        <f>IF(OR(AND(LEN(F411)&gt;0,ISNUMBER(F411)=FALSE),AND(LEN(G411)&gt;0,ISNUMBER(G411)=FALSE)),"Check date",IF(COUNT(F411,H411)=0,"",MIN(F411,H411)))</f>
        <v/>
      </c>
      <c r="J411" s="25">
        <f>IF(ISNUMBER(I411)=FALSE,"",IF(AND(ISNUMBER(H411),I411=H411),"24-month work rule","Registry expiry"))</f>
        <v/>
      </c>
      <c r="K411" s="26" t="n"/>
      <c r="L411" s="24">
        <f>IF(ISNUMBER(I411),I411-IF(ISNUMBER(K411),K411,30),"")</f>
        <v/>
      </c>
      <c r="M411" s="27">
        <f>IF(I411="","",IF(ISNUMBER(I411),I411-TODAY(),"Check date"))</f>
        <v/>
      </c>
      <c r="N411" s="28">
        <f>IF(M411="","",IF(ISNUMBER(M411),IF(M411&lt;0,"Expired",IF(M411&lt;=30,"Due ≤30 days",IF(M411&lt;=90,"Due ≤90 days","OK"))),"Check date"))</f>
        <v/>
      </c>
      <c r="O411" s="24">
        <f>IF(ISNUMBER(E411),EDATE(E411,12*(IFERROR(DATEDIF(E411,TODAY(),"y"),0)+1)),"")</f>
        <v/>
      </c>
      <c r="P411" s="26" t="n"/>
      <c r="Q411" s="26" t="n"/>
      <c r="R411" s="27">
        <f>IF(LEN(A411)=0,"",MAX(0,IF(ISNUMBER(Q411),Q411,12)-N(P411)))</f>
        <v/>
      </c>
      <c r="S411" s="23" t="n"/>
      <c r="T411" s="27">
        <f>IF(S411="","",IF(ISNUMBER(S411),S411-TODAY(),"Check date"))</f>
        <v/>
      </c>
      <c r="U411" s="22" t="n"/>
      <c r="V411" s="22" t="n"/>
      <c r="W411" s="22" t="n"/>
      <c r="X411" s="22" t="n"/>
    </row>
    <row r="412">
      <c r="A412" s="22" t="n"/>
      <c r="B412" s="22" t="n"/>
      <c r="C412" s="22" t="n"/>
      <c r="D412" s="22" t="n"/>
      <c r="E412" s="23" t="n"/>
      <c r="F412" s="23" t="n"/>
      <c r="G412" s="23" t="n"/>
      <c r="H412" s="24">
        <f>IF(ISNUMBER(G412),EDATE(G412,24),"")</f>
        <v/>
      </c>
      <c r="I412" s="24">
        <f>IF(OR(AND(LEN(F412)&gt;0,ISNUMBER(F412)=FALSE),AND(LEN(G412)&gt;0,ISNUMBER(G412)=FALSE)),"Check date",IF(COUNT(F412,H412)=0,"",MIN(F412,H412)))</f>
        <v/>
      </c>
      <c r="J412" s="25">
        <f>IF(ISNUMBER(I412)=FALSE,"",IF(AND(ISNUMBER(H412),I412=H412),"24-month work rule","Registry expiry"))</f>
        <v/>
      </c>
      <c r="K412" s="26" t="n"/>
      <c r="L412" s="24">
        <f>IF(ISNUMBER(I412),I412-IF(ISNUMBER(K412),K412,30),"")</f>
        <v/>
      </c>
      <c r="M412" s="27">
        <f>IF(I412="","",IF(ISNUMBER(I412),I412-TODAY(),"Check date"))</f>
        <v/>
      </c>
      <c r="N412" s="28">
        <f>IF(M412="","",IF(ISNUMBER(M412),IF(M412&lt;0,"Expired",IF(M412&lt;=30,"Due ≤30 days",IF(M412&lt;=90,"Due ≤90 days","OK"))),"Check date"))</f>
        <v/>
      </c>
      <c r="O412" s="24">
        <f>IF(ISNUMBER(E412),EDATE(E412,12*(IFERROR(DATEDIF(E412,TODAY(),"y"),0)+1)),"")</f>
        <v/>
      </c>
      <c r="P412" s="26" t="n"/>
      <c r="Q412" s="26" t="n"/>
      <c r="R412" s="27">
        <f>IF(LEN(A412)=0,"",MAX(0,IF(ISNUMBER(Q412),Q412,12)-N(P412)))</f>
        <v/>
      </c>
      <c r="S412" s="23" t="n"/>
      <c r="T412" s="27">
        <f>IF(S412="","",IF(ISNUMBER(S412),S412-TODAY(),"Check date"))</f>
        <v/>
      </c>
      <c r="U412" s="22" t="n"/>
      <c r="V412" s="22" t="n"/>
      <c r="W412" s="22" t="n"/>
      <c r="X412" s="22" t="n"/>
    </row>
    <row r="413">
      <c r="A413" s="22" t="n"/>
      <c r="B413" s="22" t="n"/>
      <c r="C413" s="22" t="n"/>
      <c r="D413" s="22" t="n"/>
      <c r="E413" s="23" t="n"/>
      <c r="F413" s="23" t="n"/>
      <c r="G413" s="23" t="n"/>
      <c r="H413" s="24">
        <f>IF(ISNUMBER(G413),EDATE(G413,24),"")</f>
        <v/>
      </c>
      <c r="I413" s="24">
        <f>IF(OR(AND(LEN(F413)&gt;0,ISNUMBER(F413)=FALSE),AND(LEN(G413)&gt;0,ISNUMBER(G413)=FALSE)),"Check date",IF(COUNT(F413,H413)=0,"",MIN(F413,H413)))</f>
        <v/>
      </c>
      <c r="J413" s="25">
        <f>IF(ISNUMBER(I413)=FALSE,"",IF(AND(ISNUMBER(H413),I413=H413),"24-month work rule","Registry expiry"))</f>
        <v/>
      </c>
      <c r="K413" s="26" t="n"/>
      <c r="L413" s="24">
        <f>IF(ISNUMBER(I413),I413-IF(ISNUMBER(K413),K413,30),"")</f>
        <v/>
      </c>
      <c r="M413" s="27">
        <f>IF(I413="","",IF(ISNUMBER(I413),I413-TODAY(),"Check date"))</f>
        <v/>
      </c>
      <c r="N413" s="28">
        <f>IF(M413="","",IF(ISNUMBER(M413),IF(M413&lt;0,"Expired",IF(M413&lt;=30,"Due ≤30 days",IF(M413&lt;=90,"Due ≤90 days","OK"))),"Check date"))</f>
        <v/>
      </c>
      <c r="O413" s="24">
        <f>IF(ISNUMBER(E413),EDATE(E413,12*(IFERROR(DATEDIF(E413,TODAY(),"y"),0)+1)),"")</f>
        <v/>
      </c>
      <c r="P413" s="26" t="n"/>
      <c r="Q413" s="26" t="n"/>
      <c r="R413" s="27">
        <f>IF(LEN(A413)=0,"",MAX(0,IF(ISNUMBER(Q413),Q413,12)-N(P413)))</f>
        <v/>
      </c>
      <c r="S413" s="23" t="n"/>
      <c r="T413" s="27">
        <f>IF(S413="","",IF(ISNUMBER(S413),S413-TODAY(),"Check date"))</f>
        <v/>
      </c>
      <c r="U413" s="22" t="n"/>
      <c r="V413" s="22" t="n"/>
      <c r="W413" s="22" t="n"/>
      <c r="X413" s="22" t="n"/>
    </row>
    <row r="414">
      <c r="A414" s="22" t="n"/>
      <c r="B414" s="22" t="n"/>
      <c r="C414" s="22" t="n"/>
      <c r="D414" s="22" t="n"/>
      <c r="E414" s="23" t="n"/>
      <c r="F414" s="23" t="n"/>
      <c r="G414" s="23" t="n"/>
      <c r="H414" s="24">
        <f>IF(ISNUMBER(G414),EDATE(G414,24),"")</f>
        <v/>
      </c>
      <c r="I414" s="24">
        <f>IF(OR(AND(LEN(F414)&gt;0,ISNUMBER(F414)=FALSE),AND(LEN(G414)&gt;0,ISNUMBER(G414)=FALSE)),"Check date",IF(COUNT(F414,H414)=0,"",MIN(F414,H414)))</f>
        <v/>
      </c>
      <c r="J414" s="25">
        <f>IF(ISNUMBER(I414)=FALSE,"",IF(AND(ISNUMBER(H414),I414=H414),"24-month work rule","Registry expiry"))</f>
        <v/>
      </c>
      <c r="K414" s="26" t="n"/>
      <c r="L414" s="24">
        <f>IF(ISNUMBER(I414),I414-IF(ISNUMBER(K414),K414,30),"")</f>
        <v/>
      </c>
      <c r="M414" s="27">
        <f>IF(I414="","",IF(ISNUMBER(I414),I414-TODAY(),"Check date"))</f>
        <v/>
      </c>
      <c r="N414" s="28">
        <f>IF(M414="","",IF(ISNUMBER(M414),IF(M414&lt;0,"Expired",IF(M414&lt;=30,"Due ≤30 days",IF(M414&lt;=90,"Due ≤90 days","OK"))),"Check date"))</f>
        <v/>
      </c>
      <c r="O414" s="24">
        <f>IF(ISNUMBER(E414),EDATE(E414,12*(IFERROR(DATEDIF(E414,TODAY(),"y"),0)+1)),"")</f>
        <v/>
      </c>
      <c r="P414" s="26" t="n"/>
      <c r="Q414" s="26" t="n"/>
      <c r="R414" s="27">
        <f>IF(LEN(A414)=0,"",MAX(0,IF(ISNUMBER(Q414),Q414,12)-N(P414)))</f>
        <v/>
      </c>
      <c r="S414" s="23" t="n"/>
      <c r="T414" s="27">
        <f>IF(S414="","",IF(ISNUMBER(S414),S414-TODAY(),"Check date"))</f>
        <v/>
      </c>
      <c r="U414" s="22" t="n"/>
      <c r="V414" s="22" t="n"/>
      <c r="W414" s="22" t="n"/>
      <c r="X414" s="22" t="n"/>
    </row>
    <row r="415">
      <c r="A415" s="22" t="n"/>
      <c r="B415" s="22" t="n"/>
      <c r="C415" s="22" t="n"/>
      <c r="D415" s="22" t="n"/>
      <c r="E415" s="23" t="n"/>
      <c r="F415" s="23" t="n"/>
      <c r="G415" s="23" t="n"/>
      <c r="H415" s="24">
        <f>IF(ISNUMBER(G415),EDATE(G415,24),"")</f>
        <v/>
      </c>
      <c r="I415" s="24">
        <f>IF(OR(AND(LEN(F415)&gt;0,ISNUMBER(F415)=FALSE),AND(LEN(G415)&gt;0,ISNUMBER(G415)=FALSE)),"Check date",IF(COUNT(F415,H415)=0,"",MIN(F415,H415)))</f>
        <v/>
      </c>
      <c r="J415" s="25">
        <f>IF(ISNUMBER(I415)=FALSE,"",IF(AND(ISNUMBER(H415),I415=H415),"24-month work rule","Registry expiry"))</f>
        <v/>
      </c>
      <c r="K415" s="26" t="n"/>
      <c r="L415" s="24">
        <f>IF(ISNUMBER(I415),I415-IF(ISNUMBER(K415),K415,30),"")</f>
        <v/>
      </c>
      <c r="M415" s="27">
        <f>IF(I415="","",IF(ISNUMBER(I415),I415-TODAY(),"Check date"))</f>
        <v/>
      </c>
      <c r="N415" s="28">
        <f>IF(M415="","",IF(ISNUMBER(M415),IF(M415&lt;0,"Expired",IF(M415&lt;=30,"Due ≤30 days",IF(M415&lt;=90,"Due ≤90 days","OK"))),"Check date"))</f>
        <v/>
      </c>
      <c r="O415" s="24">
        <f>IF(ISNUMBER(E415),EDATE(E415,12*(IFERROR(DATEDIF(E415,TODAY(),"y"),0)+1)),"")</f>
        <v/>
      </c>
      <c r="P415" s="26" t="n"/>
      <c r="Q415" s="26" t="n"/>
      <c r="R415" s="27">
        <f>IF(LEN(A415)=0,"",MAX(0,IF(ISNUMBER(Q415),Q415,12)-N(P415)))</f>
        <v/>
      </c>
      <c r="S415" s="23" t="n"/>
      <c r="T415" s="27">
        <f>IF(S415="","",IF(ISNUMBER(S415),S415-TODAY(),"Check date"))</f>
        <v/>
      </c>
      <c r="U415" s="22" t="n"/>
      <c r="V415" s="22" t="n"/>
      <c r="W415" s="22" t="n"/>
      <c r="X415" s="22" t="n"/>
    </row>
    <row r="416">
      <c r="A416" s="22" t="n"/>
      <c r="B416" s="22" t="n"/>
      <c r="C416" s="22" t="n"/>
      <c r="D416" s="22" t="n"/>
      <c r="E416" s="23" t="n"/>
      <c r="F416" s="23" t="n"/>
      <c r="G416" s="23" t="n"/>
      <c r="H416" s="24">
        <f>IF(ISNUMBER(G416),EDATE(G416,24),"")</f>
        <v/>
      </c>
      <c r="I416" s="24">
        <f>IF(OR(AND(LEN(F416)&gt;0,ISNUMBER(F416)=FALSE),AND(LEN(G416)&gt;0,ISNUMBER(G416)=FALSE)),"Check date",IF(COUNT(F416,H416)=0,"",MIN(F416,H416)))</f>
        <v/>
      </c>
      <c r="J416" s="25">
        <f>IF(ISNUMBER(I416)=FALSE,"",IF(AND(ISNUMBER(H416),I416=H416),"24-month work rule","Registry expiry"))</f>
        <v/>
      </c>
      <c r="K416" s="26" t="n"/>
      <c r="L416" s="24">
        <f>IF(ISNUMBER(I416),I416-IF(ISNUMBER(K416),K416,30),"")</f>
        <v/>
      </c>
      <c r="M416" s="27">
        <f>IF(I416="","",IF(ISNUMBER(I416),I416-TODAY(),"Check date"))</f>
        <v/>
      </c>
      <c r="N416" s="28">
        <f>IF(M416="","",IF(ISNUMBER(M416),IF(M416&lt;0,"Expired",IF(M416&lt;=30,"Due ≤30 days",IF(M416&lt;=90,"Due ≤90 days","OK"))),"Check date"))</f>
        <v/>
      </c>
      <c r="O416" s="24">
        <f>IF(ISNUMBER(E416),EDATE(E416,12*(IFERROR(DATEDIF(E416,TODAY(),"y"),0)+1)),"")</f>
        <v/>
      </c>
      <c r="P416" s="26" t="n"/>
      <c r="Q416" s="26" t="n"/>
      <c r="R416" s="27">
        <f>IF(LEN(A416)=0,"",MAX(0,IF(ISNUMBER(Q416),Q416,12)-N(P416)))</f>
        <v/>
      </c>
      <c r="S416" s="23" t="n"/>
      <c r="T416" s="27">
        <f>IF(S416="","",IF(ISNUMBER(S416),S416-TODAY(),"Check date"))</f>
        <v/>
      </c>
      <c r="U416" s="22" t="n"/>
      <c r="V416" s="22" t="n"/>
      <c r="W416" s="22" t="n"/>
      <c r="X416" s="22" t="n"/>
    </row>
    <row r="417">
      <c r="A417" s="22" t="n"/>
      <c r="B417" s="22" t="n"/>
      <c r="C417" s="22" t="n"/>
      <c r="D417" s="22" t="n"/>
      <c r="E417" s="23" t="n"/>
      <c r="F417" s="23" t="n"/>
      <c r="G417" s="23" t="n"/>
      <c r="H417" s="24">
        <f>IF(ISNUMBER(G417),EDATE(G417,24),"")</f>
        <v/>
      </c>
      <c r="I417" s="24">
        <f>IF(OR(AND(LEN(F417)&gt;0,ISNUMBER(F417)=FALSE),AND(LEN(G417)&gt;0,ISNUMBER(G417)=FALSE)),"Check date",IF(COUNT(F417,H417)=0,"",MIN(F417,H417)))</f>
        <v/>
      </c>
      <c r="J417" s="25">
        <f>IF(ISNUMBER(I417)=FALSE,"",IF(AND(ISNUMBER(H417),I417=H417),"24-month work rule","Registry expiry"))</f>
        <v/>
      </c>
      <c r="K417" s="26" t="n"/>
      <c r="L417" s="24">
        <f>IF(ISNUMBER(I417),I417-IF(ISNUMBER(K417),K417,30),"")</f>
        <v/>
      </c>
      <c r="M417" s="27">
        <f>IF(I417="","",IF(ISNUMBER(I417),I417-TODAY(),"Check date"))</f>
        <v/>
      </c>
      <c r="N417" s="28">
        <f>IF(M417="","",IF(ISNUMBER(M417),IF(M417&lt;0,"Expired",IF(M417&lt;=30,"Due ≤30 days",IF(M417&lt;=90,"Due ≤90 days","OK"))),"Check date"))</f>
        <v/>
      </c>
      <c r="O417" s="24">
        <f>IF(ISNUMBER(E417),EDATE(E417,12*(IFERROR(DATEDIF(E417,TODAY(),"y"),0)+1)),"")</f>
        <v/>
      </c>
      <c r="P417" s="26" t="n"/>
      <c r="Q417" s="26" t="n"/>
      <c r="R417" s="27">
        <f>IF(LEN(A417)=0,"",MAX(0,IF(ISNUMBER(Q417),Q417,12)-N(P417)))</f>
        <v/>
      </c>
      <c r="S417" s="23" t="n"/>
      <c r="T417" s="27">
        <f>IF(S417="","",IF(ISNUMBER(S417),S417-TODAY(),"Check date"))</f>
        <v/>
      </c>
      <c r="U417" s="22" t="n"/>
      <c r="V417" s="22" t="n"/>
      <c r="W417" s="22" t="n"/>
      <c r="X417" s="22" t="n"/>
    </row>
    <row r="418">
      <c r="A418" s="22" t="n"/>
      <c r="B418" s="22" t="n"/>
      <c r="C418" s="22" t="n"/>
      <c r="D418" s="22" t="n"/>
      <c r="E418" s="23" t="n"/>
      <c r="F418" s="23" t="n"/>
      <c r="G418" s="23" t="n"/>
      <c r="H418" s="24">
        <f>IF(ISNUMBER(G418),EDATE(G418,24),"")</f>
        <v/>
      </c>
      <c r="I418" s="24">
        <f>IF(OR(AND(LEN(F418)&gt;0,ISNUMBER(F418)=FALSE),AND(LEN(G418)&gt;0,ISNUMBER(G418)=FALSE)),"Check date",IF(COUNT(F418,H418)=0,"",MIN(F418,H418)))</f>
        <v/>
      </c>
      <c r="J418" s="25">
        <f>IF(ISNUMBER(I418)=FALSE,"",IF(AND(ISNUMBER(H418),I418=H418),"24-month work rule","Registry expiry"))</f>
        <v/>
      </c>
      <c r="K418" s="26" t="n"/>
      <c r="L418" s="24">
        <f>IF(ISNUMBER(I418),I418-IF(ISNUMBER(K418),K418,30),"")</f>
        <v/>
      </c>
      <c r="M418" s="27">
        <f>IF(I418="","",IF(ISNUMBER(I418),I418-TODAY(),"Check date"))</f>
        <v/>
      </c>
      <c r="N418" s="28">
        <f>IF(M418="","",IF(ISNUMBER(M418),IF(M418&lt;0,"Expired",IF(M418&lt;=30,"Due ≤30 days",IF(M418&lt;=90,"Due ≤90 days","OK"))),"Check date"))</f>
        <v/>
      </c>
      <c r="O418" s="24">
        <f>IF(ISNUMBER(E418),EDATE(E418,12*(IFERROR(DATEDIF(E418,TODAY(),"y"),0)+1)),"")</f>
        <v/>
      </c>
      <c r="P418" s="26" t="n"/>
      <c r="Q418" s="26" t="n"/>
      <c r="R418" s="27">
        <f>IF(LEN(A418)=0,"",MAX(0,IF(ISNUMBER(Q418),Q418,12)-N(P418)))</f>
        <v/>
      </c>
      <c r="S418" s="23" t="n"/>
      <c r="T418" s="27">
        <f>IF(S418="","",IF(ISNUMBER(S418),S418-TODAY(),"Check date"))</f>
        <v/>
      </c>
      <c r="U418" s="22" t="n"/>
      <c r="V418" s="22" t="n"/>
      <c r="W418" s="22" t="n"/>
      <c r="X418" s="22" t="n"/>
    </row>
    <row r="419">
      <c r="A419" s="22" t="n"/>
      <c r="B419" s="22" t="n"/>
      <c r="C419" s="22" t="n"/>
      <c r="D419" s="22" t="n"/>
      <c r="E419" s="23" t="n"/>
      <c r="F419" s="23" t="n"/>
      <c r="G419" s="23" t="n"/>
      <c r="H419" s="24">
        <f>IF(ISNUMBER(G419),EDATE(G419,24),"")</f>
        <v/>
      </c>
      <c r="I419" s="24">
        <f>IF(OR(AND(LEN(F419)&gt;0,ISNUMBER(F419)=FALSE),AND(LEN(G419)&gt;0,ISNUMBER(G419)=FALSE)),"Check date",IF(COUNT(F419,H419)=0,"",MIN(F419,H419)))</f>
        <v/>
      </c>
      <c r="J419" s="25">
        <f>IF(ISNUMBER(I419)=FALSE,"",IF(AND(ISNUMBER(H419),I419=H419),"24-month work rule","Registry expiry"))</f>
        <v/>
      </c>
      <c r="K419" s="26" t="n"/>
      <c r="L419" s="24">
        <f>IF(ISNUMBER(I419),I419-IF(ISNUMBER(K419),K419,30),"")</f>
        <v/>
      </c>
      <c r="M419" s="27">
        <f>IF(I419="","",IF(ISNUMBER(I419),I419-TODAY(),"Check date"))</f>
        <v/>
      </c>
      <c r="N419" s="28">
        <f>IF(M419="","",IF(ISNUMBER(M419),IF(M419&lt;0,"Expired",IF(M419&lt;=30,"Due ≤30 days",IF(M419&lt;=90,"Due ≤90 days","OK"))),"Check date"))</f>
        <v/>
      </c>
      <c r="O419" s="24">
        <f>IF(ISNUMBER(E419),EDATE(E419,12*(IFERROR(DATEDIF(E419,TODAY(),"y"),0)+1)),"")</f>
        <v/>
      </c>
      <c r="P419" s="26" t="n"/>
      <c r="Q419" s="26" t="n"/>
      <c r="R419" s="27">
        <f>IF(LEN(A419)=0,"",MAX(0,IF(ISNUMBER(Q419),Q419,12)-N(P419)))</f>
        <v/>
      </c>
      <c r="S419" s="23" t="n"/>
      <c r="T419" s="27">
        <f>IF(S419="","",IF(ISNUMBER(S419),S419-TODAY(),"Check date"))</f>
        <v/>
      </c>
      <c r="U419" s="22" t="n"/>
      <c r="V419" s="22" t="n"/>
      <c r="W419" s="22" t="n"/>
      <c r="X419" s="22" t="n"/>
    </row>
    <row r="420">
      <c r="A420" s="22" t="n"/>
      <c r="B420" s="22" t="n"/>
      <c r="C420" s="22" t="n"/>
      <c r="D420" s="22" t="n"/>
      <c r="E420" s="23" t="n"/>
      <c r="F420" s="23" t="n"/>
      <c r="G420" s="23" t="n"/>
      <c r="H420" s="24">
        <f>IF(ISNUMBER(G420),EDATE(G420,24),"")</f>
        <v/>
      </c>
      <c r="I420" s="24">
        <f>IF(OR(AND(LEN(F420)&gt;0,ISNUMBER(F420)=FALSE),AND(LEN(G420)&gt;0,ISNUMBER(G420)=FALSE)),"Check date",IF(COUNT(F420,H420)=0,"",MIN(F420,H420)))</f>
        <v/>
      </c>
      <c r="J420" s="25">
        <f>IF(ISNUMBER(I420)=FALSE,"",IF(AND(ISNUMBER(H420),I420=H420),"24-month work rule","Registry expiry"))</f>
        <v/>
      </c>
      <c r="K420" s="26" t="n"/>
      <c r="L420" s="24">
        <f>IF(ISNUMBER(I420),I420-IF(ISNUMBER(K420),K420,30),"")</f>
        <v/>
      </c>
      <c r="M420" s="27">
        <f>IF(I420="","",IF(ISNUMBER(I420),I420-TODAY(),"Check date"))</f>
        <v/>
      </c>
      <c r="N420" s="28">
        <f>IF(M420="","",IF(ISNUMBER(M420),IF(M420&lt;0,"Expired",IF(M420&lt;=30,"Due ≤30 days",IF(M420&lt;=90,"Due ≤90 days","OK"))),"Check date"))</f>
        <v/>
      </c>
      <c r="O420" s="24">
        <f>IF(ISNUMBER(E420),EDATE(E420,12*(IFERROR(DATEDIF(E420,TODAY(),"y"),0)+1)),"")</f>
        <v/>
      </c>
      <c r="P420" s="26" t="n"/>
      <c r="Q420" s="26" t="n"/>
      <c r="R420" s="27">
        <f>IF(LEN(A420)=0,"",MAX(0,IF(ISNUMBER(Q420),Q420,12)-N(P420)))</f>
        <v/>
      </c>
      <c r="S420" s="23" t="n"/>
      <c r="T420" s="27">
        <f>IF(S420="","",IF(ISNUMBER(S420),S420-TODAY(),"Check date"))</f>
        <v/>
      </c>
      <c r="U420" s="22" t="n"/>
      <c r="V420" s="22" t="n"/>
      <c r="W420" s="22" t="n"/>
      <c r="X420" s="22" t="n"/>
    </row>
    <row r="421">
      <c r="A421" s="22" t="n"/>
      <c r="B421" s="22" t="n"/>
      <c r="C421" s="22" t="n"/>
      <c r="D421" s="22" t="n"/>
      <c r="E421" s="23" t="n"/>
      <c r="F421" s="23" t="n"/>
      <c r="G421" s="23" t="n"/>
      <c r="H421" s="24">
        <f>IF(ISNUMBER(G421),EDATE(G421,24),"")</f>
        <v/>
      </c>
      <c r="I421" s="24">
        <f>IF(OR(AND(LEN(F421)&gt;0,ISNUMBER(F421)=FALSE),AND(LEN(G421)&gt;0,ISNUMBER(G421)=FALSE)),"Check date",IF(COUNT(F421,H421)=0,"",MIN(F421,H421)))</f>
        <v/>
      </c>
      <c r="J421" s="25">
        <f>IF(ISNUMBER(I421)=FALSE,"",IF(AND(ISNUMBER(H421),I421=H421),"24-month work rule","Registry expiry"))</f>
        <v/>
      </c>
      <c r="K421" s="26" t="n"/>
      <c r="L421" s="24">
        <f>IF(ISNUMBER(I421),I421-IF(ISNUMBER(K421),K421,30),"")</f>
        <v/>
      </c>
      <c r="M421" s="27">
        <f>IF(I421="","",IF(ISNUMBER(I421),I421-TODAY(),"Check date"))</f>
        <v/>
      </c>
      <c r="N421" s="28">
        <f>IF(M421="","",IF(ISNUMBER(M421),IF(M421&lt;0,"Expired",IF(M421&lt;=30,"Due ≤30 days",IF(M421&lt;=90,"Due ≤90 days","OK"))),"Check date"))</f>
        <v/>
      </c>
      <c r="O421" s="24">
        <f>IF(ISNUMBER(E421),EDATE(E421,12*(IFERROR(DATEDIF(E421,TODAY(),"y"),0)+1)),"")</f>
        <v/>
      </c>
      <c r="P421" s="26" t="n"/>
      <c r="Q421" s="26" t="n"/>
      <c r="R421" s="27">
        <f>IF(LEN(A421)=0,"",MAX(0,IF(ISNUMBER(Q421),Q421,12)-N(P421)))</f>
        <v/>
      </c>
      <c r="S421" s="23" t="n"/>
      <c r="T421" s="27">
        <f>IF(S421="","",IF(ISNUMBER(S421),S421-TODAY(),"Check date"))</f>
        <v/>
      </c>
      <c r="U421" s="22" t="n"/>
      <c r="V421" s="22" t="n"/>
      <c r="W421" s="22" t="n"/>
      <c r="X421" s="22" t="n"/>
    </row>
    <row r="422">
      <c r="A422" s="22" t="n"/>
      <c r="B422" s="22" t="n"/>
      <c r="C422" s="22" t="n"/>
      <c r="D422" s="22" t="n"/>
      <c r="E422" s="23" t="n"/>
      <c r="F422" s="23" t="n"/>
      <c r="G422" s="23" t="n"/>
      <c r="H422" s="24">
        <f>IF(ISNUMBER(G422),EDATE(G422,24),"")</f>
        <v/>
      </c>
      <c r="I422" s="24">
        <f>IF(OR(AND(LEN(F422)&gt;0,ISNUMBER(F422)=FALSE),AND(LEN(G422)&gt;0,ISNUMBER(G422)=FALSE)),"Check date",IF(COUNT(F422,H422)=0,"",MIN(F422,H422)))</f>
        <v/>
      </c>
      <c r="J422" s="25">
        <f>IF(ISNUMBER(I422)=FALSE,"",IF(AND(ISNUMBER(H422),I422=H422),"24-month work rule","Registry expiry"))</f>
        <v/>
      </c>
      <c r="K422" s="26" t="n"/>
      <c r="L422" s="24">
        <f>IF(ISNUMBER(I422),I422-IF(ISNUMBER(K422),K422,30),"")</f>
        <v/>
      </c>
      <c r="M422" s="27">
        <f>IF(I422="","",IF(ISNUMBER(I422),I422-TODAY(),"Check date"))</f>
        <v/>
      </c>
      <c r="N422" s="28">
        <f>IF(M422="","",IF(ISNUMBER(M422),IF(M422&lt;0,"Expired",IF(M422&lt;=30,"Due ≤30 days",IF(M422&lt;=90,"Due ≤90 days","OK"))),"Check date"))</f>
        <v/>
      </c>
      <c r="O422" s="24">
        <f>IF(ISNUMBER(E422),EDATE(E422,12*(IFERROR(DATEDIF(E422,TODAY(),"y"),0)+1)),"")</f>
        <v/>
      </c>
      <c r="P422" s="26" t="n"/>
      <c r="Q422" s="26" t="n"/>
      <c r="R422" s="27">
        <f>IF(LEN(A422)=0,"",MAX(0,IF(ISNUMBER(Q422),Q422,12)-N(P422)))</f>
        <v/>
      </c>
      <c r="S422" s="23" t="n"/>
      <c r="T422" s="27">
        <f>IF(S422="","",IF(ISNUMBER(S422),S422-TODAY(),"Check date"))</f>
        <v/>
      </c>
      <c r="U422" s="22" t="n"/>
      <c r="V422" s="22" t="n"/>
      <c r="W422" s="22" t="n"/>
      <c r="X422" s="22" t="n"/>
    </row>
    <row r="423">
      <c r="A423" s="22" t="n"/>
      <c r="B423" s="22" t="n"/>
      <c r="C423" s="22" t="n"/>
      <c r="D423" s="22" t="n"/>
      <c r="E423" s="23" t="n"/>
      <c r="F423" s="23" t="n"/>
      <c r="G423" s="23" t="n"/>
      <c r="H423" s="24">
        <f>IF(ISNUMBER(G423),EDATE(G423,24),"")</f>
        <v/>
      </c>
      <c r="I423" s="24">
        <f>IF(OR(AND(LEN(F423)&gt;0,ISNUMBER(F423)=FALSE),AND(LEN(G423)&gt;0,ISNUMBER(G423)=FALSE)),"Check date",IF(COUNT(F423,H423)=0,"",MIN(F423,H423)))</f>
        <v/>
      </c>
      <c r="J423" s="25">
        <f>IF(ISNUMBER(I423)=FALSE,"",IF(AND(ISNUMBER(H423),I423=H423),"24-month work rule","Registry expiry"))</f>
        <v/>
      </c>
      <c r="K423" s="26" t="n"/>
      <c r="L423" s="24">
        <f>IF(ISNUMBER(I423),I423-IF(ISNUMBER(K423),K423,30),"")</f>
        <v/>
      </c>
      <c r="M423" s="27">
        <f>IF(I423="","",IF(ISNUMBER(I423),I423-TODAY(),"Check date"))</f>
        <v/>
      </c>
      <c r="N423" s="28">
        <f>IF(M423="","",IF(ISNUMBER(M423),IF(M423&lt;0,"Expired",IF(M423&lt;=30,"Due ≤30 days",IF(M423&lt;=90,"Due ≤90 days","OK"))),"Check date"))</f>
        <v/>
      </c>
      <c r="O423" s="24">
        <f>IF(ISNUMBER(E423),EDATE(E423,12*(IFERROR(DATEDIF(E423,TODAY(),"y"),0)+1)),"")</f>
        <v/>
      </c>
      <c r="P423" s="26" t="n"/>
      <c r="Q423" s="26" t="n"/>
      <c r="R423" s="27">
        <f>IF(LEN(A423)=0,"",MAX(0,IF(ISNUMBER(Q423),Q423,12)-N(P423)))</f>
        <v/>
      </c>
      <c r="S423" s="23" t="n"/>
      <c r="T423" s="27">
        <f>IF(S423="","",IF(ISNUMBER(S423),S423-TODAY(),"Check date"))</f>
        <v/>
      </c>
      <c r="U423" s="22" t="n"/>
      <c r="V423" s="22" t="n"/>
      <c r="W423" s="22" t="n"/>
      <c r="X423" s="22" t="n"/>
    </row>
    <row r="424">
      <c r="A424" s="22" t="n"/>
      <c r="B424" s="22" t="n"/>
      <c r="C424" s="22" t="n"/>
      <c r="D424" s="22" t="n"/>
      <c r="E424" s="23" t="n"/>
      <c r="F424" s="23" t="n"/>
      <c r="G424" s="23" t="n"/>
      <c r="H424" s="24">
        <f>IF(ISNUMBER(G424),EDATE(G424,24),"")</f>
        <v/>
      </c>
      <c r="I424" s="24">
        <f>IF(OR(AND(LEN(F424)&gt;0,ISNUMBER(F424)=FALSE),AND(LEN(G424)&gt;0,ISNUMBER(G424)=FALSE)),"Check date",IF(COUNT(F424,H424)=0,"",MIN(F424,H424)))</f>
        <v/>
      </c>
      <c r="J424" s="25">
        <f>IF(ISNUMBER(I424)=FALSE,"",IF(AND(ISNUMBER(H424),I424=H424),"24-month work rule","Registry expiry"))</f>
        <v/>
      </c>
      <c r="K424" s="26" t="n"/>
      <c r="L424" s="24">
        <f>IF(ISNUMBER(I424),I424-IF(ISNUMBER(K424),K424,30),"")</f>
        <v/>
      </c>
      <c r="M424" s="27">
        <f>IF(I424="","",IF(ISNUMBER(I424),I424-TODAY(),"Check date"))</f>
        <v/>
      </c>
      <c r="N424" s="28">
        <f>IF(M424="","",IF(ISNUMBER(M424),IF(M424&lt;0,"Expired",IF(M424&lt;=30,"Due ≤30 days",IF(M424&lt;=90,"Due ≤90 days","OK"))),"Check date"))</f>
        <v/>
      </c>
      <c r="O424" s="24">
        <f>IF(ISNUMBER(E424),EDATE(E424,12*(IFERROR(DATEDIF(E424,TODAY(),"y"),0)+1)),"")</f>
        <v/>
      </c>
      <c r="P424" s="26" t="n"/>
      <c r="Q424" s="26" t="n"/>
      <c r="R424" s="27">
        <f>IF(LEN(A424)=0,"",MAX(0,IF(ISNUMBER(Q424),Q424,12)-N(P424)))</f>
        <v/>
      </c>
      <c r="S424" s="23" t="n"/>
      <c r="T424" s="27">
        <f>IF(S424="","",IF(ISNUMBER(S424),S424-TODAY(),"Check date"))</f>
        <v/>
      </c>
      <c r="U424" s="22" t="n"/>
      <c r="V424" s="22" t="n"/>
      <c r="W424" s="22" t="n"/>
      <c r="X424" s="22" t="n"/>
    </row>
    <row r="425">
      <c r="A425" s="22" t="n"/>
      <c r="B425" s="22" t="n"/>
      <c r="C425" s="22" t="n"/>
      <c r="D425" s="22" t="n"/>
      <c r="E425" s="23" t="n"/>
      <c r="F425" s="23" t="n"/>
      <c r="G425" s="23" t="n"/>
      <c r="H425" s="24">
        <f>IF(ISNUMBER(G425),EDATE(G425,24),"")</f>
        <v/>
      </c>
      <c r="I425" s="24">
        <f>IF(OR(AND(LEN(F425)&gt;0,ISNUMBER(F425)=FALSE),AND(LEN(G425)&gt;0,ISNUMBER(G425)=FALSE)),"Check date",IF(COUNT(F425,H425)=0,"",MIN(F425,H425)))</f>
        <v/>
      </c>
      <c r="J425" s="25">
        <f>IF(ISNUMBER(I425)=FALSE,"",IF(AND(ISNUMBER(H425),I425=H425),"24-month work rule","Registry expiry"))</f>
        <v/>
      </c>
      <c r="K425" s="26" t="n"/>
      <c r="L425" s="24">
        <f>IF(ISNUMBER(I425),I425-IF(ISNUMBER(K425),K425,30),"")</f>
        <v/>
      </c>
      <c r="M425" s="27">
        <f>IF(I425="","",IF(ISNUMBER(I425),I425-TODAY(),"Check date"))</f>
        <v/>
      </c>
      <c r="N425" s="28">
        <f>IF(M425="","",IF(ISNUMBER(M425),IF(M425&lt;0,"Expired",IF(M425&lt;=30,"Due ≤30 days",IF(M425&lt;=90,"Due ≤90 days","OK"))),"Check date"))</f>
        <v/>
      </c>
      <c r="O425" s="24">
        <f>IF(ISNUMBER(E425),EDATE(E425,12*(IFERROR(DATEDIF(E425,TODAY(),"y"),0)+1)),"")</f>
        <v/>
      </c>
      <c r="P425" s="26" t="n"/>
      <c r="Q425" s="26" t="n"/>
      <c r="R425" s="27">
        <f>IF(LEN(A425)=0,"",MAX(0,IF(ISNUMBER(Q425),Q425,12)-N(P425)))</f>
        <v/>
      </c>
      <c r="S425" s="23" t="n"/>
      <c r="T425" s="27">
        <f>IF(S425="","",IF(ISNUMBER(S425),S425-TODAY(),"Check date"))</f>
        <v/>
      </c>
      <c r="U425" s="22" t="n"/>
      <c r="V425" s="22" t="n"/>
      <c r="W425" s="22" t="n"/>
      <c r="X425" s="22" t="n"/>
    </row>
    <row r="426">
      <c r="A426" s="22" t="n"/>
      <c r="B426" s="22" t="n"/>
      <c r="C426" s="22" t="n"/>
      <c r="D426" s="22" t="n"/>
      <c r="E426" s="23" t="n"/>
      <c r="F426" s="23" t="n"/>
      <c r="G426" s="23" t="n"/>
      <c r="H426" s="24">
        <f>IF(ISNUMBER(G426),EDATE(G426,24),"")</f>
        <v/>
      </c>
      <c r="I426" s="24">
        <f>IF(OR(AND(LEN(F426)&gt;0,ISNUMBER(F426)=FALSE),AND(LEN(G426)&gt;0,ISNUMBER(G426)=FALSE)),"Check date",IF(COUNT(F426,H426)=0,"",MIN(F426,H426)))</f>
        <v/>
      </c>
      <c r="J426" s="25">
        <f>IF(ISNUMBER(I426)=FALSE,"",IF(AND(ISNUMBER(H426),I426=H426),"24-month work rule","Registry expiry"))</f>
        <v/>
      </c>
      <c r="K426" s="26" t="n"/>
      <c r="L426" s="24">
        <f>IF(ISNUMBER(I426),I426-IF(ISNUMBER(K426),K426,30),"")</f>
        <v/>
      </c>
      <c r="M426" s="27">
        <f>IF(I426="","",IF(ISNUMBER(I426),I426-TODAY(),"Check date"))</f>
        <v/>
      </c>
      <c r="N426" s="28">
        <f>IF(M426="","",IF(ISNUMBER(M426),IF(M426&lt;0,"Expired",IF(M426&lt;=30,"Due ≤30 days",IF(M426&lt;=90,"Due ≤90 days","OK"))),"Check date"))</f>
        <v/>
      </c>
      <c r="O426" s="24">
        <f>IF(ISNUMBER(E426),EDATE(E426,12*(IFERROR(DATEDIF(E426,TODAY(),"y"),0)+1)),"")</f>
        <v/>
      </c>
      <c r="P426" s="26" t="n"/>
      <c r="Q426" s="26" t="n"/>
      <c r="R426" s="27">
        <f>IF(LEN(A426)=0,"",MAX(0,IF(ISNUMBER(Q426),Q426,12)-N(P426)))</f>
        <v/>
      </c>
      <c r="S426" s="23" t="n"/>
      <c r="T426" s="27">
        <f>IF(S426="","",IF(ISNUMBER(S426),S426-TODAY(),"Check date"))</f>
        <v/>
      </c>
      <c r="U426" s="22" t="n"/>
      <c r="V426" s="22" t="n"/>
      <c r="W426" s="22" t="n"/>
      <c r="X426" s="22" t="n"/>
    </row>
    <row r="427">
      <c r="A427" s="22" t="n"/>
      <c r="B427" s="22" t="n"/>
      <c r="C427" s="22" t="n"/>
      <c r="D427" s="22" t="n"/>
      <c r="E427" s="23" t="n"/>
      <c r="F427" s="23" t="n"/>
      <c r="G427" s="23" t="n"/>
      <c r="H427" s="24">
        <f>IF(ISNUMBER(G427),EDATE(G427,24),"")</f>
        <v/>
      </c>
      <c r="I427" s="24">
        <f>IF(OR(AND(LEN(F427)&gt;0,ISNUMBER(F427)=FALSE),AND(LEN(G427)&gt;0,ISNUMBER(G427)=FALSE)),"Check date",IF(COUNT(F427,H427)=0,"",MIN(F427,H427)))</f>
        <v/>
      </c>
      <c r="J427" s="25">
        <f>IF(ISNUMBER(I427)=FALSE,"",IF(AND(ISNUMBER(H427),I427=H427),"24-month work rule","Registry expiry"))</f>
        <v/>
      </c>
      <c r="K427" s="26" t="n"/>
      <c r="L427" s="24">
        <f>IF(ISNUMBER(I427),I427-IF(ISNUMBER(K427),K427,30),"")</f>
        <v/>
      </c>
      <c r="M427" s="27">
        <f>IF(I427="","",IF(ISNUMBER(I427),I427-TODAY(),"Check date"))</f>
        <v/>
      </c>
      <c r="N427" s="28">
        <f>IF(M427="","",IF(ISNUMBER(M427),IF(M427&lt;0,"Expired",IF(M427&lt;=30,"Due ≤30 days",IF(M427&lt;=90,"Due ≤90 days","OK"))),"Check date"))</f>
        <v/>
      </c>
      <c r="O427" s="24">
        <f>IF(ISNUMBER(E427),EDATE(E427,12*(IFERROR(DATEDIF(E427,TODAY(),"y"),0)+1)),"")</f>
        <v/>
      </c>
      <c r="P427" s="26" t="n"/>
      <c r="Q427" s="26" t="n"/>
      <c r="R427" s="27">
        <f>IF(LEN(A427)=0,"",MAX(0,IF(ISNUMBER(Q427),Q427,12)-N(P427)))</f>
        <v/>
      </c>
      <c r="S427" s="23" t="n"/>
      <c r="T427" s="27">
        <f>IF(S427="","",IF(ISNUMBER(S427),S427-TODAY(),"Check date"))</f>
        <v/>
      </c>
      <c r="U427" s="22" t="n"/>
      <c r="V427" s="22" t="n"/>
      <c r="W427" s="22" t="n"/>
      <c r="X427" s="22" t="n"/>
    </row>
    <row r="428">
      <c r="A428" s="22" t="n"/>
      <c r="B428" s="22" t="n"/>
      <c r="C428" s="22" t="n"/>
      <c r="D428" s="22" t="n"/>
      <c r="E428" s="23" t="n"/>
      <c r="F428" s="23" t="n"/>
      <c r="G428" s="23" t="n"/>
      <c r="H428" s="24">
        <f>IF(ISNUMBER(G428),EDATE(G428,24),"")</f>
        <v/>
      </c>
      <c r="I428" s="24">
        <f>IF(OR(AND(LEN(F428)&gt;0,ISNUMBER(F428)=FALSE),AND(LEN(G428)&gt;0,ISNUMBER(G428)=FALSE)),"Check date",IF(COUNT(F428,H428)=0,"",MIN(F428,H428)))</f>
        <v/>
      </c>
      <c r="J428" s="25">
        <f>IF(ISNUMBER(I428)=FALSE,"",IF(AND(ISNUMBER(H428),I428=H428),"24-month work rule","Registry expiry"))</f>
        <v/>
      </c>
      <c r="K428" s="26" t="n"/>
      <c r="L428" s="24">
        <f>IF(ISNUMBER(I428),I428-IF(ISNUMBER(K428),K428,30),"")</f>
        <v/>
      </c>
      <c r="M428" s="27">
        <f>IF(I428="","",IF(ISNUMBER(I428),I428-TODAY(),"Check date"))</f>
        <v/>
      </c>
      <c r="N428" s="28">
        <f>IF(M428="","",IF(ISNUMBER(M428),IF(M428&lt;0,"Expired",IF(M428&lt;=30,"Due ≤30 days",IF(M428&lt;=90,"Due ≤90 days","OK"))),"Check date"))</f>
        <v/>
      </c>
      <c r="O428" s="24">
        <f>IF(ISNUMBER(E428),EDATE(E428,12*(IFERROR(DATEDIF(E428,TODAY(),"y"),0)+1)),"")</f>
        <v/>
      </c>
      <c r="P428" s="26" t="n"/>
      <c r="Q428" s="26" t="n"/>
      <c r="R428" s="27">
        <f>IF(LEN(A428)=0,"",MAX(0,IF(ISNUMBER(Q428),Q428,12)-N(P428)))</f>
        <v/>
      </c>
      <c r="S428" s="23" t="n"/>
      <c r="T428" s="27">
        <f>IF(S428="","",IF(ISNUMBER(S428),S428-TODAY(),"Check date"))</f>
        <v/>
      </c>
      <c r="U428" s="22" t="n"/>
      <c r="V428" s="22" t="n"/>
      <c r="W428" s="22" t="n"/>
      <c r="X428" s="22" t="n"/>
    </row>
    <row r="429">
      <c r="A429" s="22" t="n"/>
      <c r="B429" s="22" t="n"/>
      <c r="C429" s="22" t="n"/>
      <c r="D429" s="22" t="n"/>
      <c r="E429" s="23" t="n"/>
      <c r="F429" s="23" t="n"/>
      <c r="G429" s="23" t="n"/>
      <c r="H429" s="24">
        <f>IF(ISNUMBER(G429),EDATE(G429,24),"")</f>
        <v/>
      </c>
      <c r="I429" s="24">
        <f>IF(OR(AND(LEN(F429)&gt;0,ISNUMBER(F429)=FALSE),AND(LEN(G429)&gt;0,ISNUMBER(G429)=FALSE)),"Check date",IF(COUNT(F429,H429)=0,"",MIN(F429,H429)))</f>
        <v/>
      </c>
      <c r="J429" s="25">
        <f>IF(ISNUMBER(I429)=FALSE,"",IF(AND(ISNUMBER(H429),I429=H429),"24-month work rule","Registry expiry"))</f>
        <v/>
      </c>
      <c r="K429" s="26" t="n"/>
      <c r="L429" s="24">
        <f>IF(ISNUMBER(I429),I429-IF(ISNUMBER(K429),K429,30),"")</f>
        <v/>
      </c>
      <c r="M429" s="27">
        <f>IF(I429="","",IF(ISNUMBER(I429),I429-TODAY(),"Check date"))</f>
        <v/>
      </c>
      <c r="N429" s="28">
        <f>IF(M429="","",IF(ISNUMBER(M429),IF(M429&lt;0,"Expired",IF(M429&lt;=30,"Due ≤30 days",IF(M429&lt;=90,"Due ≤90 days","OK"))),"Check date"))</f>
        <v/>
      </c>
      <c r="O429" s="24">
        <f>IF(ISNUMBER(E429),EDATE(E429,12*(IFERROR(DATEDIF(E429,TODAY(),"y"),0)+1)),"")</f>
        <v/>
      </c>
      <c r="P429" s="26" t="n"/>
      <c r="Q429" s="26" t="n"/>
      <c r="R429" s="27">
        <f>IF(LEN(A429)=0,"",MAX(0,IF(ISNUMBER(Q429),Q429,12)-N(P429)))</f>
        <v/>
      </c>
      <c r="S429" s="23" t="n"/>
      <c r="T429" s="27">
        <f>IF(S429="","",IF(ISNUMBER(S429),S429-TODAY(),"Check date"))</f>
        <v/>
      </c>
      <c r="U429" s="22" t="n"/>
      <c r="V429" s="22" t="n"/>
      <c r="W429" s="22" t="n"/>
      <c r="X429" s="22" t="n"/>
    </row>
    <row r="430">
      <c r="A430" s="22" t="n"/>
      <c r="B430" s="22" t="n"/>
      <c r="C430" s="22" t="n"/>
      <c r="D430" s="22" t="n"/>
      <c r="E430" s="23" t="n"/>
      <c r="F430" s="23" t="n"/>
      <c r="G430" s="23" t="n"/>
      <c r="H430" s="24">
        <f>IF(ISNUMBER(G430),EDATE(G430,24),"")</f>
        <v/>
      </c>
      <c r="I430" s="24">
        <f>IF(OR(AND(LEN(F430)&gt;0,ISNUMBER(F430)=FALSE),AND(LEN(G430)&gt;0,ISNUMBER(G430)=FALSE)),"Check date",IF(COUNT(F430,H430)=0,"",MIN(F430,H430)))</f>
        <v/>
      </c>
      <c r="J430" s="25">
        <f>IF(ISNUMBER(I430)=FALSE,"",IF(AND(ISNUMBER(H430),I430=H430),"24-month work rule","Registry expiry"))</f>
        <v/>
      </c>
      <c r="K430" s="26" t="n"/>
      <c r="L430" s="24">
        <f>IF(ISNUMBER(I430),I430-IF(ISNUMBER(K430),K430,30),"")</f>
        <v/>
      </c>
      <c r="M430" s="27">
        <f>IF(I430="","",IF(ISNUMBER(I430),I430-TODAY(),"Check date"))</f>
        <v/>
      </c>
      <c r="N430" s="28">
        <f>IF(M430="","",IF(ISNUMBER(M430),IF(M430&lt;0,"Expired",IF(M430&lt;=30,"Due ≤30 days",IF(M430&lt;=90,"Due ≤90 days","OK"))),"Check date"))</f>
        <v/>
      </c>
      <c r="O430" s="24">
        <f>IF(ISNUMBER(E430),EDATE(E430,12*(IFERROR(DATEDIF(E430,TODAY(),"y"),0)+1)),"")</f>
        <v/>
      </c>
      <c r="P430" s="26" t="n"/>
      <c r="Q430" s="26" t="n"/>
      <c r="R430" s="27">
        <f>IF(LEN(A430)=0,"",MAX(0,IF(ISNUMBER(Q430),Q430,12)-N(P430)))</f>
        <v/>
      </c>
      <c r="S430" s="23" t="n"/>
      <c r="T430" s="27">
        <f>IF(S430="","",IF(ISNUMBER(S430),S430-TODAY(),"Check date"))</f>
        <v/>
      </c>
      <c r="U430" s="22" t="n"/>
      <c r="V430" s="22" t="n"/>
      <c r="W430" s="22" t="n"/>
      <c r="X430" s="22" t="n"/>
    </row>
    <row r="431">
      <c r="A431" s="22" t="n"/>
      <c r="B431" s="22" t="n"/>
      <c r="C431" s="22" t="n"/>
      <c r="D431" s="22" t="n"/>
      <c r="E431" s="23" t="n"/>
      <c r="F431" s="23" t="n"/>
      <c r="G431" s="23" t="n"/>
      <c r="H431" s="24">
        <f>IF(ISNUMBER(G431),EDATE(G431,24),"")</f>
        <v/>
      </c>
      <c r="I431" s="24">
        <f>IF(OR(AND(LEN(F431)&gt;0,ISNUMBER(F431)=FALSE),AND(LEN(G431)&gt;0,ISNUMBER(G431)=FALSE)),"Check date",IF(COUNT(F431,H431)=0,"",MIN(F431,H431)))</f>
        <v/>
      </c>
      <c r="J431" s="25">
        <f>IF(ISNUMBER(I431)=FALSE,"",IF(AND(ISNUMBER(H431),I431=H431),"24-month work rule","Registry expiry"))</f>
        <v/>
      </c>
      <c r="K431" s="26" t="n"/>
      <c r="L431" s="24">
        <f>IF(ISNUMBER(I431),I431-IF(ISNUMBER(K431),K431,30),"")</f>
        <v/>
      </c>
      <c r="M431" s="27">
        <f>IF(I431="","",IF(ISNUMBER(I431),I431-TODAY(),"Check date"))</f>
        <v/>
      </c>
      <c r="N431" s="28">
        <f>IF(M431="","",IF(ISNUMBER(M431),IF(M431&lt;0,"Expired",IF(M431&lt;=30,"Due ≤30 days",IF(M431&lt;=90,"Due ≤90 days","OK"))),"Check date"))</f>
        <v/>
      </c>
      <c r="O431" s="24">
        <f>IF(ISNUMBER(E431),EDATE(E431,12*(IFERROR(DATEDIF(E431,TODAY(),"y"),0)+1)),"")</f>
        <v/>
      </c>
      <c r="P431" s="26" t="n"/>
      <c r="Q431" s="26" t="n"/>
      <c r="R431" s="27">
        <f>IF(LEN(A431)=0,"",MAX(0,IF(ISNUMBER(Q431),Q431,12)-N(P431)))</f>
        <v/>
      </c>
      <c r="S431" s="23" t="n"/>
      <c r="T431" s="27">
        <f>IF(S431="","",IF(ISNUMBER(S431),S431-TODAY(),"Check date"))</f>
        <v/>
      </c>
      <c r="U431" s="22" t="n"/>
      <c r="V431" s="22" t="n"/>
      <c r="W431" s="22" t="n"/>
      <c r="X431" s="22" t="n"/>
    </row>
    <row r="432">
      <c r="A432" s="22" t="n"/>
      <c r="B432" s="22" t="n"/>
      <c r="C432" s="22" t="n"/>
      <c r="D432" s="22" t="n"/>
      <c r="E432" s="23" t="n"/>
      <c r="F432" s="23" t="n"/>
      <c r="G432" s="23" t="n"/>
      <c r="H432" s="24">
        <f>IF(ISNUMBER(G432),EDATE(G432,24),"")</f>
        <v/>
      </c>
      <c r="I432" s="24">
        <f>IF(OR(AND(LEN(F432)&gt;0,ISNUMBER(F432)=FALSE),AND(LEN(G432)&gt;0,ISNUMBER(G432)=FALSE)),"Check date",IF(COUNT(F432,H432)=0,"",MIN(F432,H432)))</f>
        <v/>
      </c>
      <c r="J432" s="25">
        <f>IF(ISNUMBER(I432)=FALSE,"",IF(AND(ISNUMBER(H432),I432=H432),"24-month work rule","Registry expiry"))</f>
        <v/>
      </c>
      <c r="K432" s="26" t="n"/>
      <c r="L432" s="24">
        <f>IF(ISNUMBER(I432),I432-IF(ISNUMBER(K432),K432,30),"")</f>
        <v/>
      </c>
      <c r="M432" s="27">
        <f>IF(I432="","",IF(ISNUMBER(I432),I432-TODAY(),"Check date"))</f>
        <v/>
      </c>
      <c r="N432" s="28">
        <f>IF(M432="","",IF(ISNUMBER(M432),IF(M432&lt;0,"Expired",IF(M432&lt;=30,"Due ≤30 days",IF(M432&lt;=90,"Due ≤90 days","OK"))),"Check date"))</f>
        <v/>
      </c>
      <c r="O432" s="24">
        <f>IF(ISNUMBER(E432),EDATE(E432,12*(IFERROR(DATEDIF(E432,TODAY(),"y"),0)+1)),"")</f>
        <v/>
      </c>
      <c r="P432" s="26" t="n"/>
      <c r="Q432" s="26" t="n"/>
      <c r="R432" s="27">
        <f>IF(LEN(A432)=0,"",MAX(0,IF(ISNUMBER(Q432),Q432,12)-N(P432)))</f>
        <v/>
      </c>
      <c r="S432" s="23" t="n"/>
      <c r="T432" s="27">
        <f>IF(S432="","",IF(ISNUMBER(S432),S432-TODAY(),"Check date"))</f>
        <v/>
      </c>
      <c r="U432" s="22" t="n"/>
      <c r="V432" s="22" t="n"/>
      <c r="W432" s="22" t="n"/>
      <c r="X432" s="22" t="n"/>
    </row>
    <row r="433">
      <c r="A433" s="22" t="n"/>
      <c r="B433" s="22" t="n"/>
      <c r="C433" s="22" t="n"/>
      <c r="D433" s="22" t="n"/>
      <c r="E433" s="23" t="n"/>
      <c r="F433" s="23" t="n"/>
      <c r="G433" s="23" t="n"/>
      <c r="H433" s="24">
        <f>IF(ISNUMBER(G433),EDATE(G433,24),"")</f>
        <v/>
      </c>
      <c r="I433" s="24">
        <f>IF(OR(AND(LEN(F433)&gt;0,ISNUMBER(F433)=FALSE),AND(LEN(G433)&gt;0,ISNUMBER(G433)=FALSE)),"Check date",IF(COUNT(F433,H433)=0,"",MIN(F433,H433)))</f>
        <v/>
      </c>
      <c r="J433" s="25">
        <f>IF(ISNUMBER(I433)=FALSE,"",IF(AND(ISNUMBER(H433),I433=H433),"24-month work rule","Registry expiry"))</f>
        <v/>
      </c>
      <c r="K433" s="26" t="n"/>
      <c r="L433" s="24">
        <f>IF(ISNUMBER(I433),I433-IF(ISNUMBER(K433),K433,30),"")</f>
        <v/>
      </c>
      <c r="M433" s="27">
        <f>IF(I433="","",IF(ISNUMBER(I433),I433-TODAY(),"Check date"))</f>
        <v/>
      </c>
      <c r="N433" s="28">
        <f>IF(M433="","",IF(ISNUMBER(M433),IF(M433&lt;0,"Expired",IF(M433&lt;=30,"Due ≤30 days",IF(M433&lt;=90,"Due ≤90 days","OK"))),"Check date"))</f>
        <v/>
      </c>
      <c r="O433" s="24">
        <f>IF(ISNUMBER(E433),EDATE(E433,12*(IFERROR(DATEDIF(E433,TODAY(),"y"),0)+1)),"")</f>
        <v/>
      </c>
      <c r="P433" s="26" t="n"/>
      <c r="Q433" s="26" t="n"/>
      <c r="R433" s="27">
        <f>IF(LEN(A433)=0,"",MAX(0,IF(ISNUMBER(Q433),Q433,12)-N(P433)))</f>
        <v/>
      </c>
      <c r="S433" s="23" t="n"/>
      <c r="T433" s="27">
        <f>IF(S433="","",IF(ISNUMBER(S433),S433-TODAY(),"Check date"))</f>
        <v/>
      </c>
      <c r="U433" s="22" t="n"/>
      <c r="V433" s="22" t="n"/>
      <c r="W433" s="22" t="n"/>
      <c r="X433" s="22" t="n"/>
    </row>
    <row r="434">
      <c r="A434" s="22" t="n"/>
      <c r="B434" s="22" t="n"/>
      <c r="C434" s="22" t="n"/>
      <c r="D434" s="22" t="n"/>
      <c r="E434" s="23" t="n"/>
      <c r="F434" s="23" t="n"/>
      <c r="G434" s="23" t="n"/>
      <c r="H434" s="24">
        <f>IF(ISNUMBER(G434),EDATE(G434,24),"")</f>
        <v/>
      </c>
      <c r="I434" s="24">
        <f>IF(OR(AND(LEN(F434)&gt;0,ISNUMBER(F434)=FALSE),AND(LEN(G434)&gt;0,ISNUMBER(G434)=FALSE)),"Check date",IF(COUNT(F434,H434)=0,"",MIN(F434,H434)))</f>
        <v/>
      </c>
      <c r="J434" s="25">
        <f>IF(ISNUMBER(I434)=FALSE,"",IF(AND(ISNUMBER(H434),I434=H434),"24-month work rule","Registry expiry"))</f>
        <v/>
      </c>
      <c r="K434" s="26" t="n"/>
      <c r="L434" s="24">
        <f>IF(ISNUMBER(I434),I434-IF(ISNUMBER(K434),K434,30),"")</f>
        <v/>
      </c>
      <c r="M434" s="27">
        <f>IF(I434="","",IF(ISNUMBER(I434),I434-TODAY(),"Check date"))</f>
        <v/>
      </c>
      <c r="N434" s="28">
        <f>IF(M434="","",IF(ISNUMBER(M434),IF(M434&lt;0,"Expired",IF(M434&lt;=30,"Due ≤30 days",IF(M434&lt;=90,"Due ≤90 days","OK"))),"Check date"))</f>
        <v/>
      </c>
      <c r="O434" s="24">
        <f>IF(ISNUMBER(E434),EDATE(E434,12*(IFERROR(DATEDIF(E434,TODAY(),"y"),0)+1)),"")</f>
        <v/>
      </c>
      <c r="P434" s="26" t="n"/>
      <c r="Q434" s="26" t="n"/>
      <c r="R434" s="27">
        <f>IF(LEN(A434)=0,"",MAX(0,IF(ISNUMBER(Q434),Q434,12)-N(P434)))</f>
        <v/>
      </c>
      <c r="S434" s="23" t="n"/>
      <c r="T434" s="27">
        <f>IF(S434="","",IF(ISNUMBER(S434),S434-TODAY(),"Check date"))</f>
        <v/>
      </c>
      <c r="U434" s="22" t="n"/>
      <c r="V434" s="22" t="n"/>
      <c r="W434" s="22" t="n"/>
      <c r="X434" s="22" t="n"/>
    </row>
    <row r="435">
      <c r="A435" s="22" t="n"/>
      <c r="B435" s="22" t="n"/>
      <c r="C435" s="22" t="n"/>
      <c r="D435" s="22" t="n"/>
      <c r="E435" s="23" t="n"/>
      <c r="F435" s="23" t="n"/>
      <c r="G435" s="23" t="n"/>
      <c r="H435" s="24">
        <f>IF(ISNUMBER(G435),EDATE(G435,24),"")</f>
        <v/>
      </c>
      <c r="I435" s="24">
        <f>IF(OR(AND(LEN(F435)&gt;0,ISNUMBER(F435)=FALSE),AND(LEN(G435)&gt;0,ISNUMBER(G435)=FALSE)),"Check date",IF(COUNT(F435,H435)=0,"",MIN(F435,H435)))</f>
        <v/>
      </c>
      <c r="J435" s="25">
        <f>IF(ISNUMBER(I435)=FALSE,"",IF(AND(ISNUMBER(H435),I435=H435),"24-month work rule","Registry expiry"))</f>
        <v/>
      </c>
      <c r="K435" s="26" t="n"/>
      <c r="L435" s="24">
        <f>IF(ISNUMBER(I435),I435-IF(ISNUMBER(K435),K435,30),"")</f>
        <v/>
      </c>
      <c r="M435" s="27">
        <f>IF(I435="","",IF(ISNUMBER(I435),I435-TODAY(),"Check date"))</f>
        <v/>
      </c>
      <c r="N435" s="28">
        <f>IF(M435="","",IF(ISNUMBER(M435),IF(M435&lt;0,"Expired",IF(M435&lt;=30,"Due ≤30 days",IF(M435&lt;=90,"Due ≤90 days","OK"))),"Check date"))</f>
        <v/>
      </c>
      <c r="O435" s="24">
        <f>IF(ISNUMBER(E435),EDATE(E435,12*(IFERROR(DATEDIF(E435,TODAY(),"y"),0)+1)),"")</f>
        <v/>
      </c>
      <c r="P435" s="26" t="n"/>
      <c r="Q435" s="26" t="n"/>
      <c r="R435" s="27">
        <f>IF(LEN(A435)=0,"",MAX(0,IF(ISNUMBER(Q435),Q435,12)-N(P435)))</f>
        <v/>
      </c>
      <c r="S435" s="23" t="n"/>
      <c r="T435" s="27">
        <f>IF(S435="","",IF(ISNUMBER(S435),S435-TODAY(),"Check date"))</f>
        <v/>
      </c>
      <c r="U435" s="22" t="n"/>
      <c r="V435" s="22" t="n"/>
      <c r="W435" s="22" t="n"/>
      <c r="X435" s="22" t="n"/>
    </row>
    <row r="436">
      <c r="A436" s="22" t="n"/>
      <c r="B436" s="22" t="n"/>
      <c r="C436" s="22" t="n"/>
      <c r="D436" s="22" t="n"/>
      <c r="E436" s="23" t="n"/>
      <c r="F436" s="23" t="n"/>
      <c r="G436" s="23" t="n"/>
      <c r="H436" s="24">
        <f>IF(ISNUMBER(G436),EDATE(G436,24),"")</f>
        <v/>
      </c>
      <c r="I436" s="24">
        <f>IF(OR(AND(LEN(F436)&gt;0,ISNUMBER(F436)=FALSE),AND(LEN(G436)&gt;0,ISNUMBER(G436)=FALSE)),"Check date",IF(COUNT(F436,H436)=0,"",MIN(F436,H436)))</f>
        <v/>
      </c>
      <c r="J436" s="25">
        <f>IF(ISNUMBER(I436)=FALSE,"",IF(AND(ISNUMBER(H436),I436=H436),"24-month work rule","Registry expiry"))</f>
        <v/>
      </c>
      <c r="K436" s="26" t="n"/>
      <c r="L436" s="24">
        <f>IF(ISNUMBER(I436),I436-IF(ISNUMBER(K436),K436,30),"")</f>
        <v/>
      </c>
      <c r="M436" s="27">
        <f>IF(I436="","",IF(ISNUMBER(I436),I436-TODAY(),"Check date"))</f>
        <v/>
      </c>
      <c r="N436" s="28">
        <f>IF(M436="","",IF(ISNUMBER(M436),IF(M436&lt;0,"Expired",IF(M436&lt;=30,"Due ≤30 days",IF(M436&lt;=90,"Due ≤90 days","OK"))),"Check date"))</f>
        <v/>
      </c>
      <c r="O436" s="24">
        <f>IF(ISNUMBER(E436),EDATE(E436,12*(IFERROR(DATEDIF(E436,TODAY(),"y"),0)+1)),"")</f>
        <v/>
      </c>
      <c r="P436" s="26" t="n"/>
      <c r="Q436" s="26" t="n"/>
      <c r="R436" s="27">
        <f>IF(LEN(A436)=0,"",MAX(0,IF(ISNUMBER(Q436),Q436,12)-N(P436)))</f>
        <v/>
      </c>
      <c r="S436" s="23" t="n"/>
      <c r="T436" s="27">
        <f>IF(S436="","",IF(ISNUMBER(S436),S436-TODAY(),"Check date"))</f>
        <v/>
      </c>
      <c r="U436" s="22" t="n"/>
      <c r="V436" s="22" t="n"/>
      <c r="W436" s="22" t="n"/>
      <c r="X436" s="22" t="n"/>
    </row>
    <row r="437">
      <c r="A437" s="22" t="n"/>
      <c r="B437" s="22" t="n"/>
      <c r="C437" s="22" t="n"/>
      <c r="D437" s="22" t="n"/>
      <c r="E437" s="23" t="n"/>
      <c r="F437" s="23" t="n"/>
      <c r="G437" s="23" t="n"/>
      <c r="H437" s="24">
        <f>IF(ISNUMBER(G437),EDATE(G437,24),"")</f>
        <v/>
      </c>
      <c r="I437" s="24">
        <f>IF(OR(AND(LEN(F437)&gt;0,ISNUMBER(F437)=FALSE),AND(LEN(G437)&gt;0,ISNUMBER(G437)=FALSE)),"Check date",IF(COUNT(F437,H437)=0,"",MIN(F437,H437)))</f>
        <v/>
      </c>
      <c r="J437" s="25">
        <f>IF(ISNUMBER(I437)=FALSE,"",IF(AND(ISNUMBER(H437),I437=H437),"24-month work rule","Registry expiry"))</f>
        <v/>
      </c>
      <c r="K437" s="26" t="n"/>
      <c r="L437" s="24">
        <f>IF(ISNUMBER(I437),I437-IF(ISNUMBER(K437),K437,30),"")</f>
        <v/>
      </c>
      <c r="M437" s="27">
        <f>IF(I437="","",IF(ISNUMBER(I437),I437-TODAY(),"Check date"))</f>
        <v/>
      </c>
      <c r="N437" s="28">
        <f>IF(M437="","",IF(ISNUMBER(M437),IF(M437&lt;0,"Expired",IF(M437&lt;=30,"Due ≤30 days",IF(M437&lt;=90,"Due ≤90 days","OK"))),"Check date"))</f>
        <v/>
      </c>
      <c r="O437" s="24">
        <f>IF(ISNUMBER(E437),EDATE(E437,12*(IFERROR(DATEDIF(E437,TODAY(),"y"),0)+1)),"")</f>
        <v/>
      </c>
      <c r="P437" s="26" t="n"/>
      <c r="Q437" s="26" t="n"/>
      <c r="R437" s="27">
        <f>IF(LEN(A437)=0,"",MAX(0,IF(ISNUMBER(Q437),Q437,12)-N(P437)))</f>
        <v/>
      </c>
      <c r="S437" s="23" t="n"/>
      <c r="T437" s="27">
        <f>IF(S437="","",IF(ISNUMBER(S437),S437-TODAY(),"Check date"))</f>
        <v/>
      </c>
      <c r="U437" s="22" t="n"/>
      <c r="V437" s="22" t="n"/>
      <c r="W437" s="22" t="n"/>
      <c r="X437" s="22" t="n"/>
    </row>
    <row r="438">
      <c r="A438" s="22" t="n"/>
      <c r="B438" s="22" t="n"/>
      <c r="C438" s="22" t="n"/>
      <c r="D438" s="22" t="n"/>
      <c r="E438" s="23" t="n"/>
      <c r="F438" s="23" t="n"/>
      <c r="G438" s="23" t="n"/>
      <c r="H438" s="24">
        <f>IF(ISNUMBER(G438),EDATE(G438,24),"")</f>
        <v/>
      </c>
      <c r="I438" s="24">
        <f>IF(OR(AND(LEN(F438)&gt;0,ISNUMBER(F438)=FALSE),AND(LEN(G438)&gt;0,ISNUMBER(G438)=FALSE)),"Check date",IF(COUNT(F438,H438)=0,"",MIN(F438,H438)))</f>
        <v/>
      </c>
      <c r="J438" s="25">
        <f>IF(ISNUMBER(I438)=FALSE,"",IF(AND(ISNUMBER(H438),I438=H438),"24-month work rule","Registry expiry"))</f>
        <v/>
      </c>
      <c r="K438" s="26" t="n"/>
      <c r="L438" s="24">
        <f>IF(ISNUMBER(I438),I438-IF(ISNUMBER(K438),K438,30),"")</f>
        <v/>
      </c>
      <c r="M438" s="27">
        <f>IF(I438="","",IF(ISNUMBER(I438),I438-TODAY(),"Check date"))</f>
        <v/>
      </c>
      <c r="N438" s="28">
        <f>IF(M438="","",IF(ISNUMBER(M438),IF(M438&lt;0,"Expired",IF(M438&lt;=30,"Due ≤30 days",IF(M438&lt;=90,"Due ≤90 days","OK"))),"Check date"))</f>
        <v/>
      </c>
      <c r="O438" s="24">
        <f>IF(ISNUMBER(E438),EDATE(E438,12*(IFERROR(DATEDIF(E438,TODAY(),"y"),0)+1)),"")</f>
        <v/>
      </c>
      <c r="P438" s="26" t="n"/>
      <c r="Q438" s="26" t="n"/>
      <c r="R438" s="27">
        <f>IF(LEN(A438)=0,"",MAX(0,IF(ISNUMBER(Q438),Q438,12)-N(P438)))</f>
        <v/>
      </c>
      <c r="S438" s="23" t="n"/>
      <c r="T438" s="27">
        <f>IF(S438="","",IF(ISNUMBER(S438),S438-TODAY(),"Check date"))</f>
        <v/>
      </c>
      <c r="U438" s="22" t="n"/>
      <c r="V438" s="22" t="n"/>
      <c r="W438" s="22" t="n"/>
      <c r="X438" s="22" t="n"/>
    </row>
    <row r="439">
      <c r="A439" s="22" t="n"/>
      <c r="B439" s="22" t="n"/>
      <c r="C439" s="22" t="n"/>
      <c r="D439" s="22" t="n"/>
      <c r="E439" s="23" t="n"/>
      <c r="F439" s="23" t="n"/>
      <c r="G439" s="23" t="n"/>
      <c r="H439" s="24">
        <f>IF(ISNUMBER(G439),EDATE(G439,24),"")</f>
        <v/>
      </c>
      <c r="I439" s="24">
        <f>IF(OR(AND(LEN(F439)&gt;0,ISNUMBER(F439)=FALSE),AND(LEN(G439)&gt;0,ISNUMBER(G439)=FALSE)),"Check date",IF(COUNT(F439,H439)=0,"",MIN(F439,H439)))</f>
        <v/>
      </c>
      <c r="J439" s="25">
        <f>IF(ISNUMBER(I439)=FALSE,"",IF(AND(ISNUMBER(H439),I439=H439),"24-month work rule","Registry expiry"))</f>
        <v/>
      </c>
      <c r="K439" s="26" t="n"/>
      <c r="L439" s="24">
        <f>IF(ISNUMBER(I439),I439-IF(ISNUMBER(K439),K439,30),"")</f>
        <v/>
      </c>
      <c r="M439" s="27">
        <f>IF(I439="","",IF(ISNUMBER(I439),I439-TODAY(),"Check date"))</f>
        <v/>
      </c>
      <c r="N439" s="28">
        <f>IF(M439="","",IF(ISNUMBER(M439),IF(M439&lt;0,"Expired",IF(M439&lt;=30,"Due ≤30 days",IF(M439&lt;=90,"Due ≤90 days","OK"))),"Check date"))</f>
        <v/>
      </c>
      <c r="O439" s="24">
        <f>IF(ISNUMBER(E439),EDATE(E439,12*(IFERROR(DATEDIF(E439,TODAY(),"y"),0)+1)),"")</f>
        <v/>
      </c>
      <c r="P439" s="26" t="n"/>
      <c r="Q439" s="26" t="n"/>
      <c r="R439" s="27">
        <f>IF(LEN(A439)=0,"",MAX(0,IF(ISNUMBER(Q439),Q439,12)-N(P439)))</f>
        <v/>
      </c>
      <c r="S439" s="23" t="n"/>
      <c r="T439" s="27">
        <f>IF(S439="","",IF(ISNUMBER(S439),S439-TODAY(),"Check date"))</f>
        <v/>
      </c>
      <c r="U439" s="22" t="n"/>
      <c r="V439" s="22" t="n"/>
      <c r="W439" s="22" t="n"/>
      <c r="X439" s="22" t="n"/>
    </row>
    <row r="440">
      <c r="A440" s="22" t="n"/>
      <c r="B440" s="22" t="n"/>
      <c r="C440" s="22" t="n"/>
      <c r="D440" s="22" t="n"/>
      <c r="E440" s="23" t="n"/>
      <c r="F440" s="23" t="n"/>
      <c r="G440" s="23" t="n"/>
      <c r="H440" s="24">
        <f>IF(ISNUMBER(G440),EDATE(G440,24),"")</f>
        <v/>
      </c>
      <c r="I440" s="24">
        <f>IF(OR(AND(LEN(F440)&gt;0,ISNUMBER(F440)=FALSE),AND(LEN(G440)&gt;0,ISNUMBER(G440)=FALSE)),"Check date",IF(COUNT(F440,H440)=0,"",MIN(F440,H440)))</f>
        <v/>
      </c>
      <c r="J440" s="25">
        <f>IF(ISNUMBER(I440)=FALSE,"",IF(AND(ISNUMBER(H440),I440=H440),"24-month work rule","Registry expiry"))</f>
        <v/>
      </c>
      <c r="K440" s="26" t="n"/>
      <c r="L440" s="24">
        <f>IF(ISNUMBER(I440),I440-IF(ISNUMBER(K440),K440,30),"")</f>
        <v/>
      </c>
      <c r="M440" s="27">
        <f>IF(I440="","",IF(ISNUMBER(I440),I440-TODAY(),"Check date"))</f>
        <v/>
      </c>
      <c r="N440" s="28">
        <f>IF(M440="","",IF(ISNUMBER(M440),IF(M440&lt;0,"Expired",IF(M440&lt;=30,"Due ≤30 days",IF(M440&lt;=90,"Due ≤90 days","OK"))),"Check date"))</f>
        <v/>
      </c>
      <c r="O440" s="24">
        <f>IF(ISNUMBER(E440),EDATE(E440,12*(IFERROR(DATEDIF(E440,TODAY(),"y"),0)+1)),"")</f>
        <v/>
      </c>
      <c r="P440" s="26" t="n"/>
      <c r="Q440" s="26" t="n"/>
      <c r="R440" s="27">
        <f>IF(LEN(A440)=0,"",MAX(0,IF(ISNUMBER(Q440),Q440,12)-N(P440)))</f>
        <v/>
      </c>
      <c r="S440" s="23" t="n"/>
      <c r="T440" s="27">
        <f>IF(S440="","",IF(ISNUMBER(S440),S440-TODAY(),"Check date"))</f>
        <v/>
      </c>
      <c r="U440" s="22" t="n"/>
      <c r="V440" s="22" t="n"/>
      <c r="W440" s="22" t="n"/>
      <c r="X440" s="22" t="n"/>
    </row>
    <row r="441">
      <c r="A441" s="22" t="n"/>
      <c r="B441" s="22" t="n"/>
      <c r="C441" s="22" t="n"/>
      <c r="D441" s="22" t="n"/>
      <c r="E441" s="23" t="n"/>
      <c r="F441" s="23" t="n"/>
      <c r="G441" s="23" t="n"/>
      <c r="H441" s="24">
        <f>IF(ISNUMBER(G441),EDATE(G441,24),"")</f>
        <v/>
      </c>
      <c r="I441" s="24">
        <f>IF(OR(AND(LEN(F441)&gt;0,ISNUMBER(F441)=FALSE),AND(LEN(G441)&gt;0,ISNUMBER(G441)=FALSE)),"Check date",IF(COUNT(F441,H441)=0,"",MIN(F441,H441)))</f>
        <v/>
      </c>
      <c r="J441" s="25">
        <f>IF(ISNUMBER(I441)=FALSE,"",IF(AND(ISNUMBER(H441),I441=H441),"24-month work rule","Registry expiry"))</f>
        <v/>
      </c>
      <c r="K441" s="26" t="n"/>
      <c r="L441" s="24">
        <f>IF(ISNUMBER(I441),I441-IF(ISNUMBER(K441),K441,30),"")</f>
        <v/>
      </c>
      <c r="M441" s="27">
        <f>IF(I441="","",IF(ISNUMBER(I441),I441-TODAY(),"Check date"))</f>
        <v/>
      </c>
      <c r="N441" s="28">
        <f>IF(M441="","",IF(ISNUMBER(M441),IF(M441&lt;0,"Expired",IF(M441&lt;=30,"Due ≤30 days",IF(M441&lt;=90,"Due ≤90 days","OK"))),"Check date"))</f>
        <v/>
      </c>
      <c r="O441" s="24">
        <f>IF(ISNUMBER(E441),EDATE(E441,12*(IFERROR(DATEDIF(E441,TODAY(),"y"),0)+1)),"")</f>
        <v/>
      </c>
      <c r="P441" s="26" t="n"/>
      <c r="Q441" s="26" t="n"/>
      <c r="R441" s="27">
        <f>IF(LEN(A441)=0,"",MAX(0,IF(ISNUMBER(Q441),Q441,12)-N(P441)))</f>
        <v/>
      </c>
      <c r="S441" s="23" t="n"/>
      <c r="T441" s="27">
        <f>IF(S441="","",IF(ISNUMBER(S441),S441-TODAY(),"Check date"))</f>
        <v/>
      </c>
      <c r="U441" s="22" t="n"/>
      <c r="V441" s="22" t="n"/>
      <c r="W441" s="22" t="n"/>
      <c r="X441" s="22" t="n"/>
    </row>
    <row r="442">
      <c r="A442" s="22" t="n"/>
      <c r="B442" s="22" t="n"/>
      <c r="C442" s="22" t="n"/>
      <c r="D442" s="22" t="n"/>
      <c r="E442" s="23" t="n"/>
      <c r="F442" s="23" t="n"/>
      <c r="G442" s="23" t="n"/>
      <c r="H442" s="24">
        <f>IF(ISNUMBER(G442),EDATE(G442,24),"")</f>
        <v/>
      </c>
      <c r="I442" s="24">
        <f>IF(OR(AND(LEN(F442)&gt;0,ISNUMBER(F442)=FALSE),AND(LEN(G442)&gt;0,ISNUMBER(G442)=FALSE)),"Check date",IF(COUNT(F442,H442)=0,"",MIN(F442,H442)))</f>
        <v/>
      </c>
      <c r="J442" s="25">
        <f>IF(ISNUMBER(I442)=FALSE,"",IF(AND(ISNUMBER(H442),I442=H442),"24-month work rule","Registry expiry"))</f>
        <v/>
      </c>
      <c r="K442" s="26" t="n"/>
      <c r="L442" s="24">
        <f>IF(ISNUMBER(I442),I442-IF(ISNUMBER(K442),K442,30),"")</f>
        <v/>
      </c>
      <c r="M442" s="27">
        <f>IF(I442="","",IF(ISNUMBER(I442),I442-TODAY(),"Check date"))</f>
        <v/>
      </c>
      <c r="N442" s="28">
        <f>IF(M442="","",IF(ISNUMBER(M442),IF(M442&lt;0,"Expired",IF(M442&lt;=30,"Due ≤30 days",IF(M442&lt;=90,"Due ≤90 days","OK"))),"Check date"))</f>
        <v/>
      </c>
      <c r="O442" s="24">
        <f>IF(ISNUMBER(E442),EDATE(E442,12*(IFERROR(DATEDIF(E442,TODAY(),"y"),0)+1)),"")</f>
        <v/>
      </c>
      <c r="P442" s="26" t="n"/>
      <c r="Q442" s="26" t="n"/>
      <c r="R442" s="27">
        <f>IF(LEN(A442)=0,"",MAX(0,IF(ISNUMBER(Q442),Q442,12)-N(P442)))</f>
        <v/>
      </c>
      <c r="S442" s="23" t="n"/>
      <c r="T442" s="27">
        <f>IF(S442="","",IF(ISNUMBER(S442),S442-TODAY(),"Check date"))</f>
        <v/>
      </c>
      <c r="U442" s="22" t="n"/>
      <c r="V442" s="22" t="n"/>
      <c r="W442" s="22" t="n"/>
      <c r="X442" s="22" t="n"/>
    </row>
    <row r="443">
      <c r="A443" s="22" t="n"/>
      <c r="B443" s="22" t="n"/>
      <c r="C443" s="22" t="n"/>
      <c r="D443" s="22" t="n"/>
      <c r="E443" s="23" t="n"/>
      <c r="F443" s="23" t="n"/>
      <c r="G443" s="23" t="n"/>
      <c r="H443" s="24">
        <f>IF(ISNUMBER(G443),EDATE(G443,24),"")</f>
        <v/>
      </c>
      <c r="I443" s="24">
        <f>IF(OR(AND(LEN(F443)&gt;0,ISNUMBER(F443)=FALSE),AND(LEN(G443)&gt;0,ISNUMBER(G443)=FALSE)),"Check date",IF(COUNT(F443,H443)=0,"",MIN(F443,H443)))</f>
        <v/>
      </c>
      <c r="J443" s="25">
        <f>IF(ISNUMBER(I443)=FALSE,"",IF(AND(ISNUMBER(H443),I443=H443),"24-month work rule","Registry expiry"))</f>
        <v/>
      </c>
      <c r="K443" s="26" t="n"/>
      <c r="L443" s="24">
        <f>IF(ISNUMBER(I443),I443-IF(ISNUMBER(K443),K443,30),"")</f>
        <v/>
      </c>
      <c r="M443" s="27">
        <f>IF(I443="","",IF(ISNUMBER(I443),I443-TODAY(),"Check date"))</f>
        <v/>
      </c>
      <c r="N443" s="28">
        <f>IF(M443="","",IF(ISNUMBER(M443),IF(M443&lt;0,"Expired",IF(M443&lt;=30,"Due ≤30 days",IF(M443&lt;=90,"Due ≤90 days","OK"))),"Check date"))</f>
        <v/>
      </c>
      <c r="O443" s="24">
        <f>IF(ISNUMBER(E443),EDATE(E443,12*(IFERROR(DATEDIF(E443,TODAY(),"y"),0)+1)),"")</f>
        <v/>
      </c>
      <c r="P443" s="26" t="n"/>
      <c r="Q443" s="26" t="n"/>
      <c r="R443" s="27">
        <f>IF(LEN(A443)=0,"",MAX(0,IF(ISNUMBER(Q443),Q443,12)-N(P443)))</f>
        <v/>
      </c>
      <c r="S443" s="23" t="n"/>
      <c r="T443" s="27">
        <f>IF(S443="","",IF(ISNUMBER(S443),S443-TODAY(),"Check date"))</f>
        <v/>
      </c>
      <c r="U443" s="22" t="n"/>
      <c r="V443" s="22" t="n"/>
      <c r="W443" s="22" t="n"/>
      <c r="X443" s="22" t="n"/>
    </row>
    <row r="444">
      <c r="A444" s="22" t="n"/>
      <c r="B444" s="22" t="n"/>
      <c r="C444" s="22" t="n"/>
      <c r="D444" s="22" t="n"/>
      <c r="E444" s="23" t="n"/>
      <c r="F444" s="23" t="n"/>
      <c r="G444" s="23" t="n"/>
      <c r="H444" s="24">
        <f>IF(ISNUMBER(G444),EDATE(G444,24),"")</f>
        <v/>
      </c>
      <c r="I444" s="24">
        <f>IF(OR(AND(LEN(F444)&gt;0,ISNUMBER(F444)=FALSE),AND(LEN(G444)&gt;0,ISNUMBER(G444)=FALSE)),"Check date",IF(COUNT(F444,H444)=0,"",MIN(F444,H444)))</f>
        <v/>
      </c>
      <c r="J444" s="25">
        <f>IF(ISNUMBER(I444)=FALSE,"",IF(AND(ISNUMBER(H444),I444=H444),"24-month work rule","Registry expiry"))</f>
        <v/>
      </c>
      <c r="K444" s="26" t="n"/>
      <c r="L444" s="24">
        <f>IF(ISNUMBER(I444),I444-IF(ISNUMBER(K444),K444,30),"")</f>
        <v/>
      </c>
      <c r="M444" s="27">
        <f>IF(I444="","",IF(ISNUMBER(I444),I444-TODAY(),"Check date"))</f>
        <v/>
      </c>
      <c r="N444" s="28">
        <f>IF(M444="","",IF(ISNUMBER(M444),IF(M444&lt;0,"Expired",IF(M444&lt;=30,"Due ≤30 days",IF(M444&lt;=90,"Due ≤90 days","OK"))),"Check date"))</f>
        <v/>
      </c>
      <c r="O444" s="24">
        <f>IF(ISNUMBER(E444),EDATE(E444,12*(IFERROR(DATEDIF(E444,TODAY(),"y"),0)+1)),"")</f>
        <v/>
      </c>
      <c r="P444" s="26" t="n"/>
      <c r="Q444" s="26" t="n"/>
      <c r="R444" s="27">
        <f>IF(LEN(A444)=0,"",MAX(0,IF(ISNUMBER(Q444),Q444,12)-N(P444)))</f>
        <v/>
      </c>
      <c r="S444" s="23" t="n"/>
      <c r="T444" s="27">
        <f>IF(S444="","",IF(ISNUMBER(S444),S444-TODAY(),"Check date"))</f>
        <v/>
      </c>
      <c r="U444" s="22" t="n"/>
      <c r="V444" s="22" t="n"/>
      <c r="W444" s="22" t="n"/>
      <c r="X444" s="22" t="n"/>
    </row>
    <row r="445">
      <c r="A445" s="22" t="n"/>
      <c r="B445" s="22" t="n"/>
      <c r="C445" s="22" t="n"/>
      <c r="D445" s="22" t="n"/>
      <c r="E445" s="23" t="n"/>
      <c r="F445" s="23" t="n"/>
      <c r="G445" s="23" t="n"/>
      <c r="H445" s="24">
        <f>IF(ISNUMBER(G445),EDATE(G445,24),"")</f>
        <v/>
      </c>
      <c r="I445" s="24">
        <f>IF(OR(AND(LEN(F445)&gt;0,ISNUMBER(F445)=FALSE),AND(LEN(G445)&gt;0,ISNUMBER(G445)=FALSE)),"Check date",IF(COUNT(F445,H445)=0,"",MIN(F445,H445)))</f>
        <v/>
      </c>
      <c r="J445" s="25">
        <f>IF(ISNUMBER(I445)=FALSE,"",IF(AND(ISNUMBER(H445),I445=H445),"24-month work rule","Registry expiry"))</f>
        <v/>
      </c>
      <c r="K445" s="26" t="n"/>
      <c r="L445" s="24">
        <f>IF(ISNUMBER(I445),I445-IF(ISNUMBER(K445),K445,30),"")</f>
        <v/>
      </c>
      <c r="M445" s="27">
        <f>IF(I445="","",IF(ISNUMBER(I445),I445-TODAY(),"Check date"))</f>
        <v/>
      </c>
      <c r="N445" s="28">
        <f>IF(M445="","",IF(ISNUMBER(M445),IF(M445&lt;0,"Expired",IF(M445&lt;=30,"Due ≤30 days",IF(M445&lt;=90,"Due ≤90 days","OK"))),"Check date"))</f>
        <v/>
      </c>
      <c r="O445" s="24">
        <f>IF(ISNUMBER(E445),EDATE(E445,12*(IFERROR(DATEDIF(E445,TODAY(),"y"),0)+1)),"")</f>
        <v/>
      </c>
      <c r="P445" s="26" t="n"/>
      <c r="Q445" s="26" t="n"/>
      <c r="R445" s="27">
        <f>IF(LEN(A445)=0,"",MAX(0,IF(ISNUMBER(Q445),Q445,12)-N(P445)))</f>
        <v/>
      </c>
      <c r="S445" s="23" t="n"/>
      <c r="T445" s="27">
        <f>IF(S445="","",IF(ISNUMBER(S445),S445-TODAY(),"Check date"))</f>
        <v/>
      </c>
      <c r="U445" s="22" t="n"/>
      <c r="V445" s="22" t="n"/>
      <c r="W445" s="22" t="n"/>
      <c r="X445" s="22" t="n"/>
    </row>
    <row r="446">
      <c r="A446" s="22" t="n"/>
      <c r="B446" s="22" t="n"/>
      <c r="C446" s="22" t="n"/>
      <c r="D446" s="22" t="n"/>
      <c r="E446" s="23" t="n"/>
      <c r="F446" s="23" t="n"/>
      <c r="G446" s="23" t="n"/>
      <c r="H446" s="24">
        <f>IF(ISNUMBER(G446),EDATE(G446,24),"")</f>
        <v/>
      </c>
      <c r="I446" s="24">
        <f>IF(OR(AND(LEN(F446)&gt;0,ISNUMBER(F446)=FALSE),AND(LEN(G446)&gt;0,ISNUMBER(G446)=FALSE)),"Check date",IF(COUNT(F446,H446)=0,"",MIN(F446,H446)))</f>
        <v/>
      </c>
      <c r="J446" s="25">
        <f>IF(ISNUMBER(I446)=FALSE,"",IF(AND(ISNUMBER(H446),I446=H446),"24-month work rule","Registry expiry"))</f>
        <v/>
      </c>
      <c r="K446" s="26" t="n"/>
      <c r="L446" s="24">
        <f>IF(ISNUMBER(I446),I446-IF(ISNUMBER(K446),K446,30),"")</f>
        <v/>
      </c>
      <c r="M446" s="27">
        <f>IF(I446="","",IF(ISNUMBER(I446),I446-TODAY(),"Check date"))</f>
        <v/>
      </c>
      <c r="N446" s="28">
        <f>IF(M446="","",IF(ISNUMBER(M446),IF(M446&lt;0,"Expired",IF(M446&lt;=30,"Due ≤30 days",IF(M446&lt;=90,"Due ≤90 days","OK"))),"Check date"))</f>
        <v/>
      </c>
      <c r="O446" s="24">
        <f>IF(ISNUMBER(E446),EDATE(E446,12*(IFERROR(DATEDIF(E446,TODAY(),"y"),0)+1)),"")</f>
        <v/>
      </c>
      <c r="P446" s="26" t="n"/>
      <c r="Q446" s="26" t="n"/>
      <c r="R446" s="27">
        <f>IF(LEN(A446)=0,"",MAX(0,IF(ISNUMBER(Q446),Q446,12)-N(P446)))</f>
        <v/>
      </c>
      <c r="S446" s="23" t="n"/>
      <c r="T446" s="27">
        <f>IF(S446="","",IF(ISNUMBER(S446),S446-TODAY(),"Check date"))</f>
        <v/>
      </c>
      <c r="U446" s="22" t="n"/>
      <c r="V446" s="22" t="n"/>
      <c r="W446" s="22" t="n"/>
      <c r="X446" s="22" t="n"/>
    </row>
    <row r="447">
      <c r="A447" s="22" t="n"/>
      <c r="B447" s="22" t="n"/>
      <c r="C447" s="22" t="n"/>
      <c r="D447" s="22" t="n"/>
      <c r="E447" s="23" t="n"/>
      <c r="F447" s="23" t="n"/>
      <c r="G447" s="23" t="n"/>
      <c r="H447" s="24">
        <f>IF(ISNUMBER(G447),EDATE(G447,24),"")</f>
        <v/>
      </c>
      <c r="I447" s="24">
        <f>IF(OR(AND(LEN(F447)&gt;0,ISNUMBER(F447)=FALSE),AND(LEN(G447)&gt;0,ISNUMBER(G447)=FALSE)),"Check date",IF(COUNT(F447,H447)=0,"",MIN(F447,H447)))</f>
        <v/>
      </c>
      <c r="J447" s="25">
        <f>IF(ISNUMBER(I447)=FALSE,"",IF(AND(ISNUMBER(H447),I447=H447),"24-month work rule","Registry expiry"))</f>
        <v/>
      </c>
      <c r="K447" s="26" t="n"/>
      <c r="L447" s="24">
        <f>IF(ISNUMBER(I447),I447-IF(ISNUMBER(K447),K447,30),"")</f>
        <v/>
      </c>
      <c r="M447" s="27">
        <f>IF(I447="","",IF(ISNUMBER(I447),I447-TODAY(),"Check date"))</f>
        <v/>
      </c>
      <c r="N447" s="28">
        <f>IF(M447="","",IF(ISNUMBER(M447),IF(M447&lt;0,"Expired",IF(M447&lt;=30,"Due ≤30 days",IF(M447&lt;=90,"Due ≤90 days","OK"))),"Check date"))</f>
        <v/>
      </c>
      <c r="O447" s="24">
        <f>IF(ISNUMBER(E447),EDATE(E447,12*(IFERROR(DATEDIF(E447,TODAY(),"y"),0)+1)),"")</f>
        <v/>
      </c>
      <c r="P447" s="26" t="n"/>
      <c r="Q447" s="26" t="n"/>
      <c r="R447" s="27">
        <f>IF(LEN(A447)=0,"",MAX(0,IF(ISNUMBER(Q447),Q447,12)-N(P447)))</f>
        <v/>
      </c>
      <c r="S447" s="23" t="n"/>
      <c r="T447" s="27">
        <f>IF(S447="","",IF(ISNUMBER(S447),S447-TODAY(),"Check date"))</f>
        <v/>
      </c>
      <c r="U447" s="22" t="n"/>
      <c r="V447" s="22" t="n"/>
      <c r="W447" s="22" t="n"/>
      <c r="X447" s="22" t="n"/>
    </row>
    <row r="448">
      <c r="A448" s="22" t="n"/>
      <c r="B448" s="22" t="n"/>
      <c r="C448" s="22" t="n"/>
      <c r="D448" s="22" t="n"/>
      <c r="E448" s="23" t="n"/>
      <c r="F448" s="23" t="n"/>
      <c r="G448" s="23" t="n"/>
      <c r="H448" s="24">
        <f>IF(ISNUMBER(G448),EDATE(G448,24),"")</f>
        <v/>
      </c>
      <c r="I448" s="24">
        <f>IF(OR(AND(LEN(F448)&gt;0,ISNUMBER(F448)=FALSE),AND(LEN(G448)&gt;0,ISNUMBER(G448)=FALSE)),"Check date",IF(COUNT(F448,H448)=0,"",MIN(F448,H448)))</f>
        <v/>
      </c>
      <c r="J448" s="25">
        <f>IF(ISNUMBER(I448)=FALSE,"",IF(AND(ISNUMBER(H448),I448=H448),"24-month work rule","Registry expiry"))</f>
        <v/>
      </c>
      <c r="K448" s="26" t="n"/>
      <c r="L448" s="24">
        <f>IF(ISNUMBER(I448),I448-IF(ISNUMBER(K448),K448,30),"")</f>
        <v/>
      </c>
      <c r="M448" s="27">
        <f>IF(I448="","",IF(ISNUMBER(I448),I448-TODAY(),"Check date"))</f>
        <v/>
      </c>
      <c r="N448" s="28">
        <f>IF(M448="","",IF(ISNUMBER(M448),IF(M448&lt;0,"Expired",IF(M448&lt;=30,"Due ≤30 days",IF(M448&lt;=90,"Due ≤90 days","OK"))),"Check date"))</f>
        <v/>
      </c>
      <c r="O448" s="24">
        <f>IF(ISNUMBER(E448),EDATE(E448,12*(IFERROR(DATEDIF(E448,TODAY(),"y"),0)+1)),"")</f>
        <v/>
      </c>
      <c r="P448" s="26" t="n"/>
      <c r="Q448" s="26" t="n"/>
      <c r="R448" s="27">
        <f>IF(LEN(A448)=0,"",MAX(0,IF(ISNUMBER(Q448),Q448,12)-N(P448)))</f>
        <v/>
      </c>
      <c r="S448" s="23" t="n"/>
      <c r="T448" s="27">
        <f>IF(S448="","",IF(ISNUMBER(S448),S448-TODAY(),"Check date"))</f>
        <v/>
      </c>
      <c r="U448" s="22" t="n"/>
      <c r="V448" s="22" t="n"/>
      <c r="W448" s="22" t="n"/>
      <c r="X448" s="22" t="n"/>
    </row>
    <row r="449">
      <c r="A449" s="22" t="n"/>
      <c r="B449" s="22" t="n"/>
      <c r="C449" s="22" t="n"/>
      <c r="D449" s="22" t="n"/>
      <c r="E449" s="23" t="n"/>
      <c r="F449" s="23" t="n"/>
      <c r="G449" s="23" t="n"/>
      <c r="H449" s="24">
        <f>IF(ISNUMBER(G449),EDATE(G449,24),"")</f>
        <v/>
      </c>
      <c r="I449" s="24">
        <f>IF(OR(AND(LEN(F449)&gt;0,ISNUMBER(F449)=FALSE),AND(LEN(G449)&gt;0,ISNUMBER(G449)=FALSE)),"Check date",IF(COUNT(F449,H449)=0,"",MIN(F449,H449)))</f>
        <v/>
      </c>
      <c r="J449" s="25">
        <f>IF(ISNUMBER(I449)=FALSE,"",IF(AND(ISNUMBER(H449),I449=H449),"24-month work rule","Registry expiry"))</f>
        <v/>
      </c>
      <c r="K449" s="26" t="n"/>
      <c r="L449" s="24">
        <f>IF(ISNUMBER(I449),I449-IF(ISNUMBER(K449),K449,30),"")</f>
        <v/>
      </c>
      <c r="M449" s="27">
        <f>IF(I449="","",IF(ISNUMBER(I449),I449-TODAY(),"Check date"))</f>
        <v/>
      </c>
      <c r="N449" s="28">
        <f>IF(M449="","",IF(ISNUMBER(M449),IF(M449&lt;0,"Expired",IF(M449&lt;=30,"Due ≤30 days",IF(M449&lt;=90,"Due ≤90 days","OK"))),"Check date"))</f>
        <v/>
      </c>
      <c r="O449" s="24">
        <f>IF(ISNUMBER(E449),EDATE(E449,12*(IFERROR(DATEDIF(E449,TODAY(),"y"),0)+1)),"")</f>
        <v/>
      </c>
      <c r="P449" s="26" t="n"/>
      <c r="Q449" s="26" t="n"/>
      <c r="R449" s="27">
        <f>IF(LEN(A449)=0,"",MAX(0,IF(ISNUMBER(Q449),Q449,12)-N(P449)))</f>
        <v/>
      </c>
      <c r="S449" s="23" t="n"/>
      <c r="T449" s="27">
        <f>IF(S449="","",IF(ISNUMBER(S449),S449-TODAY(),"Check date"))</f>
        <v/>
      </c>
      <c r="U449" s="22" t="n"/>
      <c r="V449" s="22" t="n"/>
      <c r="W449" s="22" t="n"/>
      <c r="X449" s="22" t="n"/>
    </row>
    <row r="450">
      <c r="A450" s="22" t="n"/>
      <c r="B450" s="22" t="n"/>
      <c r="C450" s="22" t="n"/>
      <c r="D450" s="22" t="n"/>
      <c r="E450" s="23" t="n"/>
      <c r="F450" s="23" t="n"/>
      <c r="G450" s="23" t="n"/>
      <c r="H450" s="24">
        <f>IF(ISNUMBER(G450),EDATE(G450,24),"")</f>
        <v/>
      </c>
      <c r="I450" s="24">
        <f>IF(OR(AND(LEN(F450)&gt;0,ISNUMBER(F450)=FALSE),AND(LEN(G450)&gt;0,ISNUMBER(G450)=FALSE)),"Check date",IF(COUNT(F450,H450)=0,"",MIN(F450,H450)))</f>
        <v/>
      </c>
      <c r="J450" s="25">
        <f>IF(ISNUMBER(I450)=FALSE,"",IF(AND(ISNUMBER(H450),I450=H450),"24-month work rule","Registry expiry"))</f>
        <v/>
      </c>
      <c r="K450" s="26" t="n"/>
      <c r="L450" s="24">
        <f>IF(ISNUMBER(I450),I450-IF(ISNUMBER(K450),K450,30),"")</f>
        <v/>
      </c>
      <c r="M450" s="27">
        <f>IF(I450="","",IF(ISNUMBER(I450),I450-TODAY(),"Check date"))</f>
        <v/>
      </c>
      <c r="N450" s="28">
        <f>IF(M450="","",IF(ISNUMBER(M450),IF(M450&lt;0,"Expired",IF(M450&lt;=30,"Due ≤30 days",IF(M450&lt;=90,"Due ≤90 days","OK"))),"Check date"))</f>
        <v/>
      </c>
      <c r="O450" s="24">
        <f>IF(ISNUMBER(E450),EDATE(E450,12*(IFERROR(DATEDIF(E450,TODAY(),"y"),0)+1)),"")</f>
        <v/>
      </c>
      <c r="P450" s="26" t="n"/>
      <c r="Q450" s="26" t="n"/>
      <c r="R450" s="27">
        <f>IF(LEN(A450)=0,"",MAX(0,IF(ISNUMBER(Q450),Q450,12)-N(P450)))</f>
        <v/>
      </c>
      <c r="S450" s="23" t="n"/>
      <c r="T450" s="27">
        <f>IF(S450="","",IF(ISNUMBER(S450),S450-TODAY(),"Check date"))</f>
        <v/>
      </c>
      <c r="U450" s="22" t="n"/>
      <c r="V450" s="22" t="n"/>
      <c r="W450" s="22" t="n"/>
      <c r="X450" s="22" t="n"/>
    </row>
    <row r="451">
      <c r="A451" s="22" t="n"/>
      <c r="B451" s="22" t="n"/>
      <c r="C451" s="22" t="n"/>
      <c r="D451" s="22" t="n"/>
      <c r="E451" s="23" t="n"/>
      <c r="F451" s="23" t="n"/>
      <c r="G451" s="23" t="n"/>
      <c r="H451" s="24">
        <f>IF(ISNUMBER(G451),EDATE(G451,24),"")</f>
        <v/>
      </c>
      <c r="I451" s="24">
        <f>IF(OR(AND(LEN(F451)&gt;0,ISNUMBER(F451)=FALSE),AND(LEN(G451)&gt;0,ISNUMBER(G451)=FALSE)),"Check date",IF(COUNT(F451,H451)=0,"",MIN(F451,H451)))</f>
        <v/>
      </c>
      <c r="J451" s="25">
        <f>IF(ISNUMBER(I451)=FALSE,"",IF(AND(ISNUMBER(H451),I451=H451),"24-month work rule","Registry expiry"))</f>
        <v/>
      </c>
      <c r="K451" s="26" t="n"/>
      <c r="L451" s="24">
        <f>IF(ISNUMBER(I451),I451-IF(ISNUMBER(K451),K451,30),"")</f>
        <v/>
      </c>
      <c r="M451" s="27">
        <f>IF(I451="","",IF(ISNUMBER(I451),I451-TODAY(),"Check date"))</f>
        <v/>
      </c>
      <c r="N451" s="28">
        <f>IF(M451="","",IF(ISNUMBER(M451),IF(M451&lt;0,"Expired",IF(M451&lt;=30,"Due ≤30 days",IF(M451&lt;=90,"Due ≤90 days","OK"))),"Check date"))</f>
        <v/>
      </c>
      <c r="O451" s="24">
        <f>IF(ISNUMBER(E451),EDATE(E451,12*(IFERROR(DATEDIF(E451,TODAY(),"y"),0)+1)),"")</f>
        <v/>
      </c>
      <c r="P451" s="26" t="n"/>
      <c r="Q451" s="26" t="n"/>
      <c r="R451" s="27">
        <f>IF(LEN(A451)=0,"",MAX(0,IF(ISNUMBER(Q451),Q451,12)-N(P451)))</f>
        <v/>
      </c>
      <c r="S451" s="23" t="n"/>
      <c r="T451" s="27">
        <f>IF(S451="","",IF(ISNUMBER(S451),S451-TODAY(),"Check date"))</f>
        <v/>
      </c>
      <c r="U451" s="22" t="n"/>
      <c r="V451" s="22" t="n"/>
      <c r="W451" s="22" t="n"/>
      <c r="X451" s="22" t="n"/>
    </row>
    <row r="452">
      <c r="A452" s="22" t="n"/>
      <c r="B452" s="22" t="n"/>
      <c r="C452" s="22" t="n"/>
      <c r="D452" s="22" t="n"/>
      <c r="E452" s="23" t="n"/>
      <c r="F452" s="23" t="n"/>
      <c r="G452" s="23" t="n"/>
      <c r="H452" s="24">
        <f>IF(ISNUMBER(G452),EDATE(G452,24),"")</f>
        <v/>
      </c>
      <c r="I452" s="24">
        <f>IF(OR(AND(LEN(F452)&gt;0,ISNUMBER(F452)=FALSE),AND(LEN(G452)&gt;0,ISNUMBER(G452)=FALSE)),"Check date",IF(COUNT(F452,H452)=0,"",MIN(F452,H452)))</f>
        <v/>
      </c>
      <c r="J452" s="25">
        <f>IF(ISNUMBER(I452)=FALSE,"",IF(AND(ISNUMBER(H452),I452=H452),"24-month work rule","Registry expiry"))</f>
        <v/>
      </c>
      <c r="K452" s="26" t="n"/>
      <c r="L452" s="24">
        <f>IF(ISNUMBER(I452),I452-IF(ISNUMBER(K452),K452,30),"")</f>
        <v/>
      </c>
      <c r="M452" s="27">
        <f>IF(I452="","",IF(ISNUMBER(I452),I452-TODAY(),"Check date"))</f>
        <v/>
      </c>
      <c r="N452" s="28">
        <f>IF(M452="","",IF(ISNUMBER(M452),IF(M452&lt;0,"Expired",IF(M452&lt;=30,"Due ≤30 days",IF(M452&lt;=90,"Due ≤90 days","OK"))),"Check date"))</f>
        <v/>
      </c>
      <c r="O452" s="24">
        <f>IF(ISNUMBER(E452),EDATE(E452,12*(IFERROR(DATEDIF(E452,TODAY(),"y"),0)+1)),"")</f>
        <v/>
      </c>
      <c r="P452" s="26" t="n"/>
      <c r="Q452" s="26" t="n"/>
      <c r="R452" s="27">
        <f>IF(LEN(A452)=0,"",MAX(0,IF(ISNUMBER(Q452),Q452,12)-N(P452)))</f>
        <v/>
      </c>
      <c r="S452" s="23" t="n"/>
      <c r="T452" s="27">
        <f>IF(S452="","",IF(ISNUMBER(S452),S452-TODAY(),"Check date"))</f>
        <v/>
      </c>
      <c r="U452" s="22" t="n"/>
      <c r="V452" s="22" t="n"/>
      <c r="W452" s="22" t="n"/>
      <c r="X452" s="22" t="n"/>
    </row>
    <row r="453">
      <c r="A453" s="22" t="n"/>
      <c r="B453" s="22" t="n"/>
      <c r="C453" s="22" t="n"/>
      <c r="D453" s="22" t="n"/>
      <c r="E453" s="23" t="n"/>
      <c r="F453" s="23" t="n"/>
      <c r="G453" s="23" t="n"/>
      <c r="H453" s="24">
        <f>IF(ISNUMBER(G453),EDATE(G453,24),"")</f>
        <v/>
      </c>
      <c r="I453" s="24">
        <f>IF(OR(AND(LEN(F453)&gt;0,ISNUMBER(F453)=FALSE),AND(LEN(G453)&gt;0,ISNUMBER(G453)=FALSE)),"Check date",IF(COUNT(F453,H453)=0,"",MIN(F453,H453)))</f>
        <v/>
      </c>
      <c r="J453" s="25">
        <f>IF(ISNUMBER(I453)=FALSE,"",IF(AND(ISNUMBER(H453),I453=H453),"24-month work rule","Registry expiry"))</f>
        <v/>
      </c>
      <c r="K453" s="26" t="n"/>
      <c r="L453" s="24">
        <f>IF(ISNUMBER(I453),I453-IF(ISNUMBER(K453),K453,30),"")</f>
        <v/>
      </c>
      <c r="M453" s="27">
        <f>IF(I453="","",IF(ISNUMBER(I453),I453-TODAY(),"Check date"))</f>
        <v/>
      </c>
      <c r="N453" s="28">
        <f>IF(M453="","",IF(ISNUMBER(M453),IF(M453&lt;0,"Expired",IF(M453&lt;=30,"Due ≤30 days",IF(M453&lt;=90,"Due ≤90 days","OK"))),"Check date"))</f>
        <v/>
      </c>
      <c r="O453" s="24">
        <f>IF(ISNUMBER(E453),EDATE(E453,12*(IFERROR(DATEDIF(E453,TODAY(),"y"),0)+1)),"")</f>
        <v/>
      </c>
      <c r="P453" s="26" t="n"/>
      <c r="Q453" s="26" t="n"/>
      <c r="R453" s="27">
        <f>IF(LEN(A453)=0,"",MAX(0,IF(ISNUMBER(Q453),Q453,12)-N(P453)))</f>
        <v/>
      </c>
      <c r="S453" s="23" t="n"/>
      <c r="T453" s="27">
        <f>IF(S453="","",IF(ISNUMBER(S453),S453-TODAY(),"Check date"))</f>
        <v/>
      </c>
      <c r="U453" s="22" t="n"/>
      <c r="V453" s="22" t="n"/>
      <c r="W453" s="22" t="n"/>
      <c r="X453" s="22" t="n"/>
    </row>
    <row r="454">
      <c r="A454" s="22" t="n"/>
      <c r="B454" s="22" t="n"/>
      <c r="C454" s="22" t="n"/>
      <c r="D454" s="22" t="n"/>
      <c r="E454" s="23" t="n"/>
      <c r="F454" s="23" t="n"/>
      <c r="G454" s="23" t="n"/>
      <c r="H454" s="24">
        <f>IF(ISNUMBER(G454),EDATE(G454,24),"")</f>
        <v/>
      </c>
      <c r="I454" s="24">
        <f>IF(OR(AND(LEN(F454)&gt;0,ISNUMBER(F454)=FALSE),AND(LEN(G454)&gt;0,ISNUMBER(G454)=FALSE)),"Check date",IF(COUNT(F454,H454)=0,"",MIN(F454,H454)))</f>
        <v/>
      </c>
      <c r="J454" s="25">
        <f>IF(ISNUMBER(I454)=FALSE,"",IF(AND(ISNUMBER(H454),I454=H454),"24-month work rule","Registry expiry"))</f>
        <v/>
      </c>
      <c r="K454" s="26" t="n"/>
      <c r="L454" s="24">
        <f>IF(ISNUMBER(I454),I454-IF(ISNUMBER(K454),K454,30),"")</f>
        <v/>
      </c>
      <c r="M454" s="27">
        <f>IF(I454="","",IF(ISNUMBER(I454),I454-TODAY(),"Check date"))</f>
        <v/>
      </c>
      <c r="N454" s="28">
        <f>IF(M454="","",IF(ISNUMBER(M454),IF(M454&lt;0,"Expired",IF(M454&lt;=30,"Due ≤30 days",IF(M454&lt;=90,"Due ≤90 days","OK"))),"Check date"))</f>
        <v/>
      </c>
      <c r="O454" s="24">
        <f>IF(ISNUMBER(E454),EDATE(E454,12*(IFERROR(DATEDIF(E454,TODAY(),"y"),0)+1)),"")</f>
        <v/>
      </c>
      <c r="P454" s="26" t="n"/>
      <c r="Q454" s="26" t="n"/>
      <c r="R454" s="27">
        <f>IF(LEN(A454)=0,"",MAX(0,IF(ISNUMBER(Q454),Q454,12)-N(P454)))</f>
        <v/>
      </c>
      <c r="S454" s="23" t="n"/>
      <c r="T454" s="27">
        <f>IF(S454="","",IF(ISNUMBER(S454),S454-TODAY(),"Check date"))</f>
        <v/>
      </c>
      <c r="U454" s="22" t="n"/>
      <c r="V454" s="22" t="n"/>
      <c r="W454" s="22" t="n"/>
      <c r="X454" s="22" t="n"/>
    </row>
    <row r="455">
      <c r="A455" s="22" t="n"/>
      <c r="B455" s="22" t="n"/>
      <c r="C455" s="22" t="n"/>
      <c r="D455" s="22" t="n"/>
      <c r="E455" s="23" t="n"/>
      <c r="F455" s="23" t="n"/>
      <c r="G455" s="23" t="n"/>
      <c r="H455" s="24">
        <f>IF(ISNUMBER(G455),EDATE(G455,24),"")</f>
        <v/>
      </c>
      <c r="I455" s="24">
        <f>IF(OR(AND(LEN(F455)&gt;0,ISNUMBER(F455)=FALSE),AND(LEN(G455)&gt;0,ISNUMBER(G455)=FALSE)),"Check date",IF(COUNT(F455,H455)=0,"",MIN(F455,H455)))</f>
        <v/>
      </c>
      <c r="J455" s="25">
        <f>IF(ISNUMBER(I455)=FALSE,"",IF(AND(ISNUMBER(H455),I455=H455),"24-month work rule","Registry expiry"))</f>
        <v/>
      </c>
      <c r="K455" s="26" t="n"/>
      <c r="L455" s="24">
        <f>IF(ISNUMBER(I455),I455-IF(ISNUMBER(K455),K455,30),"")</f>
        <v/>
      </c>
      <c r="M455" s="27">
        <f>IF(I455="","",IF(ISNUMBER(I455),I455-TODAY(),"Check date"))</f>
        <v/>
      </c>
      <c r="N455" s="28">
        <f>IF(M455="","",IF(ISNUMBER(M455),IF(M455&lt;0,"Expired",IF(M455&lt;=30,"Due ≤30 days",IF(M455&lt;=90,"Due ≤90 days","OK"))),"Check date"))</f>
        <v/>
      </c>
      <c r="O455" s="24">
        <f>IF(ISNUMBER(E455),EDATE(E455,12*(IFERROR(DATEDIF(E455,TODAY(),"y"),0)+1)),"")</f>
        <v/>
      </c>
      <c r="P455" s="26" t="n"/>
      <c r="Q455" s="26" t="n"/>
      <c r="R455" s="27">
        <f>IF(LEN(A455)=0,"",MAX(0,IF(ISNUMBER(Q455),Q455,12)-N(P455)))</f>
        <v/>
      </c>
      <c r="S455" s="23" t="n"/>
      <c r="T455" s="27">
        <f>IF(S455="","",IF(ISNUMBER(S455),S455-TODAY(),"Check date"))</f>
        <v/>
      </c>
      <c r="U455" s="22" t="n"/>
      <c r="V455" s="22" t="n"/>
      <c r="W455" s="22" t="n"/>
      <c r="X455" s="22" t="n"/>
    </row>
    <row r="456">
      <c r="A456" s="22" t="n"/>
      <c r="B456" s="22" t="n"/>
      <c r="C456" s="22" t="n"/>
      <c r="D456" s="22" t="n"/>
      <c r="E456" s="23" t="n"/>
      <c r="F456" s="23" t="n"/>
      <c r="G456" s="23" t="n"/>
      <c r="H456" s="24">
        <f>IF(ISNUMBER(G456),EDATE(G456,24),"")</f>
        <v/>
      </c>
      <c r="I456" s="24">
        <f>IF(OR(AND(LEN(F456)&gt;0,ISNUMBER(F456)=FALSE),AND(LEN(G456)&gt;0,ISNUMBER(G456)=FALSE)),"Check date",IF(COUNT(F456,H456)=0,"",MIN(F456,H456)))</f>
        <v/>
      </c>
      <c r="J456" s="25">
        <f>IF(ISNUMBER(I456)=FALSE,"",IF(AND(ISNUMBER(H456),I456=H456),"24-month work rule","Registry expiry"))</f>
        <v/>
      </c>
      <c r="K456" s="26" t="n"/>
      <c r="L456" s="24">
        <f>IF(ISNUMBER(I456),I456-IF(ISNUMBER(K456),K456,30),"")</f>
        <v/>
      </c>
      <c r="M456" s="27">
        <f>IF(I456="","",IF(ISNUMBER(I456),I456-TODAY(),"Check date"))</f>
        <v/>
      </c>
      <c r="N456" s="28">
        <f>IF(M456="","",IF(ISNUMBER(M456),IF(M456&lt;0,"Expired",IF(M456&lt;=30,"Due ≤30 days",IF(M456&lt;=90,"Due ≤90 days","OK"))),"Check date"))</f>
        <v/>
      </c>
      <c r="O456" s="24">
        <f>IF(ISNUMBER(E456),EDATE(E456,12*(IFERROR(DATEDIF(E456,TODAY(),"y"),0)+1)),"")</f>
        <v/>
      </c>
      <c r="P456" s="26" t="n"/>
      <c r="Q456" s="26" t="n"/>
      <c r="R456" s="27">
        <f>IF(LEN(A456)=0,"",MAX(0,IF(ISNUMBER(Q456),Q456,12)-N(P456)))</f>
        <v/>
      </c>
      <c r="S456" s="23" t="n"/>
      <c r="T456" s="27">
        <f>IF(S456="","",IF(ISNUMBER(S456),S456-TODAY(),"Check date"))</f>
        <v/>
      </c>
      <c r="U456" s="22" t="n"/>
      <c r="V456" s="22" t="n"/>
      <c r="W456" s="22" t="n"/>
      <c r="X456" s="22" t="n"/>
    </row>
    <row r="457">
      <c r="A457" s="22" t="n"/>
      <c r="B457" s="22" t="n"/>
      <c r="C457" s="22" t="n"/>
      <c r="D457" s="22" t="n"/>
      <c r="E457" s="23" t="n"/>
      <c r="F457" s="23" t="n"/>
      <c r="G457" s="23" t="n"/>
      <c r="H457" s="24">
        <f>IF(ISNUMBER(G457),EDATE(G457,24),"")</f>
        <v/>
      </c>
      <c r="I457" s="24">
        <f>IF(OR(AND(LEN(F457)&gt;0,ISNUMBER(F457)=FALSE),AND(LEN(G457)&gt;0,ISNUMBER(G457)=FALSE)),"Check date",IF(COUNT(F457,H457)=0,"",MIN(F457,H457)))</f>
        <v/>
      </c>
      <c r="J457" s="25">
        <f>IF(ISNUMBER(I457)=FALSE,"",IF(AND(ISNUMBER(H457),I457=H457),"24-month work rule","Registry expiry"))</f>
        <v/>
      </c>
      <c r="K457" s="26" t="n"/>
      <c r="L457" s="24">
        <f>IF(ISNUMBER(I457),I457-IF(ISNUMBER(K457),K457,30),"")</f>
        <v/>
      </c>
      <c r="M457" s="27">
        <f>IF(I457="","",IF(ISNUMBER(I457),I457-TODAY(),"Check date"))</f>
        <v/>
      </c>
      <c r="N457" s="28">
        <f>IF(M457="","",IF(ISNUMBER(M457),IF(M457&lt;0,"Expired",IF(M457&lt;=30,"Due ≤30 days",IF(M457&lt;=90,"Due ≤90 days","OK"))),"Check date"))</f>
        <v/>
      </c>
      <c r="O457" s="24">
        <f>IF(ISNUMBER(E457),EDATE(E457,12*(IFERROR(DATEDIF(E457,TODAY(),"y"),0)+1)),"")</f>
        <v/>
      </c>
      <c r="P457" s="26" t="n"/>
      <c r="Q457" s="26" t="n"/>
      <c r="R457" s="27">
        <f>IF(LEN(A457)=0,"",MAX(0,IF(ISNUMBER(Q457),Q457,12)-N(P457)))</f>
        <v/>
      </c>
      <c r="S457" s="23" t="n"/>
      <c r="T457" s="27">
        <f>IF(S457="","",IF(ISNUMBER(S457),S457-TODAY(),"Check date"))</f>
        <v/>
      </c>
      <c r="U457" s="22" t="n"/>
      <c r="V457" s="22" t="n"/>
      <c r="W457" s="22" t="n"/>
      <c r="X457" s="22" t="n"/>
    </row>
    <row r="458">
      <c r="A458" s="22" t="n"/>
      <c r="B458" s="22" t="n"/>
      <c r="C458" s="22" t="n"/>
      <c r="D458" s="22" t="n"/>
      <c r="E458" s="23" t="n"/>
      <c r="F458" s="23" t="n"/>
      <c r="G458" s="23" t="n"/>
      <c r="H458" s="24">
        <f>IF(ISNUMBER(G458),EDATE(G458,24),"")</f>
        <v/>
      </c>
      <c r="I458" s="24">
        <f>IF(OR(AND(LEN(F458)&gt;0,ISNUMBER(F458)=FALSE),AND(LEN(G458)&gt;0,ISNUMBER(G458)=FALSE)),"Check date",IF(COUNT(F458,H458)=0,"",MIN(F458,H458)))</f>
        <v/>
      </c>
      <c r="J458" s="25">
        <f>IF(ISNUMBER(I458)=FALSE,"",IF(AND(ISNUMBER(H458),I458=H458),"24-month work rule","Registry expiry"))</f>
        <v/>
      </c>
      <c r="K458" s="26" t="n"/>
      <c r="L458" s="24">
        <f>IF(ISNUMBER(I458),I458-IF(ISNUMBER(K458),K458,30),"")</f>
        <v/>
      </c>
      <c r="M458" s="27">
        <f>IF(I458="","",IF(ISNUMBER(I458),I458-TODAY(),"Check date"))</f>
        <v/>
      </c>
      <c r="N458" s="28">
        <f>IF(M458="","",IF(ISNUMBER(M458),IF(M458&lt;0,"Expired",IF(M458&lt;=30,"Due ≤30 days",IF(M458&lt;=90,"Due ≤90 days","OK"))),"Check date"))</f>
        <v/>
      </c>
      <c r="O458" s="24">
        <f>IF(ISNUMBER(E458),EDATE(E458,12*(IFERROR(DATEDIF(E458,TODAY(),"y"),0)+1)),"")</f>
        <v/>
      </c>
      <c r="P458" s="26" t="n"/>
      <c r="Q458" s="26" t="n"/>
      <c r="R458" s="27">
        <f>IF(LEN(A458)=0,"",MAX(0,IF(ISNUMBER(Q458),Q458,12)-N(P458)))</f>
        <v/>
      </c>
      <c r="S458" s="23" t="n"/>
      <c r="T458" s="27">
        <f>IF(S458="","",IF(ISNUMBER(S458),S458-TODAY(),"Check date"))</f>
        <v/>
      </c>
      <c r="U458" s="22" t="n"/>
      <c r="V458" s="22" t="n"/>
      <c r="W458" s="22" t="n"/>
      <c r="X458" s="22" t="n"/>
    </row>
    <row r="459">
      <c r="A459" s="22" t="n"/>
      <c r="B459" s="22" t="n"/>
      <c r="C459" s="22" t="n"/>
      <c r="D459" s="22" t="n"/>
      <c r="E459" s="23" t="n"/>
      <c r="F459" s="23" t="n"/>
      <c r="G459" s="23" t="n"/>
      <c r="H459" s="24">
        <f>IF(ISNUMBER(G459),EDATE(G459,24),"")</f>
        <v/>
      </c>
      <c r="I459" s="24">
        <f>IF(OR(AND(LEN(F459)&gt;0,ISNUMBER(F459)=FALSE),AND(LEN(G459)&gt;0,ISNUMBER(G459)=FALSE)),"Check date",IF(COUNT(F459,H459)=0,"",MIN(F459,H459)))</f>
        <v/>
      </c>
      <c r="J459" s="25">
        <f>IF(ISNUMBER(I459)=FALSE,"",IF(AND(ISNUMBER(H459),I459=H459),"24-month work rule","Registry expiry"))</f>
        <v/>
      </c>
      <c r="K459" s="26" t="n"/>
      <c r="L459" s="24">
        <f>IF(ISNUMBER(I459),I459-IF(ISNUMBER(K459),K459,30),"")</f>
        <v/>
      </c>
      <c r="M459" s="27">
        <f>IF(I459="","",IF(ISNUMBER(I459),I459-TODAY(),"Check date"))</f>
        <v/>
      </c>
      <c r="N459" s="28">
        <f>IF(M459="","",IF(ISNUMBER(M459),IF(M459&lt;0,"Expired",IF(M459&lt;=30,"Due ≤30 days",IF(M459&lt;=90,"Due ≤90 days","OK"))),"Check date"))</f>
        <v/>
      </c>
      <c r="O459" s="24">
        <f>IF(ISNUMBER(E459),EDATE(E459,12*(IFERROR(DATEDIF(E459,TODAY(),"y"),0)+1)),"")</f>
        <v/>
      </c>
      <c r="P459" s="26" t="n"/>
      <c r="Q459" s="26" t="n"/>
      <c r="R459" s="27">
        <f>IF(LEN(A459)=0,"",MAX(0,IF(ISNUMBER(Q459),Q459,12)-N(P459)))</f>
        <v/>
      </c>
      <c r="S459" s="23" t="n"/>
      <c r="T459" s="27">
        <f>IF(S459="","",IF(ISNUMBER(S459),S459-TODAY(),"Check date"))</f>
        <v/>
      </c>
      <c r="U459" s="22" t="n"/>
      <c r="V459" s="22" t="n"/>
      <c r="W459" s="22" t="n"/>
      <c r="X459" s="22" t="n"/>
    </row>
    <row r="460">
      <c r="A460" s="22" t="n"/>
      <c r="B460" s="22" t="n"/>
      <c r="C460" s="22" t="n"/>
      <c r="D460" s="22" t="n"/>
      <c r="E460" s="23" t="n"/>
      <c r="F460" s="23" t="n"/>
      <c r="G460" s="23" t="n"/>
      <c r="H460" s="24">
        <f>IF(ISNUMBER(G460),EDATE(G460,24),"")</f>
        <v/>
      </c>
      <c r="I460" s="24">
        <f>IF(OR(AND(LEN(F460)&gt;0,ISNUMBER(F460)=FALSE),AND(LEN(G460)&gt;0,ISNUMBER(G460)=FALSE)),"Check date",IF(COUNT(F460,H460)=0,"",MIN(F460,H460)))</f>
        <v/>
      </c>
      <c r="J460" s="25">
        <f>IF(ISNUMBER(I460)=FALSE,"",IF(AND(ISNUMBER(H460),I460=H460),"24-month work rule","Registry expiry"))</f>
        <v/>
      </c>
      <c r="K460" s="26" t="n"/>
      <c r="L460" s="24">
        <f>IF(ISNUMBER(I460),I460-IF(ISNUMBER(K460),K460,30),"")</f>
        <v/>
      </c>
      <c r="M460" s="27">
        <f>IF(I460="","",IF(ISNUMBER(I460),I460-TODAY(),"Check date"))</f>
        <v/>
      </c>
      <c r="N460" s="28">
        <f>IF(M460="","",IF(ISNUMBER(M460),IF(M460&lt;0,"Expired",IF(M460&lt;=30,"Due ≤30 days",IF(M460&lt;=90,"Due ≤90 days","OK"))),"Check date"))</f>
        <v/>
      </c>
      <c r="O460" s="24">
        <f>IF(ISNUMBER(E460),EDATE(E460,12*(IFERROR(DATEDIF(E460,TODAY(),"y"),0)+1)),"")</f>
        <v/>
      </c>
      <c r="P460" s="26" t="n"/>
      <c r="Q460" s="26" t="n"/>
      <c r="R460" s="27">
        <f>IF(LEN(A460)=0,"",MAX(0,IF(ISNUMBER(Q460),Q460,12)-N(P460)))</f>
        <v/>
      </c>
      <c r="S460" s="23" t="n"/>
      <c r="T460" s="27">
        <f>IF(S460="","",IF(ISNUMBER(S460),S460-TODAY(),"Check date"))</f>
        <v/>
      </c>
      <c r="U460" s="22" t="n"/>
      <c r="V460" s="22" t="n"/>
      <c r="W460" s="22" t="n"/>
      <c r="X460" s="22" t="n"/>
    </row>
    <row r="461">
      <c r="A461" s="22" t="n"/>
      <c r="B461" s="22" t="n"/>
      <c r="C461" s="22" t="n"/>
      <c r="D461" s="22" t="n"/>
      <c r="E461" s="23" t="n"/>
      <c r="F461" s="23" t="n"/>
      <c r="G461" s="23" t="n"/>
      <c r="H461" s="24">
        <f>IF(ISNUMBER(G461),EDATE(G461,24),"")</f>
        <v/>
      </c>
      <c r="I461" s="24">
        <f>IF(OR(AND(LEN(F461)&gt;0,ISNUMBER(F461)=FALSE),AND(LEN(G461)&gt;0,ISNUMBER(G461)=FALSE)),"Check date",IF(COUNT(F461,H461)=0,"",MIN(F461,H461)))</f>
        <v/>
      </c>
      <c r="J461" s="25">
        <f>IF(ISNUMBER(I461)=FALSE,"",IF(AND(ISNUMBER(H461),I461=H461),"24-month work rule","Registry expiry"))</f>
        <v/>
      </c>
      <c r="K461" s="26" t="n"/>
      <c r="L461" s="24">
        <f>IF(ISNUMBER(I461),I461-IF(ISNUMBER(K461),K461,30),"")</f>
        <v/>
      </c>
      <c r="M461" s="27">
        <f>IF(I461="","",IF(ISNUMBER(I461),I461-TODAY(),"Check date"))</f>
        <v/>
      </c>
      <c r="N461" s="28">
        <f>IF(M461="","",IF(ISNUMBER(M461),IF(M461&lt;0,"Expired",IF(M461&lt;=30,"Due ≤30 days",IF(M461&lt;=90,"Due ≤90 days","OK"))),"Check date"))</f>
        <v/>
      </c>
      <c r="O461" s="24">
        <f>IF(ISNUMBER(E461),EDATE(E461,12*(IFERROR(DATEDIF(E461,TODAY(),"y"),0)+1)),"")</f>
        <v/>
      </c>
      <c r="P461" s="26" t="n"/>
      <c r="Q461" s="26" t="n"/>
      <c r="R461" s="27">
        <f>IF(LEN(A461)=0,"",MAX(0,IF(ISNUMBER(Q461),Q461,12)-N(P461)))</f>
        <v/>
      </c>
      <c r="S461" s="23" t="n"/>
      <c r="T461" s="27">
        <f>IF(S461="","",IF(ISNUMBER(S461),S461-TODAY(),"Check date"))</f>
        <v/>
      </c>
      <c r="U461" s="22" t="n"/>
      <c r="V461" s="22" t="n"/>
      <c r="W461" s="22" t="n"/>
      <c r="X461" s="22" t="n"/>
    </row>
    <row r="462">
      <c r="A462" s="22" t="n"/>
      <c r="B462" s="22" t="n"/>
      <c r="C462" s="22" t="n"/>
      <c r="D462" s="22" t="n"/>
      <c r="E462" s="23" t="n"/>
      <c r="F462" s="23" t="n"/>
      <c r="G462" s="23" t="n"/>
      <c r="H462" s="24">
        <f>IF(ISNUMBER(G462),EDATE(G462,24),"")</f>
        <v/>
      </c>
      <c r="I462" s="24">
        <f>IF(OR(AND(LEN(F462)&gt;0,ISNUMBER(F462)=FALSE),AND(LEN(G462)&gt;0,ISNUMBER(G462)=FALSE)),"Check date",IF(COUNT(F462,H462)=0,"",MIN(F462,H462)))</f>
        <v/>
      </c>
      <c r="J462" s="25">
        <f>IF(ISNUMBER(I462)=FALSE,"",IF(AND(ISNUMBER(H462),I462=H462),"24-month work rule","Registry expiry"))</f>
        <v/>
      </c>
      <c r="K462" s="26" t="n"/>
      <c r="L462" s="24">
        <f>IF(ISNUMBER(I462),I462-IF(ISNUMBER(K462),K462,30),"")</f>
        <v/>
      </c>
      <c r="M462" s="27">
        <f>IF(I462="","",IF(ISNUMBER(I462),I462-TODAY(),"Check date"))</f>
        <v/>
      </c>
      <c r="N462" s="28">
        <f>IF(M462="","",IF(ISNUMBER(M462),IF(M462&lt;0,"Expired",IF(M462&lt;=30,"Due ≤30 days",IF(M462&lt;=90,"Due ≤90 days","OK"))),"Check date"))</f>
        <v/>
      </c>
      <c r="O462" s="24">
        <f>IF(ISNUMBER(E462),EDATE(E462,12*(IFERROR(DATEDIF(E462,TODAY(),"y"),0)+1)),"")</f>
        <v/>
      </c>
      <c r="P462" s="26" t="n"/>
      <c r="Q462" s="26" t="n"/>
      <c r="R462" s="27">
        <f>IF(LEN(A462)=0,"",MAX(0,IF(ISNUMBER(Q462),Q462,12)-N(P462)))</f>
        <v/>
      </c>
      <c r="S462" s="23" t="n"/>
      <c r="T462" s="27">
        <f>IF(S462="","",IF(ISNUMBER(S462),S462-TODAY(),"Check date"))</f>
        <v/>
      </c>
      <c r="U462" s="22" t="n"/>
      <c r="V462" s="22" t="n"/>
      <c r="W462" s="22" t="n"/>
      <c r="X462" s="22" t="n"/>
    </row>
    <row r="463">
      <c r="A463" s="22" t="n"/>
      <c r="B463" s="22" t="n"/>
      <c r="C463" s="22" t="n"/>
      <c r="D463" s="22" t="n"/>
      <c r="E463" s="23" t="n"/>
      <c r="F463" s="23" t="n"/>
      <c r="G463" s="23" t="n"/>
      <c r="H463" s="24">
        <f>IF(ISNUMBER(G463),EDATE(G463,24),"")</f>
        <v/>
      </c>
      <c r="I463" s="24">
        <f>IF(OR(AND(LEN(F463)&gt;0,ISNUMBER(F463)=FALSE),AND(LEN(G463)&gt;0,ISNUMBER(G463)=FALSE)),"Check date",IF(COUNT(F463,H463)=0,"",MIN(F463,H463)))</f>
        <v/>
      </c>
      <c r="J463" s="25">
        <f>IF(ISNUMBER(I463)=FALSE,"",IF(AND(ISNUMBER(H463),I463=H463),"24-month work rule","Registry expiry"))</f>
        <v/>
      </c>
      <c r="K463" s="26" t="n"/>
      <c r="L463" s="24">
        <f>IF(ISNUMBER(I463),I463-IF(ISNUMBER(K463),K463,30),"")</f>
        <v/>
      </c>
      <c r="M463" s="27">
        <f>IF(I463="","",IF(ISNUMBER(I463),I463-TODAY(),"Check date"))</f>
        <v/>
      </c>
      <c r="N463" s="28">
        <f>IF(M463="","",IF(ISNUMBER(M463),IF(M463&lt;0,"Expired",IF(M463&lt;=30,"Due ≤30 days",IF(M463&lt;=90,"Due ≤90 days","OK"))),"Check date"))</f>
        <v/>
      </c>
      <c r="O463" s="24">
        <f>IF(ISNUMBER(E463),EDATE(E463,12*(IFERROR(DATEDIF(E463,TODAY(),"y"),0)+1)),"")</f>
        <v/>
      </c>
      <c r="P463" s="26" t="n"/>
      <c r="Q463" s="26" t="n"/>
      <c r="R463" s="27">
        <f>IF(LEN(A463)=0,"",MAX(0,IF(ISNUMBER(Q463),Q463,12)-N(P463)))</f>
        <v/>
      </c>
      <c r="S463" s="23" t="n"/>
      <c r="T463" s="27">
        <f>IF(S463="","",IF(ISNUMBER(S463),S463-TODAY(),"Check date"))</f>
        <v/>
      </c>
      <c r="U463" s="22" t="n"/>
      <c r="V463" s="22" t="n"/>
      <c r="W463" s="22" t="n"/>
      <c r="X463" s="22" t="n"/>
    </row>
    <row r="464">
      <c r="A464" s="22" t="n"/>
      <c r="B464" s="22" t="n"/>
      <c r="C464" s="22" t="n"/>
      <c r="D464" s="22" t="n"/>
      <c r="E464" s="23" t="n"/>
      <c r="F464" s="23" t="n"/>
      <c r="G464" s="23" t="n"/>
      <c r="H464" s="24">
        <f>IF(ISNUMBER(G464),EDATE(G464,24),"")</f>
        <v/>
      </c>
      <c r="I464" s="24">
        <f>IF(OR(AND(LEN(F464)&gt;0,ISNUMBER(F464)=FALSE),AND(LEN(G464)&gt;0,ISNUMBER(G464)=FALSE)),"Check date",IF(COUNT(F464,H464)=0,"",MIN(F464,H464)))</f>
        <v/>
      </c>
      <c r="J464" s="25">
        <f>IF(ISNUMBER(I464)=FALSE,"",IF(AND(ISNUMBER(H464),I464=H464),"24-month work rule","Registry expiry"))</f>
        <v/>
      </c>
      <c r="K464" s="26" t="n"/>
      <c r="L464" s="24">
        <f>IF(ISNUMBER(I464),I464-IF(ISNUMBER(K464),K464,30),"")</f>
        <v/>
      </c>
      <c r="M464" s="27">
        <f>IF(I464="","",IF(ISNUMBER(I464),I464-TODAY(),"Check date"))</f>
        <v/>
      </c>
      <c r="N464" s="28">
        <f>IF(M464="","",IF(ISNUMBER(M464),IF(M464&lt;0,"Expired",IF(M464&lt;=30,"Due ≤30 days",IF(M464&lt;=90,"Due ≤90 days","OK"))),"Check date"))</f>
        <v/>
      </c>
      <c r="O464" s="24">
        <f>IF(ISNUMBER(E464),EDATE(E464,12*(IFERROR(DATEDIF(E464,TODAY(),"y"),0)+1)),"")</f>
        <v/>
      </c>
      <c r="P464" s="26" t="n"/>
      <c r="Q464" s="26" t="n"/>
      <c r="R464" s="27">
        <f>IF(LEN(A464)=0,"",MAX(0,IF(ISNUMBER(Q464),Q464,12)-N(P464)))</f>
        <v/>
      </c>
      <c r="S464" s="23" t="n"/>
      <c r="T464" s="27">
        <f>IF(S464="","",IF(ISNUMBER(S464),S464-TODAY(),"Check date"))</f>
        <v/>
      </c>
      <c r="U464" s="22" t="n"/>
      <c r="V464" s="22" t="n"/>
      <c r="W464" s="22" t="n"/>
      <c r="X464" s="22" t="n"/>
    </row>
    <row r="465">
      <c r="A465" s="22" t="n"/>
      <c r="B465" s="22" t="n"/>
      <c r="C465" s="22" t="n"/>
      <c r="D465" s="22" t="n"/>
      <c r="E465" s="23" t="n"/>
      <c r="F465" s="23" t="n"/>
      <c r="G465" s="23" t="n"/>
      <c r="H465" s="24">
        <f>IF(ISNUMBER(G465),EDATE(G465,24),"")</f>
        <v/>
      </c>
      <c r="I465" s="24">
        <f>IF(OR(AND(LEN(F465)&gt;0,ISNUMBER(F465)=FALSE),AND(LEN(G465)&gt;0,ISNUMBER(G465)=FALSE)),"Check date",IF(COUNT(F465,H465)=0,"",MIN(F465,H465)))</f>
        <v/>
      </c>
      <c r="J465" s="25">
        <f>IF(ISNUMBER(I465)=FALSE,"",IF(AND(ISNUMBER(H465),I465=H465),"24-month work rule","Registry expiry"))</f>
        <v/>
      </c>
      <c r="K465" s="26" t="n"/>
      <c r="L465" s="24">
        <f>IF(ISNUMBER(I465),I465-IF(ISNUMBER(K465),K465,30),"")</f>
        <v/>
      </c>
      <c r="M465" s="27">
        <f>IF(I465="","",IF(ISNUMBER(I465),I465-TODAY(),"Check date"))</f>
        <v/>
      </c>
      <c r="N465" s="28">
        <f>IF(M465="","",IF(ISNUMBER(M465),IF(M465&lt;0,"Expired",IF(M465&lt;=30,"Due ≤30 days",IF(M465&lt;=90,"Due ≤90 days","OK"))),"Check date"))</f>
        <v/>
      </c>
      <c r="O465" s="24">
        <f>IF(ISNUMBER(E465),EDATE(E465,12*(IFERROR(DATEDIF(E465,TODAY(),"y"),0)+1)),"")</f>
        <v/>
      </c>
      <c r="P465" s="26" t="n"/>
      <c r="Q465" s="26" t="n"/>
      <c r="R465" s="27">
        <f>IF(LEN(A465)=0,"",MAX(0,IF(ISNUMBER(Q465),Q465,12)-N(P465)))</f>
        <v/>
      </c>
      <c r="S465" s="23" t="n"/>
      <c r="T465" s="27">
        <f>IF(S465="","",IF(ISNUMBER(S465),S465-TODAY(),"Check date"))</f>
        <v/>
      </c>
      <c r="U465" s="22" t="n"/>
      <c r="V465" s="22" t="n"/>
      <c r="W465" s="22" t="n"/>
      <c r="X465" s="22" t="n"/>
    </row>
    <row r="466">
      <c r="A466" s="22" t="n"/>
      <c r="B466" s="22" t="n"/>
      <c r="C466" s="22" t="n"/>
      <c r="D466" s="22" t="n"/>
      <c r="E466" s="23" t="n"/>
      <c r="F466" s="23" t="n"/>
      <c r="G466" s="23" t="n"/>
      <c r="H466" s="24">
        <f>IF(ISNUMBER(G466),EDATE(G466,24),"")</f>
        <v/>
      </c>
      <c r="I466" s="24">
        <f>IF(OR(AND(LEN(F466)&gt;0,ISNUMBER(F466)=FALSE),AND(LEN(G466)&gt;0,ISNUMBER(G466)=FALSE)),"Check date",IF(COUNT(F466,H466)=0,"",MIN(F466,H466)))</f>
        <v/>
      </c>
      <c r="J466" s="25">
        <f>IF(ISNUMBER(I466)=FALSE,"",IF(AND(ISNUMBER(H466),I466=H466),"24-month work rule","Registry expiry"))</f>
        <v/>
      </c>
      <c r="K466" s="26" t="n"/>
      <c r="L466" s="24">
        <f>IF(ISNUMBER(I466),I466-IF(ISNUMBER(K466),K466,30),"")</f>
        <v/>
      </c>
      <c r="M466" s="27">
        <f>IF(I466="","",IF(ISNUMBER(I466),I466-TODAY(),"Check date"))</f>
        <v/>
      </c>
      <c r="N466" s="28">
        <f>IF(M466="","",IF(ISNUMBER(M466),IF(M466&lt;0,"Expired",IF(M466&lt;=30,"Due ≤30 days",IF(M466&lt;=90,"Due ≤90 days","OK"))),"Check date"))</f>
        <v/>
      </c>
      <c r="O466" s="24">
        <f>IF(ISNUMBER(E466),EDATE(E466,12*(IFERROR(DATEDIF(E466,TODAY(),"y"),0)+1)),"")</f>
        <v/>
      </c>
      <c r="P466" s="26" t="n"/>
      <c r="Q466" s="26" t="n"/>
      <c r="R466" s="27">
        <f>IF(LEN(A466)=0,"",MAX(0,IF(ISNUMBER(Q466),Q466,12)-N(P466)))</f>
        <v/>
      </c>
      <c r="S466" s="23" t="n"/>
      <c r="T466" s="27">
        <f>IF(S466="","",IF(ISNUMBER(S466),S466-TODAY(),"Check date"))</f>
        <v/>
      </c>
      <c r="U466" s="22" t="n"/>
      <c r="V466" s="22" t="n"/>
      <c r="W466" s="22" t="n"/>
      <c r="X466" s="22" t="n"/>
    </row>
    <row r="467">
      <c r="A467" s="22" t="n"/>
      <c r="B467" s="22" t="n"/>
      <c r="C467" s="22" t="n"/>
      <c r="D467" s="22" t="n"/>
      <c r="E467" s="23" t="n"/>
      <c r="F467" s="23" t="n"/>
      <c r="G467" s="23" t="n"/>
      <c r="H467" s="24">
        <f>IF(ISNUMBER(G467),EDATE(G467,24),"")</f>
        <v/>
      </c>
      <c r="I467" s="24">
        <f>IF(OR(AND(LEN(F467)&gt;0,ISNUMBER(F467)=FALSE),AND(LEN(G467)&gt;0,ISNUMBER(G467)=FALSE)),"Check date",IF(COUNT(F467,H467)=0,"",MIN(F467,H467)))</f>
        <v/>
      </c>
      <c r="J467" s="25">
        <f>IF(ISNUMBER(I467)=FALSE,"",IF(AND(ISNUMBER(H467),I467=H467),"24-month work rule","Registry expiry"))</f>
        <v/>
      </c>
      <c r="K467" s="26" t="n"/>
      <c r="L467" s="24">
        <f>IF(ISNUMBER(I467),I467-IF(ISNUMBER(K467),K467,30),"")</f>
        <v/>
      </c>
      <c r="M467" s="27">
        <f>IF(I467="","",IF(ISNUMBER(I467),I467-TODAY(),"Check date"))</f>
        <v/>
      </c>
      <c r="N467" s="28">
        <f>IF(M467="","",IF(ISNUMBER(M467),IF(M467&lt;0,"Expired",IF(M467&lt;=30,"Due ≤30 days",IF(M467&lt;=90,"Due ≤90 days","OK"))),"Check date"))</f>
        <v/>
      </c>
      <c r="O467" s="24">
        <f>IF(ISNUMBER(E467),EDATE(E467,12*(IFERROR(DATEDIF(E467,TODAY(),"y"),0)+1)),"")</f>
        <v/>
      </c>
      <c r="P467" s="26" t="n"/>
      <c r="Q467" s="26" t="n"/>
      <c r="R467" s="27">
        <f>IF(LEN(A467)=0,"",MAX(0,IF(ISNUMBER(Q467),Q467,12)-N(P467)))</f>
        <v/>
      </c>
      <c r="S467" s="23" t="n"/>
      <c r="T467" s="27">
        <f>IF(S467="","",IF(ISNUMBER(S467),S467-TODAY(),"Check date"))</f>
        <v/>
      </c>
      <c r="U467" s="22" t="n"/>
      <c r="V467" s="22" t="n"/>
      <c r="W467" s="22" t="n"/>
      <c r="X467" s="22" t="n"/>
    </row>
    <row r="468">
      <c r="A468" s="22" t="n"/>
      <c r="B468" s="22" t="n"/>
      <c r="C468" s="22" t="n"/>
      <c r="D468" s="22" t="n"/>
      <c r="E468" s="23" t="n"/>
      <c r="F468" s="23" t="n"/>
      <c r="G468" s="23" t="n"/>
      <c r="H468" s="24">
        <f>IF(ISNUMBER(G468),EDATE(G468,24),"")</f>
        <v/>
      </c>
      <c r="I468" s="24">
        <f>IF(OR(AND(LEN(F468)&gt;0,ISNUMBER(F468)=FALSE),AND(LEN(G468)&gt;0,ISNUMBER(G468)=FALSE)),"Check date",IF(COUNT(F468,H468)=0,"",MIN(F468,H468)))</f>
        <v/>
      </c>
      <c r="J468" s="25">
        <f>IF(ISNUMBER(I468)=FALSE,"",IF(AND(ISNUMBER(H468),I468=H468),"24-month work rule","Registry expiry"))</f>
        <v/>
      </c>
      <c r="K468" s="26" t="n"/>
      <c r="L468" s="24">
        <f>IF(ISNUMBER(I468),I468-IF(ISNUMBER(K468),K468,30),"")</f>
        <v/>
      </c>
      <c r="M468" s="27">
        <f>IF(I468="","",IF(ISNUMBER(I468),I468-TODAY(),"Check date"))</f>
        <v/>
      </c>
      <c r="N468" s="28">
        <f>IF(M468="","",IF(ISNUMBER(M468),IF(M468&lt;0,"Expired",IF(M468&lt;=30,"Due ≤30 days",IF(M468&lt;=90,"Due ≤90 days","OK"))),"Check date"))</f>
        <v/>
      </c>
      <c r="O468" s="24">
        <f>IF(ISNUMBER(E468),EDATE(E468,12*(IFERROR(DATEDIF(E468,TODAY(),"y"),0)+1)),"")</f>
        <v/>
      </c>
      <c r="P468" s="26" t="n"/>
      <c r="Q468" s="26" t="n"/>
      <c r="R468" s="27">
        <f>IF(LEN(A468)=0,"",MAX(0,IF(ISNUMBER(Q468),Q468,12)-N(P468)))</f>
        <v/>
      </c>
      <c r="S468" s="23" t="n"/>
      <c r="T468" s="27">
        <f>IF(S468="","",IF(ISNUMBER(S468),S468-TODAY(),"Check date"))</f>
        <v/>
      </c>
      <c r="U468" s="22" t="n"/>
      <c r="V468" s="22" t="n"/>
      <c r="W468" s="22" t="n"/>
      <c r="X468" s="22" t="n"/>
    </row>
    <row r="469">
      <c r="A469" s="22" t="n"/>
      <c r="B469" s="22" t="n"/>
      <c r="C469" s="22" t="n"/>
      <c r="D469" s="22" t="n"/>
      <c r="E469" s="23" t="n"/>
      <c r="F469" s="23" t="n"/>
      <c r="G469" s="23" t="n"/>
      <c r="H469" s="24">
        <f>IF(ISNUMBER(G469),EDATE(G469,24),"")</f>
        <v/>
      </c>
      <c r="I469" s="24">
        <f>IF(OR(AND(LEN(F469)&gt;0,ISNUMBER(F469)=FALSE),AND(LEN(G469)&gt;0,ISNUMBER(G469)=FALSE)),"Check date",IF(COUNT(F469,H469)=0,"",MIN(F469,H469)))</f>
        <v/>
      </c>
      <c r="J469" s="25">
        <f>IF(ISNUMBER(I469)=FALSE,"",IF(AND(ISNUMBER(H469),I469=H469),"24-month work rule","Registry expiry"))</f>
        <v/>
      </c>
      <c r="K469" s="26" t="n"/>
      <c r="L469" s="24">
        <f>IF(ISNUMBER(I469),I469-IF(ISNUMBER(K469),K469,30),"")</f>
        <v/>
      </c>
      <c r="M469" s="27">
        <f>IF(I469="","",IF(ISNUMBER(I469),I469-TODAY(),"Check date"))</f>
        <v/>
      </c>
      <c r="N469" s="28">
        <f>IF(M469="","",IF(ISNUMBER(M469),IF(M469&lt;0,"Expired",IF(M469&lt;=30,"Due ≤30 days",IF(M469&lt;=90,"Due ≤90 days","OK"))),"Check date"))</f>
        <v/>
      </c>
      <c r="O469" s="24">
        <f>IF(ISNUMBER(E469),EDATE(E469,12*(IFERROR(DATEDIF(E469,TODAY(),"y"),0)+1)),"")</f>
        <v/>
      </c>
      <c r="P469" s="26" t="n"/>
      <c r="Q469" s="26" t="n"/>
      <c r="R469" s="27">
        <f>IF(LEN(A469)=0,"",MAX(0,IF(ISNUMBER(Q469),Q469,12)-N(P469)))</f>
        <v/>
      </c>
      <c r="S469" s="23" t="n"/>
      <c r="T469" s="27">
        <f>IF(S469="","",IF(ISNUMBER(S469),S469-TODAY(),"Check date"))</f>
        <v/>
      </c>
      <c r="U469" s="22" t="n"/>
      <c r="V469" s="22" t="n"/>
      <c r="W469" s="22" t="n"/>
      <c r="X469" s="22" t="n"/>
    </row>
    <row r="470">
      <c r="A470" s="22" t="n"/>
      <c r="B470" s="22" t="n"/>
      <c r="C470" s="22" t="n"/>
      <c r="D470" s="22" t="n"/>
      <c r="E470" s="23" t="n"/>
      <c r="F470" s="23" t="n"/>
      <c r="G470" s="23" t="n"/>
      <c r="H470" s="24">
        <f>IF(ISNUMBER(G470),EDATE(G470,24),"")</f>
        <v/>
      </c>
      <c r="I470" s="24">
        <f>IF(OR(AND(LEN(F470)&gt;0,ISNUMBER(F470)=FALSE),AND(LEN(G470)&gt;0,ISNUMBER(G470)=FALSE)),"Check date",IF(COUNT(F470,H470)=0,"",MIN(F470,H470)))</f>
        <v/>
      </c>
      <c r="J470" s="25">
        <f>IF(ISNUMBER(I470)=FALSE,"",IF(AND(ISNUMBER(H470),I470=H470),"24-month work rule","Registry expiry"))</f>
        <v/>
      </c>
      <c r="K470" s="26" t="n"/>
      <c r="L470" s="24">
        <f>IF(ISNUMBER(I470),I470-IF(ISNUMBER(K470),K470,30),"")</f>
        <v/>
      </c>
      <c r="M470" s="27">
        <f>IF(I470="","",IF(ISNUMBER(I470),I470-TODAY(),"Check date"))</f>
        <v/>
      </c>
      <c r="N470" s="28">
        <f>IF(M470="","",IF(ISNUMBER(M470),IF(M470&lt;0,"Expired",IF(M470&lt;=30,"Due ≤30 days",IF(M470&lt;=90,"Due ≤90 days","OK"))),"Check date"))</f>
        <v/>
      </c>
      <c r="O470" s="24">
        <f>IF(ISNUMBER(E470),EDATE(E470,12*(IFERROR(DATEDIF(E470,TODAY(),"y"),0)+1)),"")</f>
        <v/>
      </c>
      <c r="P470" s="26" t="n"/>
      <c r="Q470" s="26" t="n"/>
      <c r="R470" s="27">
        <f>IF(LEN(A470)=0,"",MAX(0,IF(ISNUMBER(Q470),Q470,12)-N(P470)))</f>
        <v/>
      </c>
      <c r="S470" s="23" t="n"/>
      <c r="T470" s="27">
        <f>IF(S470="","",IF(ISNUMBER(S470),S470-TODAY(),"Check date"))</f>
        <v/>
      </c>
      <c r="U470" s="22" t="n"/>
      <c r="V470" s="22" t="n"/>
      <c r="W470" s="22" t="n"/>
      <c r="X470" s="22" t="n"/>
    </row>
    <row r="471">
      <c r="A471" s="22" t="n"/>
      <c r="B471" s="22" t="n"/>
      <c r="C471" s="22" t="n"/>
      <c r="D471" s="22" t="n"/>
      <c r="E471" s="23" t="n"/>
      <c r="F471" s="23" t="n"/>
      <c r="G471" s="23" t="n"/>
      <c r="H471" s="24">
        <f>IF(ISNUMBER(G471),EDATE(G471,24),"")</f>
        <v/>
      </c>
      <c r="I471" s="24">
        <f>IF(OR(AND(LEN(F471)&gt;0,ISNUMBER(F471)=FALSE),AND(LEN(G471)&gt;0,ISNUMBER(G471)=FALSE)),"Check date",IF(COUNT(F471,H471)=0,"",MIN(F471,H471)))</f>
        <v/>
      </c>
      <c r="J471" s="25">
        <f>IF(ISNUMBER(I471)=FALSE,"",IF(AND(ISNUMBER(H471),I471=H471),"24-month work rule","Registry expiry"))</f>
        <v/>
      </c>
      <c r="K471" s="26" t="n"/>
      <c r="L471" s="24">
        <f>IF(ISNUMBER(I471),I471-IF(ISNUMBER(K471),K471,30),"")</f>
        <v/>
      </c>
      <c r="M471" s="27">
        <f>IF(I471="","",IF(ISNUMBER(I471),I471-TODAY(),"Check date"))</f>
        <v/>
      </c>
      <c r="N471" s="28">
        <f>IF(M471="","",IF(ISNUMBER(M471),IF(M471&lt;0,"Expired",IF(M471&lt;=30,"Due ≤30 days",IF(M471&lt;=90,"Due ≤90 days","OK"))),"Check date"))</f>
        <v/>
      </c>
      <c r="O471" s="24">
        <f>IF(ISNUMBER(E471),EDATE(E471,12*(IFERROR(DATEDIF(E471,TODAY(),"y"),0)+1)),"")</f>
        <v/>
      </c>
      <c r="P471" s="26" t="n"/>
      <c r="Q471" s="26" t="n"/>
      <c r="R471" s="27">
        <f>IF(LEN(A471)=0,"",MAX(0,IF(ISNUMBER(Q471),Q471,12)-N(P471)))</f>
        <v/>
      </c>
      <c r="S471" s="23" t="n"/>
      <c r="T471" s="27">
        <f>IF(S471="","",IF(ISNUMBER(S471),S471-TODAY(),"Check date"))</f>
        <v/>
      </c>
      <c r="U471" s="22" t="n"/>
      <c r="V471" s="22" t="n"/>
      <c r="W471" s="22" t="n"/>
      <c r="X471" s="22" t="n"/>
    </row>
    <row r="472">
      <c r="A472" s="22" t="n"/>
      <c r="B472" s="22" t="n"/>
      <c r="C472" s="22" t="n"/>
      <c r="D472" s="22" t="n"/>
      <c r="E472" s="23" t="n"/>
      <c r="F472" s="23" t="n"/>
      <c r="G472" s="23" t="n"/>
      <c r="H472" s="24">
        <f>IF(ISNUMBER(G472),EDATE(G472,24),"")</f>
        <v/>
      </c>
      <c r="I472" s="24">
        <f>IF(OR(AND(LEN(F472)&gt;0,ISNUMBER(F472)=FALSE),AND(LEN(G472)&gt;0,ISNUMBER(G472)=FALSE)),"Check date",IF(COUNT(F472,H472)=0,"",MIN(F472,H472)))</f>
        <v/>
      </c>
      <c r="J472" s="25">
        <f>IF(ISNUMBER(I472)=FALSE,"",IF(AND(ISNUMBER(H472),I472=H472),"24-month work rule","Registry expiry"))</f>
        <v/>
      </c>
      <c r="K472" s="26" t="n"/>
      <c r="L472" s="24">
        <f>IF(ISNUMBER(I472),I472-IF(ISNUMBER(K472),K472,30),"")</f>
        <v/>
      </c>
      <c r="M472" s="27">
        <f>IF(I472="","",IF(ISNUMBER(I472),I472-TODAY(),"Check date"))</f>
        <v/>
      </c>
      <c r="N472" s="28">
        <f>IF(M472="","",IF(ISNUMBER(M472),IF(M472&lt;0,"Expired",IF(M472&lt;=30,"Due ≤30 days",IF(M472&lt;=90,"Due ≤90 days","OK"))),"Check date"))</f>
        <v/>
      </c>
      <c r="O472" s="24">
        <f>IF(ISNUMBER(E472),EDATE(E472,12*(IFERROR(DATEDIF(E472,TODAY(),"y"),0)+1)),"")</f>
        <v/>
      </c>
      <c r="P472" s="26" t="n"/>
      <c r="Q472" s="26" t="n"/>
      <c r="R472" s="27">
        <f>IF(LEN(A472)=0,"",MAX(0,IF(ISNUMBER(Q472),Q472,12)-N(P472)))</f>
        <v/>
      </c>
      <c r="S472" s="23" t="n"/>
      <c r="T472" s="27">
        <f>IF(S472="","",IF(ISNUMBER(S472),S472-TODAY(),"Check date"))</f>
        <v/>
      </c>
      <c r="U472" s="22" t="n"/>
      <c r="V472" s="22" t="n"/>
      <c r="W472" s="22" t="n"/>
      <c r="X472" s="22" t="n"/>
    </row>
    <row r="473">
      <c r="A473" s="22" t="n"/>
      <c r="B473" s="22" t="n"/>
      <c r="C473" s="22" t="n"/>
      <c r="D473" s="22" t="n"/>
      <c r="E473" s="23" t="n"/>
      <c r="F473" s="23" t="n"/>
      <c r="G473" s="23" t="n"/>
      <c r="H473" s="24">
        <f>IF(ISNUMBER(G473),EDATE(G473,24),"")</f>
        <v/>
      </c>
      <c r="I473" s="24">
        <f>IF(OR(AND(LEN(F473)&gt;0,ISNUMBER(F473)=FALSE),AND(LEN(G473)&gt;0,ISNUMBER(G473)=FALSE)),"Check date",IF(COUNT(F473,H473)=0,"",MIN(F473,H473)))</f>
        <v/>
      </c>
      <c r="J473" s="25">
        <f>IF(ISNUMBER(I473)=FALSE,"",IF(AND(ISNUMBER(H473),I473=H473),"24-month work rule","Registry expiry"))</f>
        <v/>
      </c>
      <c r="K473" s="26" t="n"/>
      <c r="L473" s="24">
        <f>IF(ISNUMBER(I473),I473-IF(ISNUMBER(K473),K473,30),"")</f>
        <v/>
      </c>
      <c r="M473" s="27">
        <f>IF(I473="","",IF(ISNUMBER(I473),I473-TODAY(),"Check date"))</f>
        <v/>
      </c>
      <c r="N473" s="28">
        <f>IF(M473="","",IF(ISNUMBER(M473),IF(M473&lt;0,"Expired",IF(M473&lt;=30,"Due ≤30 days",IF(M473&lt;=90,"Due ≤90 days","OK"))),"Check date"))</f>
        <v/>
      </c>
      <c r="O473" s="24">
        <f>IF(ISNUMBER(E473),EDATE(E473,12*(IFERROR(DATEDIF(E473,TODAY(),"y"),0)+1)),"")</f>
        <v/>
      </c>
      <c r="P473" s="26" t="n"/>
      <c r="Q473" s="26" t="n"/>
      <c r="R473" s="27">
        <f>IF(LEN(A473)=0,"",MAX(0,IF(ISNUMBER(Q473),Q473,12)-N(P473)))</f>
        <v/>
      </c>
      <c r="S473" s="23" t="n"/>
      <c r="T473" s="27">
        <f>IF(S473="","",IF(ISNUMBER(S473),S473-TODAY(),"Check date"))</f>
        <v/>
      </c>
      <c r="U473" s="22" t="n"/>
      <c r="V473" s="22" t="n"/>
      <c r="W473" s="22" t="n"/>
      <c r="X473" s="22" t="n"/>
    </row>
    <row r="474">
      <c r="A474" s="22" t="n"/>
      <c r="B474" s="22" t="n"/>
      <c r="C474" s="22" t="n"/>
      <c r="D474" s="22" t="n"/>
      <c r="E474" s="23" t="n"/>
      <c r="F474" s="23" t="n"/>
      <c r="G474" s="23" t="n"/>
      <c r="H474" s="24">
        <f>IF(ISNUMBER(G474),EDATE(G474,24),"")</f>
        <v/>
      </c>
      <c r="I474" s="24">
        <f>IF(OR(AND(LEN(F474)&gt;0,ISNUMBER(F474)=FALSE),AND(LEN(G474)&gt;0,ISNUMBER(G474)=FALSE)),"Check date",IF(COUNT(F474,H474)=0,"",MIN(F474,H474)))</f>
        <v/>
      </c>
      <c r="J474" s="25">
        <f>IF(ISNUMBER(I474)=FALSE,"",IF(AND(ISNUMBER(H474),I474=H474),"24-month work rule","Registry expiry"))</f>
        <v/>
      </c>
      <c r="K474" s="26" t="n"/>
      <c r="L474" s="24">
        <f>IF(ISNUMBER(I474),I474-IF(ISNUMBER(K474),K474,30),"")</f>
        <v/>
      </c>
      <c r="M474" s="27">
        <f>IF(I474="","",IF(ISNUMBER(I474),I474-TODAY(),"Check date"))</f>
        <v/>
      </c>
      <c r="N474" s="28">
        <f>IF(M474="","",IF(ISNUMBER(M474),IF(M474&lt;0,"Expired",IF(M474&lt;=30,"Due ≤30 days",IF(M474&lt;=90,"Due ≤90 days","OK"))),"Check date"))</f>
        <v/>
      </c>
      <c r="O474" s="24">
        <f>IF(ISNUMBER(E474),EDATE(E474,12*(IFERROR(DATEDIF(E474,TODAY(),"y"),0)+1)),"")</f>
        <v/>
      </c>
      <c r="P474" s="26" t="n"/>
      <c r="Q474" s="26" t="n"/>
      <c r="R474" s="27">
        <f>IF(LEN(A474)=0,"",MAX(0,IF(ISNUMBER(Q474),Q474,12)-N(P474)))</f>
        <v/>
      </c>
      <c r="S474" s="23" t="n"/>
      <c r="T474" s="27">
        <f>IF(S474="","",IF(ISNUMBER(S474),S474-TODAY(),"Check date"))</f>
        <v/>
      </c>
      <c r="U474" s="22" t="n"/>
      <c r="V474" s="22" t="n"/>
      <c r="W474" s="22" t="n"/>
      <c r="X474" s="22" t="n"/>
    </row>
    <row r="475">
      <c r="A475" s="22" t="n"/>
      <c r="B475" s="22" t="n"/>
      <c r="C475" s="22" t="n"/>
      <c r="D475" s="22" t="n"/>
      <c r="E475" s="23" t="n"/>
      <c r="F475" s="23" t="n"/>
      <c r="G475" s="23" t="n"/>
      <c r="H475" s="24">
        <f>IF(ISNUMBER(G475),EDATE(G475,24),"")</f>
        <v/>
      </c>
      <c r="I475" s="24">
        <f>IF(OR(AND(LEN(F475)&gt;0,ISNUMBER(F475)=FALSE),AND(LEN(G475)&gt;0,ISNUMBER(G475)=FALSE)),"Check date",IF(COUNT(F475,H475)=0,"",MIN(F475,H475)))</f>
        <v/>
      </c>
      <c r="J475" s="25">
        <f>IF(ISNUMBER(I475)=FALSE,"",IF(AND(ISNUMBER(H475),I475=H475),"24-month work rule","Registry expiry"))</f>
        <v/>
      </c>
      <c r="K475" s="26" t="n"/>
      <c r="L475" s="24">
        <f>IF(ISNUMBER(I475),I475-IF(ISNUMBER(K475),K475,30),"")</f>
        <v/>
      </c>
      <c r="M475" s="27">
        <f>IF(I475="","",IF(ISNUMBER(I475),I475-TODAY(),"Check date"))</f>
        <v/>
      </c>
      <c r="N475" s="28">
        <f>IF(M475="","",IF(ISNUMBER(M475),IF(M475&lt;0,"Expired",IF(M475&lt;=30,"Due ≤30 days",IF(M475&lt;=90,"Due ≤90 days","OK"))),"Check date"))</f>
        <v/>
      </c>
      <c r="O475" s="24">
        <f>IF(ISNUMBER(E475),EDATE(E475,12*(IFERROR(DATEDIF(E475,TODAY(),"y"),0)+1)),"")</f>
        <v/>
      </c>
      <c r="P475" s="26" t="n"/>
      <c r="Q475" s="26" t="n"/>
      <c r="R475" s="27">
        <f>IF(LEN(A475)=0,"",MAX(0,IF(ISNUMBER(Q475),Q475,12)-N(P475)))</f>
        <v/>
      </c>
      <c r="S475" s="23" t="n"/>
      <c r="T475" s="27">
        <f>IF(S475="","",IF(ISNUMBER(S475),S475-TODAY(),"Check date"))</f>
        <v/>
      </c>
      <c r="U475" s="22" t="n"/>
      <c r="V475" s="22" t="n"/>
      <c r="W475" s="22" t="n"/>
      <c r="X475" s="22" t="n"/>
    </row>
    <row r="476">
      <c r="A476" s="22" t="n"/>
      <c r="B476" s="22" t="n"/>
      <c r="C476" s="22" t="n"/>
      <c r="D476" s="22" t="n"/>
      <c r="E476" s="23" t="n"/>
      <c r="F476" s="23" t="n"/>
      <c r="G476" s="23" t="n"/>
      <c r="H476" s="24">
        <f>IF(ISNUMBER(G476),EDATE(G476,24),"")</f>
        <v/>
      </c>
      <c r="I476" s="24">
        <f>IF(OR(AND(LEN(F476)&gt;0,ISNUMBER(F476)=FALSE),AND(LEN(G476)&gt;0,ISNUMBER(G476)=FALSE)),"Check date",IF(COUNT(F476,H476)=0,"",MIN(F476,H476)))</f>
        <v/>
      </c>
      <c r="J476" s="25">
        <f>IF(ISNUMBER(I476)=FALSE,"",IF(AND(ISNUMBER(H476),I476=H476),"24-month work rule","Registry expiry"))</f>
        <v/>
      </c>
      <c r="K476" s="26" t="n"/>
      <c r="L476" s="24">
        <f>IF(ISNUMBER(I476),I476-IF(ISNUMBER(K476),K476,30),"")</f>
        <v/>
      </c>
      <c r="M476" s="27">
        <f>IF(I476="","",IF(ISNUMBER(I476),I476-TODAY(),"Check date"))</f>
        <v/>
      </c>
      <c r="N476" s="28">
        <f>IF(M476="","",IF(ISNUMBER(M476),IF(M476&lt;0,"Expired",IF(M476&lt;=30,"Due ≤30 days",IF(M476&lt;=90,"Due ≤90 days","OK"))),"Check date"))</f>
        <v/>
      </c>
      <c r="O476" s="24">
        <f>IF(ISNUMBER(E476),EDATE(E476,12*(IFERROR(DATEDIF(E476,TODAY(),"y"),0)+1)),"")</f>
        <v/>
      </c>
      <c r="P476" s="26" t="n"/>
      <c r="Q476" s="26" t="n"/>
      <c r="R476" s="27">
        <f>IF(LEN(A476)=0,"",MAX(0,IF(ISNUMBER(Q476),Q476,12)-N(P476)))</f>
        <v/>
      </c>
      <c r="S476" s="23" t="n"/>
      <c r="T476" s="27">
        <f>IF(S476="","",IF(ISNUMBER(S476),S476-TODAY(),"Check date"))</f>
        <v/>
      </c>
      <c r="U476" s="22" t="n"/>
      <c r="V476" s="22" t="n"/>
      <c r="W476" s="22" t="n"/>
      <c r="X476" s="22" t="n"/>
    </row>
    <row r="477">
      <c r="A477" s="22" t="n"/>
      <c r="B477" s="22" t="n"/>
      <c r="C477" s="22" t="n"/>
      <c r="D477" s="22" t="n"/>
      <c r="E477" s="23" t="n"/>
      <c r="F477" s="23" t="n"/>
      <c r="G477" s="23" t="n"/>
      <c r="H477" s="24">
        <f>IF(ISNUMBER(G477),EDATE(G477,24),"")</f>
        <v/>
      </c>
      <c r="I477" s="24">
        <f>IF(OR(AND(LEN(F477)&gt;0,ISNUMBER(F477)=FALSE),AND(LEN(G477)&gt;0,ISNUMBER(G477)=FALSE)),"Check date",IF(COUNT(F477,H477)=0,"",MIN(F477,H477)))</f>
        <v/>
      </c>
      <c r="J477" s="25">
        <f>IF(ISNUMBER(I477)=FALSE,"",IF(AND(ISNUMBER(H477),I477=H477),"24-month work rule","Registry expiry"))</f>
        <v/>
      </c>
      <c r="K477" s="26" t="n"/>
      <c r="L477" s="24">
        <f>IF(ISNUMBER(I477),I477-IF(ISNUMBER(K477),K477,30),"")</f>
        <v/>
      </c>
      <c r="M477" s="27">
        <f>IF(I477="","",IF(ISNUMBER(I477),I477-TODAY(),"Check date"))</f>
        <v/>
      </c>
      <c r="N477" s="28">
        <f>IF(M477="","",IF(ISNUMBER(M477),IF(M477&lt;0,"Expired",IF(M477&lt;=30,"Due ≤30 days",IF(M477&lt;=90,"Due ≤90 days","OK"))),"Check date"))</f>
        <v/>
      </c>
      <c r="O477" s="24">
        <f>IF(ISNUMBER(E477),EDATE(E477,12*(IFERROR(DATEDIF(E477,TODAY(),"y"),0)+1)),"")</f>
        <v/>
      </c>
      <c r="P477" s="26" t="n"/>
      <c r="Q477" s="26" t="n"/>
      <c r="R477" s="27">
        <f>IF(LEN(A477)=0,"",MAX(0,IF(ISNUMBER(Q477),Q477,12)-N(P477)))</f>
        <v/>
      </c>
      <c r="S477" s="23" t="n"/>
      <c r="T477" s="27">
        <f>IF(S477="","",IF(ISNUMBER(S477),S477-TODAY(),"Check date"))</f>
        <v/>
      </c>
      <c r="U477" s="22" t="n"/>
      <c r="V477" s="22" t="n"/>
      <c r="W477" s="22" t="n"/>
      <c r="X477" s="22" t="n"/>
    </row>
    <row r="478">
      <c r="A478" s="22" t="n"/>
      <c r="B478" s="22" t="n"/>
      <c r="C478" s="22" t="n"/>
      <c r="D478" s="22" t="n"/>
      <c r="E478" s="23" t="n"/>
      <c r="F478" s="23" t="n"/>
      <c r="G478" s="23" t="n"/>
      <c r="H478" s="24">
        <f>IF(ISNUMBER(G478),EDATE(G478,24),"")</f>
        <v/>
      </c>
      <c r="I478" s="24">
        <f>IF(OR(AND(LEN(F478)&gt;0,ISNUMBER(F478)=FALSE),AND(LEN(G478)&gt;0,ISNUMBER(G478)=FALSE)),"Check date",IF(COUNT(F478,H478)=0,"",MIN(F478,H478)))</f>
        <v/>
      </c>
      <c r="J478" s="25">
        <f>IF(ISNUMBER(I478)=FALSE,"",IF(AND(ISNUMBER(H478),I478=H478),"24-month work rule","Registry expiry"))</f>
        <v/>
      </c>
      <c r="K478" s="26" t="n"/>
      <c r="L478" s="24">
        <f>IF(ISNUMBER(I478),I478-IF(ISNUMBER(K478),K478,30),"")</f>
        <v/>
      </c>
      <c r="M478" s="27">
        <f>IF(I478="","",IF(ISNUMBER(I478),I478-TODAY(),"Check date"))</f>
        <v/>
      </c>
      <c r="N478" s="28">
        <f>IF(M478="","",IF(ISNUMBER(M478),IF(M478&lt;0,"Expired",IF(M478&lt;=30,"Due ≤30 days",IF(M478&lt;=90,"Due ≤90 days","OK"))),"Check date"))</f>
        <v/>
      </c>
      <c r="O478" s="24">
        <f>IF(ISNUMBER(E478),EDATE(E478,12*(IFERROR(DATEDIF(E478,TODAY(),"y"),0)+1)),"")</f>
        <v/>
      </c>
      <c r="P478" s="26" t="n"/>
      <c r="Q478" s="26" t="n"/>
      <c r="R478" s="27">
        <f>IF(LEN(A478)=0,"",MAX(0,IF(ISNUMBER(Q478),Q478,12)-N(P478)))</f>
        <v/>
      </c>
      <c r="S478" s="23" t="n"/>
      <c r="T478" s="27">
        <f>IF(S478="","",IF(ISNUMBER(S478),S478-TODAY(),"Check date"))</f>
        <v/>
      </c>
      <c r="U478" s="22" t="n"/>
      <c r="V478" s="22" t="n"/>
      <c r="W478" s="22" t="n"/>
      <c r="X478" s="22" t="n"/>
    </row>
    <row r="479">
      <c r="A479" s="22" t="n"/>
      <c r="B479" s="22" t="n"/>
      <c r="C479" s="22" t="n"/>
      <c r="D479" s="22" t="n"/>
      <c r="E479" s="23" t="n"/>
      <c r="F479" s="23" t="n"/>
      <c r="G479" s="23" t="n"/>
      <c r="H479" s="24">
        <f>IF(ISNUMBER(G479),EDATE(G479,24),"")</f>
        <v/>
      </c>
      <c r="I479" s="24">
        <f>IF(OR(AND(LEN(F479)&gt;0,ISNUMBER(F479)=FALSE),AND(LEN(G479)&gt;0,ISNUMBER(G479)=FALSE)),"Check date",IF(COUNT(F479,H479)=0,"",MIN(F479,H479)))</f>
        <v/>
      </c>
      <c r="J479" s="25">
        <f>IF(ISNUMBER(I479)=FALSE,"",IF(AND(ISNUMBER(H479),I479=H479),"24-month work rule","Registry expiry"))</f>
        <v/>
      </c>
      <c r="K479" s="26" t="n"/>
      <c r="L479" s="24">
        <f>IF(ISNUMBER(I479),I479-IF(ISNUMBER(K479),K479,30),"")</f>
        <v/>
      </c>
      <c r="M479" s="27">
        <f>IF(I479="","",IF(ISNUMBER(I479),I479-TODAY(),"Check date"))</f>
        <v/>
      </c>
      <c r="N479" s="28">
        <f>IF(M479="","",IF(ISNUMBER(M479),IF(M479&lt;0,"Expired",IF(M479&lt;=30,"Due ≤30 days",IF(M479&lt;=90,"Due ≤90 days","OK"))),"Check date"))</f>
        <v/>
      </c>
      <c r="O479" s="24">
        <f>IF(ISNUMBER(E479),EDATE(E479,12*(IFERROR(DATEDIF(E479,TODAY(),"y"),0)+1)),"")</f>
        <v/>
      </c>
      <c r="P479" s="26" t="n"/>
      <c r="Q479" s="26" t="n"/>
      <c r="R479" s="27">
        <f>IF(LEN(A479)=0,"",MAX(0,IF(ISNUMBER(Q479),Q479,12)-N(P479)))</f>
        <v/>
      </c>
      <c r="S479" s="23" t="n"/>
      <c r="T479" s="27">
        <f>IF(S479="","",IF(ISNUMBER(S479),S479-TODAY(),"Check date"))</f>
        <v/>
      </c>
      <c r="U479" s="22" t="n"/>
      <c r="V479" s="22" t="n"/>
      <c r="W479" s="22" t="n"/>
      <c r="X479" s="22" t="n"/>
    </row>
    <row r="480">
      <c r="A480" s="22" t="n"/>
      <c r="B480" s="22" t="n"/>
      <c r="C480" s="22" t="n"/>
      <c r="D480" s="22" t="n"/>
      <c r="E480" s="23" t="n"/>
      <c r="F480" s="23" t="n"/>
      <c r="G480" s="23" t="n"/>
      <c r="H480" s="24">
        <f>IF(ISNUMBER(G480),EDATE(G480,24),"")</f>
        <v/>
      </c>
      <c r="I480" s="24">
        <f>IF(OR(AND(LEN(F480)&gt;0,ISNUMBER(F480)=FALSE),AND(LEN(G480)&gt;0,ISNUMBER(G480)=FALSE)),"Check date",IF(COUNT(F480,H480)=0,"",MIN(F480,H480)))</f>
        <v/>
      </c>
      <c r="J480" s="25">
        <f>IF(ISNUMBER(I480)=FALSE,"",IF(AND(ISNUMBER(H480),I480=H480),"24-month work rule","Registry expiry"))</f>
        <v/>
      </c>
      <c r="K480" s="26" t="n"/>
      <c r="L480" s="24">
        <f>IF(ISNUMBER(I480),I480-IF(ISNUMBER(K480),K480,30),"")</f>
        <v/>
      </c>
      <c r="M480" s="27">
        <f>IF(I480="","",IF(ISNUMBER(I480),I480-TODAY(),"Check date"))</f>
        <v/>
      </c>
      <c r="N480" s="28">
        <f>IF(M480="","",IF(ISNUMBER(M480),IF(M480&lt;0,"Expired",IF(M480&lt;=30,"Due ≤30 days",IF(M480&lt;=90,"Due ≤90 days","OK"))),"Check date"))</f>
        <v/>
      </c>
      <c r="O480" s="24">
        <f>IF(ISNUMBER(E480),EDATE(E480,12*(IFERROR(DATEDIF(E480,TODAY(),"y"),0)+1)),"")</f>
        <v/>
      </c>
      <c r="P480" s="26" t="n"/>
      <c r="Q480" s="26" t="n"/>
      <c r="R480" s="27">
        <f>IF(LEN(A480)=0,"",MAX(0,IF(ISNUMBER(Q480),Q480,12)-N(P480)))</f>
        <v/>
      </c>
      <c r="S480" s="23" t="n"/>
      <c r="T480" s="27">
        <f>IF(S480="","",IF(ISNUMBER(S480),S480-TODAY(),"Check date"))</f>
        <v/>
      </c>
      <c r="U480" s="22" t="n"/>
      <c r="V480" s="22" t="n"/>
      <c r="W480" s="22" t="n"/>
      <c r="X480" s="22" t="n"/>
    </row>
    <row r="481">
      <c r="A481" s="22" t="n"/>
      <c r="B481" s="22" t="n"/>
      <c r="C481" s="22" t="n"/>
      <c r="D481" s="22" t="n"/>
      <c r="E481" s="23" t="n"/>
      <c r="F481" s="23" t="n"/>
      <c r="G481" s="23" t="n"/>
      <c r="H481" s="24">
        <f>IF(ISNUMBER(G481),EDATE(G481,24),"")</f>
        <v/>
      </c>
      <c r="I481" s="24">
        <f>IF(OR(AND(LEN(F481)&gt;0,ISNUMBER(F481)=FALSE),AND(LEN(G481)&gt;0,ISNUMBER(G481)=FALSE)),"Check date",IF(COUNT(F481,H481)=0,"",MIN(F481,H481)))</f>
        <v/>
      </c>
      <c r="J481" s="25">
        <f>IF(ISNUMBER(I481)=FALSE,"",IF(AND(ISNUMBER(H481),I481=H481),"24-month work rule","Registry expiry"))</f>
        <v/>
      </c>
      <c r="K481" s="26" t="n"/>
      <c r="L481" s="24">
        <f>IF(ISNUMBER(I481),I481-IF(ISNUMBER(K481),K481,30),"")</f>
        <v/>
      </c>
      <c r="M481" s="27">
        <f>IF(I481="","",IF(ISNUMBER(I481),I481-TODAY(),"Check date"))</f>
        <v/>
      </c>
      <c r="N481" s="28">
        <f>IF(M481="","",IF(ISNUMBER(M481),IF(M481&lt;0,"Expired",IF(M481&lt;=30,"Due ≤30 days",IF(M481&lt;=90,"Due ≤90 days","OK"))),"Check date"))</f>
        <v/>
      </c>
      <c r="O481" s="24">
        <f>IF(ISNUMBER(E481),EDATE(E481,12*(IFERROR(DATEDIF(E481,TODAY(),"y"),0)+1)),"")</f>
        <v/>
      </c>
      <c r="P481" s="26" t="n"/>
      <c r="Q481" s="26" t="n"/>
      <c r="R481" s="27">
        <f>IF(LEN(A481)=0,"",MAX(0,IF(ISNUMBER(Q481),Q481,12)-N(P481)))</f>
        <v/>
      </c>
      <c r="S481" s="23" t="n"/>
      <c r="T481" s="27">
        <f>IF(S481="","",IF(ISNUMBER(S481),S481-TODAY(),"Check date"))</f>
        <v/>
      </c>
      <c r="U481" s="22" t="n"/>
      <c r="V481" s="22" t="n"/>
      <c r="W481" s="22" t="n"/>
      <c r="X481" s="22" t="n"/>
    </row>
    <row r="482">
      <c r="A482" s="22" t="n"/>
      <c r="B482" s="22" t="n"/>
      <c r="C482" s="22" t="n"/>
      <c r="D482" s="22" t="n"/>
      <c r="E482" s="23" t="n"/>
      <c r="F482" s="23" t="n"/>
      <c r="G482" s="23" t="n"/>
      <c r="H482" s="24">
        <f>IF(ISNUMBER(G482),EDATE(G482,24),"")</f>
        <v/>
      </c>
      <c r="I482" s="24">
        <f>IF(OR(AND(LEN(F482)&gt;0,ISNUMBER(F482)=FALSE),AND(LEN(G482)&gt;0,ISNUMBER(G482)=FALSE)),"Check date",IF(COUNT(F482,H482)=0,"",MIN(F482,H482)))</f>
        <v/>
      </c>
      <c r="J482" s="25">
        <f>IF(ISNUMBER(I482)=FALSE,"",IF(AND(ISNUMBER(H482),I482=H482),"24-month work rule","Registry expiry"))</f>
        <v/>
      </c>
      <c r="K482" s="26" t="n"/>
      <c r="L482" s="24">
        <f>IF(ISNUMBER(I482),I482-IF(ISNUMBER(K482),K482,30),"")</f>
        <v/>
      </c>
      <c r="M482" s="27">
        <f>IF(I482="","",IF(ISNUMBER(I482),I482-TODAY(),"Check date"))</f>
        <v/>
      </c>
      <c r="N482" s="28">
        <f>IF(M482="","",IF(ISNUMBER(M482),IF(M482&lt;0,"Expired",IF(M482&lt;=30,"Due ≤30 days",IF(M482&lt;=90,"Due ≤90 days","OK"))),"Check date"))</f>
        <v/>
      </c>
      <c r="O482" s="24">
        <f>IF(ISNUMBER(E482),EDATE(E482,12*(IFERROR(DATEDIF(E482,TODAY(),"y"),0)+1)),"")</f>
        <v/>
      </c>
      <c r="P482" s="26" t="n"/>
      <c r="Q482" s="26" t="n"/>
      <c r="R482" s="27">
        <f>IF(LEN(A482)=0,"",MAX(0,IF(ISNUMBER(Q482),Q482,12)-N(P482)))</f>
        <v/>
      </c>
      <c r="S482" s="23" t="n"/>
      <c r="T482" s="27">
        <f>IF(S482="","",IF(ISNUMBER(S482),S482-TODAY(),"Check date"))</f>
        <v/>
      </c>
      <c r="U482" s="22" t="n"/>
      <c r="V482" s="22" t="n"/>
      <c r="W482" s="22" t="n"/>
      <c r="X482" s="22" t="n"/>
    </row>
    <row r="483">
      <c r="A483" s="22" t="n"/>
      <c r="B483" s="22" t="n"/>
      <c r="C483" s="22" t="n"/>
      <c r="D483" s="22" t="n"/>
      <c r="E483" s="23" t="n"/>
      <c r="F483" s="23" t="n"/>
      <c r="G483" s="23" t="n"/>
      <c r="H483" s="24">
        <f>IF(ISNUMBER(G483),EDATE(G483,24),"")</f>
        <v/>
      </c>
      <c r="I483" s="24">
        <f>IF(OR(AND(LEN(F483)&gt;0,ISNUMBER(F483)=FALSE),AND(LEN(G483)&gt;0,ISNUMBER(G483)=FALSE)),"Check date",IF(COUNT(F483,H483)=0,"",MIN(F483,H483)))</f>
        <v/>
      </c>
      <c r="J483" s="25">
        <f>IF(ISNUMBER(I483)=FALSE,"",IF(AND(ISNUMBER(H483),I483=H483),"24-month work rule","Registry expiry"))</f>
        <v/>
      </c>
      <c r="K483" s="26" t="n"/>
      <c r="L483" s="24">
        <f>IF(ISNUMBER(I483),I483-IF(ISNUMBER(K483),K483,30),"")</f>
        <v/>
      </c>
      <c r="M483" s="27">
        <f>IF(I483="","",IF(ISNUMBER(I483),I483-TODAY(),"Check date"))</f>
        <v/>
      </c>
      <c r="N483" s="28">
        <f>IF(M483="","",IF(ISNUMBER(M483),IF(M483&lt;0,"Expired",IF(M483&lt;=30,"Due ≤30 days",IF(M483&lt;=90,"Due ≤90 days","OK"))),"Check date"))</f>
        <v/>
      </c>
      <c r="O483" s="24">
        <f>IF(ISNUMBER(E483),EDATE(E483,12*(IFERROR(DATEDIF(E483,TODAY(),"y"),0)+1)),"")</f>
        <v/>
      </c>
      <c r="P483" s="26" t="n"/>
      <c r="Q483" s="26" t="n"/>
      <c r="R483" s="27">
        <f>IF(LEN(A483)=0,"",MAX(0,IF(ISNUMBER(Q483),Q483,12)-N(P483)))</f>
        <v/>
      </c>
      <c r="S483" s="23" t="n"/>
      <c r="T483" s="27">
        <f>IF(S483="","",IF(ISNUMBER(S483),S483-TODAY(),"Check date"))</f>
        <v/>
      </c>
      <c r="U483" s="22" t="n"/>
      <c r="V483" s="22" t="n"/>
      <c r="W483" s="22" t="n"/>
      <c r="X483" s="22" t="n"/>
    </row>
    <row r="484">
      <c r="A484" s="22" t="n"/>
      <c r="B484" s="22" t="n"/>
      <c r="C484" s="22" t="n"/>
      <c r="D484" s="22" t="n"/>
      <c r="E484" s="23" t="n"/>
      <c r="F484" s="23" t="n"/>
      <c r="G484" s="23" t="n"/>
      <c r="H484" s="24">
        <f>IF(ISNUMBER(G484),EDATE(G484,24),"")</f>
        <v/>
      </c>
      <c r="I484" s="24">
        <f>IF(OR(AND(LEN(F484)&gt;0,ISNUMBER(F484)=FALSE),AND(LEN(G484)&gt;0,ISNUMBER(G484)=FALSE)),"Check date",IF(COUNT(F484,H484)=0,"",MIN(F484,H484)))</f>
        <v/>
      </c>
      <c r="J484" s="25">
        <f>IF(ISNUMBER(I484)=FALSE,"",IF(AND(ISNUMBER(H484),I484=H484),"24-month work rule","Registry expiry"))</f>
        <v/>
      </c>
      <c r="K484" s="26" t="n"/>
      <c r="L484" s="24">
        <f>IF(ISNUMBER(I484),I484-IF(ISNUMBER(K484),K484,30),"")</f>
        <v/>
      </c>
      <c r="M484" s="27">
        <f>IF(I484="","",IF(ISNUMBER(I484),I484-TODAY(),"Check date"))</f>
        <v/>
      </c>
      <c r="N484" s="28">
        <f>IF(M484="","",IF(ISNUMBER(M484),IF(M484&lt;0,"Expired",IF(M484&lt;=30,"Due ≤30 days",IF(M484&lt;=90,"Due ≤90 days","OK"))),"Check date"))</f>
        <v/>
      </c>
      <c r="O484" s="24">
        <f>IF(ISNUMBER(E484),EDATE(E484,12*(IFERROR(DATEDIF(E484,TODAY(),"y"),0)+1)),"")</f>
        <v/>
      </c>
      <c r="P484" s="26" t="n"/>
      <c r="Q484" s="26" t="n"/>
      <c r="R484" s="27">
        <f>IF(LEN(A484)=0,"",MAX(0,IF(ISNUMBER(Q484),Q484,12)-N(P484)))</f>
        <v/>
      </c>
      <c r="S484" s="23" t="n"/>
      <c r="T484" s="27">
        <f>IF(S484="","",IF(ISNUMBER(S484),S484-TODAY(),"Check date"))</f>
        <v/>
      </c>
      <c r="U484" s="22" t="n"/>
      <c r="V484" s="22" t="n"/>
      <c r="W484" s="22" t="n"/>
      <c r="X484" s="22" t="n"/>
    </row>
    <row r="485">
      <c r="A485" s="22" t="n"/>
      <c r="B485" s="22" t="n"/>
      <c r="C485" s="22" t="n"/>
      <c r="D485" s="22" t="n"/>
      <c r="E485" s="23" t="n"/>
      <c r="F485" s="23" t="n"/>
      <c r="G485" s="23" t="n"/>
      <c r="H485" s="24">
        <f>IF(ISNUMBER(G485),EDATE(G485,24),"")</f>
        <v/>
      </c>
      <c r="I485" s="24">
        <f>IF(OR(AND(LEN(F485)&gt;0,ISNUMBER(F485)=FALSE),AND(LEN(G485)&gt;0,ISNUMBER(G485)=FALSE)),"Check date",IF(COUNT(F485,H485)=0,"",MIN(F485,H485)))</f>
        <v/>
      </c>
      <c r="J485" s="25">
        <f>IF(ISNUMBER(I485)=FALSE,"",IF(AND(ISNUMBER(H485),I485=H485),"24-month work rule","Registry expiry"))</f>
        <v/>
      </c>
      <c r="K485" s="26" t="n"/>
      <c r="L485" s="24">
        <f>IF(ISNUMBER(I485),I485-IF(ISNUMBER(K485),K485,30),"")</f>
        <v/>
      </c>
      <c r="M485" s="27">
        <f>IF(I485="","",IF(ISNUMBER(I485),I485-TODAY(),"Check date"))</f>
        <v/>
      </c>
      <c r="N485" s="28">
        <f>IF(M485="","",IF(ISNUMBER(M485),IF(M485&lt;0,"Expired",IF(M485&lt;=30,"Due ≤30 days",IF(M485&lt;=90,"Due ≤90 days","OK"))),"Check date"))</f>
        <v/>
      </c>
      <c r="O485" s="24">
        <f>IF(ISNUMBER(E485),EDATE(E485,12*(IFERROR(DATEDIF(E485,TODAY(),"y"),0)+1)),"")</f>
        <v/>
      </c>
      <c r="P485" s="26" t="n"/>
      <c r="Q485" s="26" t="n"/>
      <c r="R485" s="27">
        <f>IF(LEN(A485)=0,"",MAX(0,IF(ISNUMBER(Q485),Q485,12)-N(P485)))</f>
        <v/>
      </c>
      <c r="S485" s="23" t="n"/>
      <c r="T485" s="27">
        <f>IF(S485="","",IF(ISNUMBER(S485),S485-TODAY(),"Check date"))</f>
        <v/>
      </c>
      <c r="U485" s="22" t="n"/>
      <c r="V485" s="22" t="n"/>
      <c r="W485" s="22" t="n"/>
      <c r="X485" s="22" t="n"/>
    </row>
    <row r="486">
      <c r="A486" s="22" t="n"/>
      <c r="B486" s="22" t="n"/>
      <c r="C486" s="22" t="n"/>
      <c r="D486" s="22" t="n"/>
      <c r="E486" s="23" t="n"/>
      <c r="F486" s="23" t="n"/>
      <c r="G486" s="23" t="n"/>
      <c r="H486" s="24">
        <f>IF(ISNUMBER(G486),EDATE(G486,24),"")</f>
        <v/>
      </c>
      <c r="I486" s="24">
        <f>IF(OR(AND(LEN(F486)&gt;0,ISNUMBER(F486)=FALSE),AND(LEN(G486)&gt;0,ISNUMBER(G486)=FALSE)),"Check date",IF(COUNT(F486,H486)=0,"",MIN(F486,H486)))</f>
        <v/>
      </c>
      <c r="J486" s="25">
        <f>IF(ISNUMBER(I486)=FALSE,"",IF(AND(ISNUMBER(H486),I486=H486),"24-month work rule","Registry expiry"))</f>
        <v/>
      </c>
      <c r="K486" s="26" t="n"/>
      <c r="L486" s="24">
        <f>IF(ISNUMBER(I486),I486-IF(ISNUMBER(K486),K486,30),"")</f>
        <v/>
      </c>
      <c r="M486" s="27">
        <f>IF(I486="","",IF(ISNUMBER(I486),I486-TODAY(),"Check date"))</f>
        <v/>
      </c>
      <c r="N486" s="28">
        <f>IF(M486="","",IF(ISNUMBER(M486),IF(M486&lt;0,"Expired",IF(M486&lt;=30,"Due ≤30 days",IF(M486&lt;=90,"Due ≤90 days","OK"))),"Check date"))</f>
        <v/>
      </c>
      <c r="O486" s="24">
        <f>IF(ISNUMBER(E486),EDATE(E486,12*(IFERROR(DATEDIF(E486,TODAY(),"y"),0)+1)),"")</f>
        <v/>
      </c>
      <c r="P486" s="26" t="n"/>
      <c r="Q486" s="26" t="n"/>
      <c r="R486" s="27">
        <f>IF(LEN(A486)=0,"",MAX(0,IF(ISNUMBER(Q486),Q486,12)-N(P486)))</f>
        <v/>
      </c>
      <c r="S486" s="23" t="n"/>
      <c r="T486" s="27">
        <f>IF(S486="","",IF(ISNUMBER(S486),S486-TODAY(),"Check date"))</f>
        <v/>
      </c>
      <c r="U486" s="22" t="n"/>
      <c r="V486" s="22" t="n"/>
      <c r="W486" s="22" t="n"/>
      <c r="X486" s="22" t="n"/>
    </row>
    <row r="487">
      <c r="A487" s="22" t="n"/>
      <c r="B487" s="22" t="n"/>
      <c r="C487" s="22" t="n"/>
      <c r="D487" s="22" t="n"/>
      <c r="E487" s="23" t="n"/>
      <c r="F487" s="23" t="n"/>
      <c r="G487" s="23" t="n"/>
      <c r="H487" s="24">
        <f>IF(ISNUMBER(G487),EDATE(G487,24),"")</f>
        <v/>
      </c>
      <c r="I487" s="24">
        <f>IF(OR(AND(LEN(F487)&gt;0,ISNUMBER(F487)=FALSE),AND(LEN(G487)&gt;0,ISNUMBER(G487)=FALSE)),"Check date",IF(COUNT(F487,H487)=0,"",MIN(F487,H487)))</f>
        <v/>
      </c>
      <c r="J487" s="25">
        <f>IF(ISNUMBER(I487)=FALSE,"",IF(AND(ISNUMBER(H487),I487=H487),"24-month work rule","Registry expiry"))</f>
        <v/>
      </c>
      <c r="K487" s="26" t="n"/>
      <c r="L487" s="24">
        <f>IF(ISNUMBER(I487),I487-IF(ISNUMBER(K487),K487,30),"")</f>
        <v/>
      </c>
      <c r="M487" s="27">
        <f>IF(I487="","",IF(ISNUMBER(I487),I487-TODAY(),"Check date"))</f>
        <v/>
      </c>
      <c r="N487" s="28">
        <f>IF(M487="","",IF(ISNUMBER(M487),IF(M487&lt;0,"Expired",IF(M487&lt;=30,"Due ≤30 days",IF(M487&lt;=90,"Due ≤90 days","OK"))),"Check date"))</f>
        <v/>
      </c>
      <c r="O487" s="24">
        <f>IF(ISNUMBER(E487),EDATE(E487,12*(IFERROR(DATEDIF(E487,TODAY(),"y"),0)+1)),"")</f>
        <v/>
      </c>
      <c r="P487" s="26" t="n"/>
      <c r="Q487" s="26" t="n"/>
      <c r="R487" s="27">
        <f>IF(LEN(A487)=0,"",MAX(0,IF(ISNUMBER(Q487),Q487,12)-N(P487)))</f>
        <v/>
      </c>
      <c r="S487" s="23" t="n"/>
      <c r="T487" s="27">
        <f>IF(S487="","",IF(ISNUMBER(S487),S487-TODAY(),"Check date"))</f>
        <v/>
      </c>
      <c r="U487" s="22" t="n"/>
      <c r="V487" s="22" t="n"/>
      <c r="W487" s="22" t="n"/>
      <c r="X487" s="22" t="n"/>
    </row>
    <row r="488">
      <c r="A488" s="22" t="n"/>
      <c r="B488" s="22" t="n"/>
      <c r="C488" s="22" t="n"/>
      <c r="D488" s="22" t="n"/>
      <c r="E488" s="23" t="n"/>
      <c r="F488" s="23" t="n"/>
      <c r="G488" s="23" t="n"/>
      <c r="H488" s="24">
        <f>IF(ISNUMBER(G488),EDATE(G488,24),"")</f>
        <v/>
      </c>
      <c r="I488" s="24">
        <f>IF(OR(AND(LEN(F488)&gt;0,ISNUMBER(F488)=FALSE),AND(LEN(G488)&gt;0,ISNUMBER(G488)=FALSE)),"Check date",IF(COUNT(F488,H488)=0,"",MIN(F488,H488)))</f>
        <v/>
      </c>
      <c r="J488" s="25">
        <f>IF(ISNUMBER(I488)=FALSE,"",IF(AND(ISNUMBER(H488),I488=H488),"24-month work rule","Registry expiry"))</f>
        <v/>
      </c>
      <c r="K488" s="26" t="n"/>
      <c r="L488" s="24">
        <f>IF(ISNUMBER(I488),I488-IF(ISNUMBER(K488),K488,30),"")</f>
        <v/>
      </c>
      <c r="M488" s="27">
        <f>IF(I488="","",IF(ISNUMBER(I488),I488-TODAY(),"Check date"))</f>
        <v/>
      </c>
      <c r="N488" s="28">
        <f>IF(M488="","",IF(ISNUMBER(M488),IF(M488&lt;0,"Expired",IF(M488&lt;=30,"Due ≤30 days",IF(M488&lt;=90,"Due ≤90 days","OK"))),"Check date"))</f>
        <v/>
      </c>
      <c r="O488" s="24">
        <f>IF(ISNUMBER(E488),EDATE(E488,12*(IFERROR(DATEDIF(E488,TODAY(),"y"),0)+1)),"")</f>
        <v/>
      </c>
      <c r="P488" s="26" t="n"/>
      <c r="Q488" s="26" t="n"/>
      <c r="R488" s="27">
        <f>IF(LEN(A488)=0,"",MAX(0,IF(ISNUMBER(Q488),Q488,12)-N(P488)))</f>
        <v/>
      </c>
      <c r="S488" s="23" t="n"/>
      <c r="T488" s="27">
        <f>IF(S488="","",IF(ISNUMBER(S488),S488-TODAY(),"Check date"))</f>
        <v/>
      </c>
      <c r="U488" s="22" t="n"/>
      <c r="V488" s="22" t="n"/>
      <c r="W488" s="22" t="n"/>
      <c r="X488" s="22" t="n"/>
    </row>
    <row r="489">
      <c r="A489" s="22" t="n"/>
      <c r="B489" s="22" t="n"/>
      <c r="C489" s="22" t="n"/>
      <c r="D489" s="22" t="n"/>
      <c r="E489" s="23" t="n"/>
      <c r="F489" s="23" t="n"/>
      <c r="G489" s="23" t="n"/>
      <c r="H489" s="24">
        <f>IF(ISNUMBER(G489),EDATE(G489,24),"")</f>
        <v/>
      </c>
      <c r="I489" s="24">
        <f>IF(OR(AND(LEN(F489)&gt;0,ISNUMBER(F489)=FALSE),AND(LEN(G489)&gt;0,ISNUMBER(G489)=FALSE)),"Check date",IF(COUNT(F489,H489)=0,"",MIN(F489,H489)))</f>
        <v/>
      </c>
      <c r="J489" s="25">
        <f>IF(ISNUMBER(I489)=FALSE,"",IF(AND(ISNUMBER(H489),I489=H489),"24-month work rule","Registry expiry"))</f>
        <v/>
      </c>
      <c r="K489" s="26" t="n"/>
      <c r="L489" s="24">
        <f>IF(ISNUMBER(I489),I489-IF(ISNUMBER(K489),K489,30),"")</f>
        <v/>
      </c>
      <c r="M489" s="27">
        <f>IF(I489="","",IF(ISNUMBER(I489),I489-TODAY(),"Check date"))</f>
        <v/>
      </c>
      <c r="N489" s="28">
        <f>IF(M489="","",IF(ISNUMBER(M489),IF(M489&lt;0,"Expired",IF(M489&lt;=30,"Due ≤30 days",IF(M489&lt;=90,"Due ≤90 days","OK"))),"Check date"))</f>
        <v/>
      </c>
      <c r="O489" s="24">
        <f>IF(ISNUMBER(E489),EDATE(E489,12*(IFERROR(DATEDIF(E489,TODAY(),"y"),0)+1)),"")</f>
        <v/>
      </c>
      <c r="P489" s="26" t="n"/>
      <c r="Q489" s="26" t="n"/>
      <c r="R489" s="27">
        <f>IF(LEN(A489)=0,"",MAX(0,IF(ISNUMBER(Q489),Q489,12)-N(P489)))</f>
        <v/>
      </c>
      <c r="S489" s="23" t="n"/>
      <c r="T489" s="27">
        <f>IF(S489="","",IF(ISNUMBER(S489),S489-TODAY(),"Check date"))</f>
        <v/>
      </c>
      <c r="U489" s="22" t="n"/>
      <c r="V489" s="22" t="n"/>
      <c r="W489" s="22" t="n"/>
      <c r="X489" s="22" t="n"/>
    </row>
    <row r="490">
      <c r="A490" s="22" t="n"/>
      <c r="B490" s="22" t="n"/>
      <c r="C490" s="22" t="n"/>
      <c r="D490" s="22" t="n"/>
      <c r="E490" s="23" t="n"/>
      <c r="F490" s="23" t="n"/>
      <c r="G490" s="23" t="n"/>
      <c r="H490" s="24">
        <f>IF(ISNUMBER(G490),EDATE(G490,24),"")</f>
        <v/>
      </c>
      <c r="I490" s="24">
        <f>IF(OR(AND(LEN(F490)&gt;0,ISNUMBER(F490)=FALSE),AND(LEN(G490)&gt;0,ISNUMBER(G490)=FALSE)),"Check date",IF(COUNT(F490,H490)=0,"",MIN(F490,H490)))</f>
        <v/>
      </c>
      <c r="J490" s="25">
        <f>IF(ISNUMBER(I490)=FALSE,"",IF(AND(ISNUMBER(H490),I490=H490),"24-month work rule","Registry expiry"))</f>
        <v/>
      </c>
      <c r="K490" s="26" t="n"/>
      <c r="L490" s="24">
        <f>IF(ISNUMBER(I490),I490-IF(ISNUMBER(K490),K490,30),"")</f>
        <v/>
      </c>
      <c r="M490" s="27">
        <f>IF(I490="","",IF(ISNUMBER(I490),I490-TODAY(),"Check date"))</f>
        <v/>
      </c>
      <c r="N490" s="28">
        <f>IF(M490="","",IF(ISNUMBER(M490),IF(M490&lt;0,"Expired",IF(M490&lt;=30,"Due ≤30 days",IF(M490&lt;=90,"Due ≤90 days","OK"))),"Check date"))</f>
        <v/>
      </c>
      <c r="O490" s="24">
        <f>IF(ISNUMBER(E490),EDATE(E490,12*(IFERROR(DATEDIF(E490,TODAY(),"y"),0)+1)),"")</f>
        <v/>
      </c>
      <c r="P490" s="26" t="n"/>
      <c r="Q490" s="26" t="n"/>
      <c r="R490" s="27">
        <f>IF(LEN(A490)=0,"",MAX(0,IF(ISNUMBER(Q490),Q490,12)-N(P490)))</f>
        <v/>
      </c>
      <c r="S490" s="23" t="n"/>
      <c r="T490" s="27">
        <f>IF(S490="","",IF(ISNUMBER(S490),S490-TODAY(),"Check date"))</f>
        <v/>
      </c>
      <c r="U490" s="22" t="n"/>
      <c r="V490" s="22" t="n"/>
      <c r="W490" s="22" t="n"/>
      <c r="X490" s="22" t="n"/>
    </row>
    <row r="491">
      <c r="A491" s="22" t="n"/>
      <c r="B491" s="22" t="n"/>
      <c r="C491" s="22" t="n"/>
      <c r="D491" s="22" t="n"/>
      <c r="E491" s="23" t="n"/>
      <c r="F491" s="23" t="n"/>
      <c r="G491" s="23" t="n"/>
      <c r="H491" s="24">
        <f>IF(ISNUMBER(G491),EDATE(G491,24),"")</f>
        <v/>
      </c>
      <c r="I491" s="24">
        <f>IF(OR(AND(LEN(F491)&gt;0,ISNUMBER(F491)=FALSE),AND(LEN(G491)&gt;0,ISNUMBER(G491)=FALSE)),"Check date",IF(COUNT(F491,H491)=0,"",MIN(F491,H491)))</f>
        <v/>
      </c>
      <c r="J491" s="25">
        <f>IF(ISNUMBER(I491)=FALSE,"",IF(AND(ISNUMBER(H491),I491=H491),"24-month work rule","Registry expiry"))</f>
        <v/>
      </c>
      <c r="K491" s="26" t="n"/>
      <c r="L491" s="24">
        <f>IF(ISNUMBER(I491),I491-IF(ISNUMBER(K491),K491,30),"")</f>
        <v/>
      </c>
      <c r="M491" s="27">
        <f>IF(I491="","",IF(ISNUMBER(I491),I491-TODAY(),"Check date"))</f>
        <v/>
      </c>
      <c r="N491" s="28">
        <f>IF(M491="","",IF(ISNUMBER(M491),IF(M491&lt;0,"Expired",IF(M491&lt;=30,"Due ≤30 days",IF(M491&lt;=90,"Due ≤90 days","OK"))),"Check date"))</f>
        <v/>
      </c>
      <c r="O491" s="24">
        <f>IF(ISNUMBER(E491),EDATE(E491,12*(IFERROR(DATEDIF(E491,TODAY(),"y"),0)+1)),"")</f>
        <v/>
      </c>
      <c r="P491" s="26" t="n"/>
      <c r="Q491" s="26" t="n"/>
      <c r="R491" s="27">
        <f>IF(LEN(A491)=0,"",MAX(0,IF(ISNUMBER(Q491),Q491,12)-N(P491)))</f>
        <v/>
      </c>
      <c r="S491" s="23" t="n"/>
      <c r="T491" s="27">
        <f>IF(S491="","",IF(ISNUMBER(S491),S491-TODAY(),"Check date"))</f>
        <v/>
      </c>
      <c r="U491" s="22" t="n"/>
      <c r="V491" s="22" t="n"/>
      <c r="W491" s="22" t="n"/>
      <c r="X491" s="22" t="n"/>
    </row>
    <row r="492">
      <c r="A492" s="22" t="n"/>
      <c r="B492" s="22" t="n"/>
      <c r="C492" s="22" t="n"/>
      <c r="D492" s="22" t="n"/>
      <c r="E492" s="23" t="n"/>
      <c r="F492" s="23" t="n"/>
      <c r="G492" s="23" t="n"/>
      <c r="H492" s="24">
        <f>IF(ISNUMBER(G492),EDATE(G492,24),"")</f>
        <v/>
      </c>
      <c r="I492" s="24">
        <f>IF(OR(AND(LEN(F492)&gt;0,ISNUMBER(F492)=FALSE),AND(LEN(G492)&gt;0,ISNUMBER(G492)=FALSE)),"Check date",IF(COUNT(F492,H492)=0,"",MIN(F492,H492)))</f>
        <v/>
      </c>
      <c r="J492" s="25">
        <f>IF(ISNUMBER(I492)=FALSE,"",IF(AND(ISNUMBER(H492),I492=H492),"24-month work rule","Registry expiry"))</f>
        <v/>
      </c>
      <c r="K492" s="26" t="n"/>
      <c r="L492" s="24">
        <f>IF(ISNUMBER(I492),I492-IF(ISNUMBER(K492),K492,30),"")</f>
        <v/>
      </c>
      <c r="M492" s="27">
        <f>IF(I492="","",IF(ISNUMBER(I492),I492-TODAY(),"Check date"))</f>
        <v/>
      </c>
      <c r="N492" s="28">
        <f>IF(M492="","",IF(ISNUMBER(M492),IF(M492&lt;0,"Expired",IF(M492&lt;=30,"Due ≤30 days",IF(M492&lt;=90,"Due ≤90 days","OK"))),"Check date"))</f>
        <v/>
      </c>
      <c r="O492" s="24">
        <f>IF(ISNUMBER(E492),EDATE(E492,12*(IFERROR(DATEDIF(E492,TODAY(),"y"),0)+1)),"")</f>
        <v/>
      </c>
      <c r="P492" s="26" t="n"/>
      <c r="Q492" s="26" t="n"/>
      <c r="R492" s="27">
        <f>IF(LEN(A492)=0,"",MAX(0,IF(ISNUMBER(Q492),Q492,12)-N(P492)))</f>
        <v/>
      </c>
      <c r="S492" s="23" t="n"/>
      <c r="T492" s="27">
        <f>IF(S492="","",IF(ISNUMBER(S492),S492-TODAY(),"Check date"))</f>
        <v/>
      </c>
      <c r="U492" s="22" t="n"/>
      <c r="V492" s="22" t="n"/>
      <c r="W492" s="22" t="n"/>
      <c r="X492" s="22" t="n"/>
    </row>
    <row r="493">
      <c r="A493" s="22" t="n"/>
      <c r="B493" s="22" t="n"/>
      <c r="C493" s="22" t="n"/>
      <c r="D493" s="22" t="n"/>
      <c r="E493" s="23" t="n"/>
      <c r="F493" s="23" t="n"/>
      <c r="G493" s="23" t="n"/>
      <c r="H493" s="24">
        <f>IF(ISNUMBER(G493),EDATE(G493,24),"")</f>
        <v/>
      </c>
      <c r="I493" s="24">
        <f>IF(OR(AND(LEN(F493)&gt;0,ISNUMBER(F493)=FALSE),AND(LEN(G493)&gt;0,ISNUMBER(G493)=FALSE)),"Check date",IF(COUNT(F493,H493)=0,"",MIN(F493,H493)))</f>
        <v/>
      </c>
      <c r="J493" s="25">
        <f>IF(ISNUMBER(I493)=FALSE,"",IF(AND(ISNUMBER(H493),I493=H493),"24-month work rule","Registry expiry"))</f>
        <v/>
      </c>
      <c r="K493" s="26" t="n"/>
      <c r="L493" s="24">
        <f>IF(ISNUMBER(I493),I493-IF(ISNUMBER(K493),K493,30),"")</f>
        <v/>
      </c>
      <c r="M493" s="27">
        <f>IF(I493="","",IF(ISNUMBER(I493),I493-TODAY(),"Check date"))</f>
        <v/>
      </c>
      <c r="N493" s="28">
        <f>IF(M493="","",IF(ISNUMBER(M493),IF(M493&lt;0,"Expired",IF(M493&lt;=30,"Due ≤30 days",IF(M493&lt;=90,"Due ≤90 days","OK"))),"Check date"))</f>
        <v/>
      </c>
      <c r="O493" s="24">
        <f>IF(ISNUMBER(E493),EDATE(E493,12*(IFERROR(DATEDIF(E493,TODAY(),"y"),0)+1)),"")</f>
        <v/>
      </c>
      <c r="P493" s="26" t="n"/>
      <c r="Q493" s="26" t="n"/>
      <c r="R493" s="27">
        <f>IF(LEN(A493)=0,"",MAX(0,IF(ISNUMBER(Q493),Q493,12)-N(P493)))</f>
        <v/>
      </c>
      <c r="S493" s="23" t="n"/>
      <c r="T493" s="27">
        <f>IF(S493="","",IF(ISNUMBER(S493),S493-TODAY(),"Check date"))</f>
        <v/>
      </c>
      <c r="U493" s="22" t="n"/>
      <c r="V493" s="22" t="n"/>
      <c r="W493" s="22" t="n"/>
      <c r="X493" s="22" t="n"/>
    </row>
    <row r="494">
      <c r="A494" s="22" t="n"/>
      <c r="B494" s="22" t="n"/>
      <c r="C494" s="22" t="n"/>
      <c r="D494" s="22" t="n"/>
      <c r="E494" s="23" t="n"/>
      <c r="F494" s="23" t="n"/>
      <c r="G494" s="23" t="n"/>
      <c r="H494" s="24">
        <f>IF(ISNUMBER(G494),EDATE(G494,24),"")</f>
        <v/>
      </c>
      <c r="I494" s="24">
        <f>IF(OR(AND(LEN(F494)&gt;0,ISNUMBER(F494)=FALSE),AND(LEN(G494)&gt;0,ISNUMBER(G494)=FALSE)),"Check date",IF(COUNT(F494,H494)=0,"",MIN(F494,H494)))</f>
        <v/>
      </c>
      <c r="J494" s="25">
        <f>IF(ISNUMBER(I494)=FALSE,"",IF(AND(ISNUMBER(H494),I494=H494),"24-month work rule","Registry expiry"))</f>
        <v/>
      </c>
      <c r="K494" s="26" t="n"/>
      <c r="L494" s="24">
        <f>IF(ISNUMBER(I494),I494-IF(ISNUMBER(K494),K494,30),"")</f>
        <v/>
      </c>
      <c r="M494" s="27">
        <f>IF(I494="","",IF(ISNUMBER(I494),I494-TODAY(),"Check date"))</f>
        <v/>
      </c>
      <c r="N494" s="28">
        <f>IF(M494="","",IF(ISNUMBER(M494),IF(M494&lt;0,"Expired",IF(M494&lt;=30,"Due ≤30 days",IF(M494&lt;=90,"Due ≤90 days","OK"))),"Check date"))</f>
        <v/>
      </c>
      <c r="O494" s="24">
        <f>IF(ISNUMBER(E494),EDATE(E494,12*(IFERROR(DATEDIF(E494,TODAY(),"y"),0)+1)),"")</f>
        <v/>
      </c>
      <c r="P494" s="26" t="n"/>
      <c r="Q494" s="26" t="n"/>
      <c r="R494" s="27">
        <f>IF(LEN(A494)=0,"",MAX(0,IF(ISNUMBER(Q494),Q494,12)-N(P494)))</f>
        <v/>
      </c>
      <c r="S494" s="23" t="n"/>
      <c r="T494" s="27">
        <f>IF(S494="","",IF(ISNUMBER(S494),S494-TODAY(),"Check date"))</f>
        <v/>
      </c>
      <c r="U494" s="22" t="n"/>
      <c r="V494" s="22" t="n"/>
      <c r="W494" s="22" t="n"/>
      <c r="X494" s="22" t="n"/>
    </row>
    <row r="495">
      <c r="A495" s="22" t="n"/>
      <c r="B495" s="22" t="n"/>
      <c r="C495" s="22" t="n"/>
      <c r="D495" s="22" t="n"/>
      <c r="E495" s="23" t="n"/>
      <c r="F495" s="23" t="n"/>
      <c r="G495" s="23" t="n"/>
      <c r="H495" s="24">
        <f>IF(ISNUMBER(G495),EDATE(G495,24),"")</f>
        <v/>
      </c>
      <c r="I495" s="24">
        <f>IF(OR(AND(LEN(F495)&gt;0,ISNUMBER(F495)=FALSE),AND(LEN(G495)&gt;0,ISNUMBER(G495)=FALSE)),"Check date",IF(COUNT(F495,H495)=0,"",MIN(F495,H495)))</f>
        <v/>
      </c>
      <c r="J495" s="25">
        <f>IF(ISNUMBER(I495)=FALSE,"",IF(AND(ISNUMBER(H495),I495=H495),"24-month work rule","Registry expiry"))</f>
        <v/>
      </c>
      <c r="K495" s="26" t="n"/>
      <c r="L495" s="24">
        <f>IF(ISNUMBER(I495),I495-IF(ISNUMBER(K495),K495,30),"")</f>
        <v/>
      </c>
      <c r="M495" s="27">
        <f>IF(I495="","",IF(ISNUMBER(I495),I495-TODAY(),"Check date"))</f>
        <v/>
      </c>
      <c r="N495" s="28">
        <f>IF(M495="","",IF(ISNUMBER(M495),IF(M495&lt;0,"Expired",IF(M495&lt;=30,"Due ≤30 days",IF(M495&lt;=90,"Due ≤90 days","OK"))),"Check date"))</f>
        <v/>
      </c>
      <c r="O495" s="24">
        <f>IF(ISNUMBER(E495),EDATE(E495,12*(IFERROR(DATEDIF(E495,TODAY(),"y"),0)+1)),"")</f>
        <v/>
      </c>
      <c r="P495" s="26" t="n"/>
      <c r="Q495" s="26" t="n"/>
      <c r="R495" s="27">
        <f>IF(LEN(A495)=0,"",MAX(0,IF(ISNUMBER(Q495),Q495,12)-N(P495)))</f>
        <v/>
      </c>
      <c r="S495" s="23" t="n"/>
      <c r="T495" s="27">
        <f>IF(S495="","",IF(ISNUMBER(S495),S495-TODAY(),"Check date"))</f>
        <v/>
      </c>
      <c r="U495" s="22" t="n"/>
      <c r="V495" s="22" t="n"/>
      <c r="W495" s="22" t="n"/>
      <c r="X495" s="22" t="n"/>
    </row>
    <row r="496">
      <c r="A496" s="22" t="n"/>
      <c r="B496" s="22" t="n"/>
      <c r="C496" s="22" t="n"/>
      <c r="D496" s="22" t="n"/>
      <c r="E496" s="23" t="n"/>
      <c r="F496" s="23" t="n"/>
      <c r="G496" s="23" t="n"/>
      <c r="H496" s="24">
        <f>IF(ISNUMBER(G496),EDATE(G496,24),"")</f>
        <v/>
      </c>
      <c r="I496" s="24">
        <f>IF(OR(AND(LEN(F496)&gt;0,ISNUMBER(F496)=FALSE),AND(LEN(G496)&gt;0,ISNUMBER(G496)=FALSE)),"Check date",IF(COUNT(F496,H496)=0,"",MIN(F496,H496)))</f>
        <v/>
      </c>
      <c r="J496" s="25">
        <f>IF(ISNUMBER(I496)=FALSE,"",IF(AND(ISNUMBER(H496),I496=H496),"24-month work rule","Registry expiry"))</f>
        <v/>
      </c>
      <c r="K496" s="26" t="n"/>
      <c r="L496" s="24">
        <f>IF(ISNUMBER(I496),I496-IF(ISNUMBER(K496),K496,30),"")</f>
        <v/>
      </c>
      <c r="M496" s="27">
        <f>IF(I496="","",IF(ISNUMBER(I496),I496-TODAY(),"Check date"))</f>
        <v/>
      </c>
      <c r="N496" s="28">
        <f>IF(M496="","",IF(ISNUMBER(M496),IF(M496&lt;0,"Expired",IF(M496&lt;=30,"Due ≤30 days",IF(M496&lt;=90,"Due ≤90 days","OK"))),"Check date"))</f>
        <v/>
      </c>
      <c r="O496" s="24">
        <f>IF(ISNUMBER(E496),EDATE(E496,12*(IFERROR(DATEDIF(E496,TODAY(),"y"),0)+1)),"")</f>
        <v/>
      </c>
      <c r="P496" s="26" t="n"/>
      <c r="Q496" s="26" t="n"/>
      <c r="R496" s="27">
        <f>IF(LEN(A496)=0,"",MAX(0,IF(ISNUMBER(Q496),Q496,12)-N(P496)))</f>
        <v/>
      </c>
      <c r="S496" s="23" t="n"/>
      <c r="T496" s="27">
        <f>IF(S496="","",IF(ISNUMBER(S496),S496-TODAY(),"Check date"))</f>
        <v/>
      </c>
      <c r="U496" s="22" t="n"/>
      <c r="V496" s="22" t="n"/>
      <c r="W496" s="22" t="n"/>
      <c r="X496" s="22" t="n"/>
    </row>
    <row r="497">
      <c r="A497" s="22" t="n"/>
      <c r="B497" s="22" t="n"/>
      <c r="C497" s="22" t="n"/>
      <c r="D497" s="22" t="n"/>
      <c r="E497" s="23" t="n"/>
      <c r="F497" s="23" t="n"/>
      <c r="G497" s="23" t="n"/>
      <c r="H497" s="24">
        <f>IF(ISNUMBER(G497),EDATE(G497,24),"")</f>
        <v/>
      </c>
      <c r="I497" s="24">
        <f>IF(OR(AND(LEN(F497)&gt;0,ISNUMBER(F497)=FALSE),AND(LEN(G497)&gt;0,ISNUMBER(G497)=FALSE)),"Check date",IF(COUNT(F497,H497)=0,"",MIN(F497,H497)))</f>
        <v/>
      </c>
      <c r="J497" s="25">
        <f>IF(ISNUMBER(I497)=FALSE,"",IF(AND(ISNUMBER(H497),I497=H497),"24-month work rule","Registry expiry"))</f>
        <v/>
      </c>
      <c r="K497" s="26" t="n"/>
      <c r="L497" s="24">
        <f>IF(ISNUMBER(I497),I497-IF(ISNUMBER(K497),K497,30),"")</f>
        <v/>
      </c>
      <c r="M497" s="27">
        <f>IF(I497="","",IF(ISNUMBER(I497),I497-TODAY(),"Check date"))</f>
        <v/>
      </c>
      <c r="N497" s="28">
        <f>IF(M497="","",IF(ISNUMBER(M497),IF(M497&lt;0,"Expired",IF(M497&lt;=30,"Due ≤30 days",IF(M497&lt;=90,"Due ≤90 days","OK"))),"Check date"))</f>
        <v/>
      </c>
      <c r="O497" s="24">
        <f>IF(ISNUMBER(E497),EDATE(E497,12*(IFERROR(DATEDIF(E497,TODAY(),"y"),0)+1)),"")</f>
        <v/>
      </c>
      <c r="P497" s="26" t="n"/>
      <c r="Q497" s="26" t="n"/>
      <c r="R497" s="27">
        <f>IF(LEN(A497)=0,"",MAX(0,IF(ISNUMBER(Q497),Q497,12)-N(P497)))</f>
        <v/>
      </c>
      <c r="S497" s="23" t="n"/>
      <c r="T497" s="27">
        <f>IF(S497="","",IF(ISNUMBER(S497),S497-TODAY(),"Check date"))</f>
        <v/>
      </c>
      <c r="U497" s="22" t="n"/>
      <c r="V497" s="22" t="n"/>
      <c r="W497" s="22" t="n"/>
      <c r="X497" s="22" t="n"/>
    </row>
    <row r="498">
      <c r="A498" s="22" t="n"/>
      <c r="B498" s="22" t="n"/>
      <c r="C498" s="22" t="n"/>
      <c r="D498" s="22" t="n"/>
      <c r="E498" s="23" t="n"/>
      <c r="F498" s="23" t="n"/>
      <c r="G498" s="23" t="n"/>
      <c r="H498" s="24">
        <f>IF(ISNUMBER(G498),EDATE(G498,24),"")</f>
        <v/>
      </c>
      <c r="I498" s="24">
        <f>IF(OR(AND(LEN(F498)&gt;0,ISNUMBER(F498)=FALSE),AND(LEN(G498)&gt;0,ISNUMBER(G498)=FALSE)),"Check date",IF(COUNT(F498,H498)=0,"",MIN(F498,H498)))</f>
        <v/>
      </c>
      <c r="J498" s="25">
        <f>IF(ISNUMBER(I498)=FALSE,"",IF(AND(ISNUMBER(H498),I498=H498),"24-month work rule","Registry expiry"))</f>
        <v/>
      </c>
      <c r="K498" s="26" t="n"/>
      <c r="L498" s="24">
        <f>IF(ISNUMBER(I498),I498-IF(ISNUMBER(K498),K498,30),"")</f>
        <v/>
      </c>
      <c r="M498" s="27">
        <f>IF(I498="","",IF(ISNUMBER(I498),I498-TODAY(),"Check date"))</f>
        <v/>
      </c>
      <c r="N498" s="28">
        <f>IF(M498="","",IF(ISNUMBER(M498),IF(M498&lt;0,"Expired",IF(M498&lt;=30,"Due ≤30 days",IF(M498&lt;=90,"Due ≤90 days","OK"))),"Check date"))</f>
        <v/>
      </c>
      <c r="O498" s="24">
        <f>IF(ISNUMBER(E498),EDATE(E498,12*(IFERROR(DATEDIF(E498,TODAY(),"y"),0)+1)),"")</f>
        <v/>
      </c>
      <c r="P498" s="26" t="n"/>
      <c r="Q498" s="26" t="n"/>
      <c r="R498" s="27">
        <f>IF(LEN(A498)=0,"",MAX(0,IF(ISNUMBER(Q498),Q498,12)-N(P498)))</f>
        <v/>
      </c>
      <c r="S498" s="23" t="n"/>
      <c r="T498" s="27">
        <f>IF(S498="","",IF(ISNUMBER(S498),S498-TODAY(),"Check date"))</f>
        <v/>
      </c>
      <c r="U498" s="22" t="n"/>
      <c r="V498" s="22" t="n"/>
      <c r="W498" s="22" t="n"/>
      <c r="X498" s="22" t="n"/>
    </row>
    <row r="499">
      <c r="A499" s="22" t="n"/>
      <c r="B499" s="22" t="n"/>
      <c r="C499" s="22" t="n"/>
      <c r="D499" s="22" t="n"/>
      <c r="E499" s="23" t="n"/>
      <c r="F499" s="23" t="n"/>
      <c r="G499" s="23" t="n"/>
      <c r="H499" s="24">
        <f>IF(ISNUMBER(G499),EDATE(G499,24),"")</f>
        <v/>
      </c>
      <c r="I499" s="24">
        <f>IF(OR(AND(LEN(F499)&gt;0,ISNUMBER(F499)=FALSE),AND(LEN(G499)&gt;0,ISNUMBER(G499)=FALSE)),"Check date",IF(COUNT(F499,H499)=0,"",MIN(F499,H499)))</f>
        <v/>
      </c>
      <c r="J499" s="25">
        <f>IF(ISNUMBER(I499)=FALSE,"",IF(AND(ISNUMBER(H499),I499=H499),"24-month work rule","Registry expiry"))</f>
        <v/>
      </c>
      <c r="K499" s="26" t="n"/>
      <c r="L499" s="24">
        <f>IF(ISNUMBER(I499),I499-IF(ISNUMBER(K499),K499,30),"")</f>
        <v/>
      </c>
      <c r="M499" s="27">
        <f>IF(I499="","",IF(ISNUMBER(I499),I499-TODAY(),"Check date"))</f>
        <v/>
      </c>
      <c r="N499" s="28">
        <f>IF(M499="","",IF(ISNUMBER(M499),IF(M499&lt;0,"Expired",IF(M499&lt;=30,"Due ≤30 days",IF(M499&lt;=90,"Due ≤90 days","OK"))),"Check date"))</f>
        <v/>
      </c>
      <c r="O499" s="24">
        <f>IF(ISNUMBER(E499),EDATE(E499,12*(IFERROR(DATEDIF(E499,TODAY(),"y"),0)+1)),"")</f>
        <v/>
      </c>
      <c r="P499" s="26" t="n"/>
      <c r="Q499" s="26" t="n"/>
      <c r="R499" s="27">
        <f>IF(LEN(A499)=0,"",MAX(0,IF(ISNUMBER(Q499),Q499,12)-N(P499)))</f>
        <v/>
      </c>
      <c r="S499" s="23" t="n"/>
      <c r="T499" s="27">
        <f>IF(S499="","",IF(ISNUMBER(S499),S499-TODAY(),"Check date"))</f>
        <v/>
      </c>
      <c r="U499" s="22" t="n"/>
      <c r="V499" s="22" t="n"/>
      <c r="W499" s="22" t="n"/>
      <c r="X499" s="22" t="n"/>
    </row>
    <row r="500">
      <c r="A500" s="22" t="n"/>
      <c r="B500" s="22" t="n"/>
      <c r="C500" s="22" t="n"/>
      <c r="D500" s="22" t="n"/>
      <c r="E500" s="23" t="n"/>
      <c r="F500" s="23" t="n"/>
      <c r="G500" s="23" t="n"/>
      <c r="H500" s="24">
        <f>IF(ISNUMBER(G500),EDATE(G500,24),"")</f>
        <v/>
      </c>
      <c r="I500" s="24">
        <f>IF(OR(AND(LEN(F500)&gt;0,ISNUMBER(F500)=FALSE),AND(LEN(G500)&gt;0,ISNUMBER(G500)=FALSE)),"Check date",IF(COUNT(F500,H500)=0,"",MIN(F500,H500)))</f>
        <v/>
      </c>
      <c r="J500" s="25">
        <f>IF(ISNUMBER(I500)=FALSE,"",IF(AND(ISNUMBER(H500),I500=H500),"24-month work rule","Registry expiry"))</f>
        <v/>
      </c>
      <c r="K500" s="26" t="n"/>
      <c r="L500" s="24">
        <f>IF(ISNUMBER(I500),I500-IF(ISNUMBER(K500),K500,30),"")</f>
        <v/>
      </c>
      <c r="M500" s="27">
        <f>IF(I500="","",IF(ISNUMBER(I500),I500-TODAY(),"Check date"))</f>
        <v/>
      </c>
      <c r="N500" s="28">
        <f>IF(M500="","",IF(ISNUMBER(M500),IF(M500&lt;0,"Expired",IF(M500&lt;=30,"Due ≤30 days",IF(M500&lt;=90,"Due ≤90 days","OK"))),"Check date"))</f>
        <v/>
      </c>
      <c r="O500" s="24">
        <f>IF(ISNUMBER(E500),EDATE(E500,12*(IFERROR(DATEDIF(E500,TODAY(),"y"),0)+1)),"")</f>
        <v/>
      </c>
      <c r="P500" s="26" t="n"/>
      <c r="Q500" s="26" t="n"/>
      <c r="R500" s="27">
        <f>IF(LEN(A500)=0,"",MAX(0,IF(ISNUMBER(Q500),Q500,12)-N(P500)))</f>
        <v/>
      </c>
      <c r="S500" s="23" t="n"/>
      <c r="T500" s="27">
        <f>IF(S500="","",IF(ISNUMBER(S500),S500-TODAY(),"Check date"))</f>
        <v/>
      </c>
      <c r="U500" s="22" t="n"/>
      <c r="V500" s="22" t="n"/>
      <c r="W500" s="22" t="n"/>
      <c r="X500" s="22" t="n"/>
    </row>
    <row r="501">
      <c r="A501" s="22" t="n"/>
      <c r="B501" s="22" t="n"/>
      <c r="C501" s="22" t="n"/>
      <c r="D501" s="22" t="n"/>
      <c r="E501" s="23" t="n"/>
      <c r="F501" s="23" t="n"/>
      <c r="G501" s="23" t="n"/>
      <c r="H501" s="24">
        <f>IF(ISNUMBER(G501),EDATE(G501,24),"")</f>
        <v/>
      </c>
      <c r="I501" s="24">
        <f>IF(OR(AND(LEN(F501)&gt;0,ISNUMBER(F501)=FALSE),AND(LEN(G501)&gt;0,ISNUMBER(G501)=FALSE)),"Check date",IF(COUNT(F501,H501)=0,"",MIN(F501,H501)))</f>
        <v/>
      </c>
      <c r="J501" s="25">
        <f>IF(ISNUMBER(I501)=FALSE,"",IF(AND(ISNUMBER(H501),I501=H501),"24-month work rule","Registry expiry"))</f>
        <v/>
      </c>
      <c r="K501" s="26" t="n"/>
      <c r="L501" s="24">
        <f>IF(ISNUMBER(I501),I501-IF(ISNUMBER(K501),K501,30),"")</f>
        <v/>
      </c>
      <c r="M501" s="27">
        <f>IF(I501="","",IF(ISNUMBER(I501),I501-TODAY(),"Check date"))</f>
        <v/>
      </c>
      <c r="N501" s="28">
        <f>IF(M501="","",IF(ISNUMBER(M501),IF(M501&lt;0,"Expired",IF(M501&lt;=30,"Due ≤30 days",IF(M501&lt;=90,"Due ≤90 days","OK"))),"Check date"))</f>
        <v/>
      </c>
      <c r="O501" s="24">
        <f>IF(ISNUMBER(E501),EDATE(E501,12*(IFERROR(DATEDIF(E501,TODAY(),"y"),0)+1)),"")</f>
        <v/>
      </c>
      <c r="P501" s="26" t="n"/>
      <c r="Q501" s="26" t="n"/>
      <c r="R501" s="27">
        <f>IF(LEN(A501)=0,"",MAX(0,IF(ISNUMBER(Q501),Q501,12)-N(P501)))</f>
        <v/>
      </c>
      <c r="S501" s="23" t="n"/>
      <c r="T501" s="27">
        <f>IF(S501="","",IF(ISNUMBER(S501),S501-TODAY(),"Check date"))</f>
        <v/>
      </c>
      <c r="U501" s="22" t="n"/>
      <c r="V501" s="22" t="n"/>
      <c r="W501" s="22" t="n"/>
      <c r="X501" s="22" t="n"/>
    </row>
    <row r="502">
      <c r="A502" s="22" t="n"/>
      <c r="B502" s="22" t="n"/>
      <c r="C502" s="22" t="n"/>
      <c r="D502" s="22" t="n"/>
      <c r="E502" s="23" t="n"/>
      <c r="F502" s="23" t="n"/>
      <c r="G502" s="23" t="n"/>
      <c r="H502" s="24">
        <f>IF(ISNUMBER(G502),EDATE(G502,24),"")</f>
        <v/>
      </c>
      <c r="I502" s="24">
        <f>IF(OR(AND(LEN(F502)&gt;0,ISNUMBER(F502)=FALSE),AND(LEN(G502)&gt;0,ISNUMBER(G502)=FALSE)),"Check date",IF(COUNT(F502,H502)=0,"",MIN(F502,H502)))</f>
        <v/>
      </c>
      <c r="J502" s="25">
        <f>IF(ISNUMBER(I502)=FALSE,"",IF(AND(ISNUMBER(H502),I502=H502),"24-month work rule","Registry expiry"))</f>
        <v/>
      </c>
      <c r="K502" s="26" t="n"/>
      <c r="L502" s="24">
        <f>IF(ISNUMBER(I502),I502-IF(ISNUMBER(K502),K502,30),"")</f>
        <v/>
      </c>
      <c r="M502" s="27">
        <f>IF(I502="","",IF(ISNUMBER(I502),I502-TODAY(),"Check date"))</f>
        <v/>
      </c>
      <c r="N502" s="28">
        <f>IF(M502="","",IF(ISNUMBER(M502),IF(M502&lt;0,"Expired",IF(M502&lt;=30,"Due ≤30 days",IF(M502&lt;=90,"Due ≤90 days","OK"))),"Check date"))</f>
        <v/>
      </c>
      <c r="O502" s="24">
        <f>IF(ISNUMBER(E502),EDATE(E502,12*(IFERROR(DATEDIF(E502,TODAY(),"y"),0)+1)),"")</f>
        <v/>
      </c>
      <c r="P502" s="26" t="n"/>
      <c r="Q502" s="26" t="n"/>
      <c r="R502" s="27">
        <f>IF(LEN(A502)=0,"",MAX(0,IF(ISNUMBER(Q502),Q502,12)-N(P502)))</f>
        <v/>
      </c>
      <c r="S502" s="23" t="n"/>
      <c r="T502" s="27">
        <f>IF(S502="","",IF(ISNUMBER(S502),S502-TODAY(),"Check date"))</f>
        <v/>
      </c>
      <c r="U502" s="22" t="n"/>
      <c r="V502" s="22" t="n"/>
      <c r="W502" s="22" t="n"/>
      <c r="X502" s="22" t="n"/>
    </row>
    <row r="503">
      <c r="A503" s="22" t="n"/>
      <c r="B503" s="22" t="n"/>
      <c r="C503" s="22" t="n"/>
      <c r="D503" s="22" t="n"/>
      <c r="E503" s="23" t="n"/>
      <c r="F503" s="23" t="n"/>
      <c r="G503" s="23" t="n"/>
      <c r="H503" s="24">
        <f>IF(ISNUMBER(G503),EDATE(G503,24),"")</f>
        <v/>
      </c>
      <c r="I503" s="24">
        <f>IF(OR(AND(LEN(F503)&gt;0,ISNUMBER(F503)=FALSE),AND(LEN(G503)&gt;0,ISNUMBER(G503)=FALSE)),"Check date",IF(COUNT(F503,H503)=0,"",MIN(F503,H503)))</f>
        <v/>
      </c>
      <c r="J503" s="25">
        <f>IF(ISNUMBER(I503)=FALSE,"",IF(AND(ISNUMBER(H503),I503=H503),"24-month work rule","Registry expiry"))</f>
        <v/>
      </c>
      <c r="K503" s="26" t="n"/>
      <c r="L503" s="24">
        <f>IF(ISNUMBER(I503),I503-IF(ISNUMBER(K503),K503,30),"")</f>
        <v/>
      </c>
      <c r="M503" s="27">
        <f>IF(I503="","",IF(ISNUMBER(I503),I503-TODAY(),"Check date"))</f>
        <v/>
      </c>
      <c r="N503" s="28">
        <f>IF(M503="","",IF(ISNUMBER(M503),IF(M503&lt;0,"Expired",IF(M503&lt;=30,"Due ≤30 days",IF(M503&lt;=90,"Due ≤90 days","OK"))),"Check date"))</f>
        <v/>
      </c>
      <c r="O503" s="24">
        <f>IF(ISNUMBER(E503),EDATE(E503,12*(IFERROR(DATEDIF(E503,TODAY(),"y"),0)+1)),"")</f>
        <v/>
      </c>
      <c r="P503" s="26" t="n"/>
      <c r="Q503" s="26" t="n"/>
      <c r="R503" s="27">
        <f>IF(LEN(A503)=0,"",MAX(0,IF(ISNUMBER(Q503),Q503,12)-N(P503)))</f>
        <v/>
      </c>
      <c r="S503" s="23" t="n"/>
      <c r="T503" s="27">
        <f>IF(S503="","",IF(ISNUMBER(S503),S503-TODAY(),"Check date"))</f>
        <v/>
      </c>
      <c r="U503" s="22" t="n"/>
      <c r="V503" s="22" t="n"/>
      <c r="W503" s="22" t="n"/>
      <c r="X503" s="22" t="n"/>
    </row>
  </sheetData>
  <conditionalFormatting sqref="I4:I503 M4:M503 N4:N503">
    <cfRule type="expression" priority="11" dxfId="0" stopIfTrue="1">
      <formula>AND(ISNUMBER($M4),$M4&lt;0)</formula>
    </cfRule>
    <cfRule type="expression" priority="12" dxfId="1" stopIfTrue="1">
      <formula>AND(ISNUMBER($M4),$M4&lt;=30)</formula>
    </cfRule>
    <cfRule type="expression" priority="13" dxfId="2" stopIfTrue="1">
      <formula>AND(ISNUMBER($M4),$M4&lt;=90)</formula>
    </cfRule>
    <cfRule type="expression" priority="14" dxfId="3" stopIfTrue="1">
      <formula>ISNUMBER($M4)</formula>
    </cfRule>
  </conditionalFormatting>
  <conditionalFormatting sqref="A4:A503 B4:B503 C4:C503 D4:D503 E4:E503 F4:F503 G4:G503 K4:K503 P4:P503 Q4:Q503 S4:S503 U4:U503 V4:V503 W4:W503 X4:X503">
    <cfRule type="expression" priority="15" dxfId="4">
      <formula>LEFT($A4,9)="Example –"</formula>
    </cfRule>
    <cfRule type="expression" priority="16" dxfId="5">
      <formula>MOD(ROW(),2)=0</formula>
    </cfRule>
  </conditionalFormatting>
  <conditionalFormatting sqref="R4:R503">
    <cfRule type="expression" priority="1" dxfId="0" stopIfTrue="1">
      <formula>AND(ISNUMBER(R4),R4&gt;0,ISNUMBER(O4),O4-TODAY()&lt;=30)</formula>
    </cfRule>
    <cfRule type="expression" priority="2" dxfId="2" stopIfTrue="1">
      <formula>AND(ISNUMBER(R4),R4&gt;0,ISNUMBER(O4),O4-TODAY()&lt;=90)</formula>
    </cfRule>
  </conditionalFormatting>
  <conditionalFormatting sqref="S4:S503">
    <cfRule type="expression" priority="3" dxfId="0" stopIfTrue="1">
      <formula>AND(ISNUMBER(S4),S4&lt;TODAY())</formula>
    </cfRule>
    <cfRule type="expression" priority="4" dxfId="1" stopIfTrue="1">
      <formula>AND(ISNUMBER(S4),S4&lt;=TODAY()+30)</formula>
    </cfRule>
    <cfRule type="expression" priority="5" dxfId="2" stopIfTrue="1">
      <formula>AND(ISNUMBER(S4),S4&lt;=TODAY()+90)</formula>
    </cfRule>
    <cfRule type="expression" priority="6" dxfId="3" stopIfTrue="1">
      <formula>ISNUMBER(S4)</formula>
    </cfRule>
  </conditionalFormatting>
  <conditionalFormatting sqref="T4:T503">
    <cfRule type="expression" priority="7" dxfId="0" stopIfTrue="1">
      <formula>AND(ISNUMBER(T4),T4&lt;0)</formula>
    </cfRule>
    <cfRule type="expression" priority="8" dxfId="1" stopIfTrue="1">
      <formula>AND(ISNUMBER(T4),T4&lt;=30)</formula>
    </cfRule>
    <cfRule type="expression" priority="9" dxfId="2" stopIfTrue="1">
      <formula>AND(ISNUMBER(T4),T4&lt;=90)</formula>
    </cfRule>
    <cfRule type="expression" priority="10" dxfId="3" stopIfTrue="1">
      <formula>ISNUMBER(T4)</formula>
    </cfRule>
  </conditionalFormatting>
  <dataValidations count="9">
    <dataValidation sqref="B4:B503" showDropDown="0" showInputMessage="0" showErrorMessage="1" allowBlank="1" errorTitle="Role" error="That is not on the list. Keep it anyway, or add it to the Lists sheet." type="list" errorStyle="warning">
      <formula1>=Lists!$A$2:$A$4</formula1>
    </dataValidation>
    <dataValidation sqref="C4:C503" showDropDown="0" showInputMessage="0" showErrorMessage="1" allowBlank="1" errorTitle="Registry state" error="That is not on the list. Keep it anyway, or add it to the Lists sheet." type="list" errorStyle="warning">
      <formula1>=Lists!$C$2:$C$52</formula1>
    </dataValidation>
    <dataValidation sqref="E4:E503" showDropDown="0" showInputMessage="0" showErrorMessage="1" allowBlank="1" errorTitle="Date expected" error="Type a real date, e.g. 14 Jun 2027 (or 2027-06-14). Text that only looks like a date will not calculate." type="date" errorStyle="warning" operator="greaterThan">
      <formula1>32874</formula1>
    </dataValidation>
    <dataValidation sqref="F4:F503" showDropDown="0" showInputMessage="0" showErrorMessage="1" allowBlank="1" errorTitle="Date expected" error="Type a real date, e.g. 14 Jun 2027 (or 2027-06-14). Text that only looks like a date will not calculate." type="date" errorStyle="warning" operator="greaterThan">
      <formula1>32874</formula1>
    </dataValidation>
    <dataValidation sqref="G4:G503" showDropDown="0" showInputMessage="0" showErrorMessage="1" allowBlank="1" errorTitle="Date expected" error="Type a real date, e.g. 14 Jun 2027 (or 2027-06-14). Text that only looks like a date will not calculate." type="date" errorStyle="warning" operator="greaterThan">
      <formula1>32874</formula1>
    </dataValidation>
    <dataValidation sqref="K4:K503" showDropDown="0" showInputMessage="0" showErrorMessage="1" allowBlank="1" errorTitle="Number expected" error="Type a number (no currency symbol)." type="decimal" errorStyle="warning" operator="greaterThanOrEqual">
      <formula1>0</formula1>
    </dataValidation>
    <dataValidation sqref="P4:P503" showDropDown="0" showInputMessage="0" showErrorMessage="1" allowBlank="1" errorTitle="Number expected" error="Type a number (no currency symbol)." type="decimal" errorStyle="warning" operator="greaterThanOrEqual">
      <formula1>0</formula1>
    </dataValidation>
    <dataValidation sqref="Q4:Q503" showDropDown="0" showInputMessage="0" showErrorMessage="1" allowBlank="1" errorTitle="Number expected" error="Type a number (no currency symbol)." type="decimal" errorStyle="warning" operator="greaterThanOrEqual">
      <formula1>0</formula1>
    </dataValidation>
    <dataValidation sqref="S4:S503" showDropDown="0" showInputMessage="0" showErrorMessage="1" allowBlank="1" errorTitle="Date expected" error="Type a real date, e.g. 14 Jun 2027 (or 2027-06-14). Text that only looks like a date will not calculate." type="date" errorStyle="warning" operator="greaterThan">
      <formula1>32874</formula1>
    </dataValidation>
  </dataValidations>
  <printOptions horizontalCentered="0"/>
  <pageMargins left="0.4" right="0.4" top="0.5" bottom="0.6" header="0.5" footer="0.5"/>
  <pageSetup orientation="landscape" paperSize="1" fitToHeight="0" fitToWidth="1"/>
  <headerFooter>
    <oddHeader/>
    <oddFooter>&amp;C&amp;"Arial"&amp;8 expiryedge.com · page &amp;P of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1:G41"/>
  <sheetViews>
    <sheetView showGridLines="0" tabSelected="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46" customWidth="1" min="3" max="3"/>
    <col width="15" customWidth="1" min="4" max="4"/>
    <col width="10" customWidth="1" min="5" max="5"/>
    <col width="15" customWidth="1" min="6" max="6"/>
    <col width="28" customWidth="1" min="7" max="7"/>
    <col width="6" customWidth="1" min="8" max="8"/>
  </cols>
  <sheetData>
    <row r="1">
      <c r="B1" s="29" t="inlineStr">
        <is>
          <t>Dashboard</t>
        </is>
      </c>
    </row>
    <row r="2">
      <c r="B2" s="3" t="inlineStr">
        <is>
          <t>As of</t>
        </is>
      </c>
      <c r="C2" s="30">
        <f>TODAY()</f>
        <v/>
      </c>
    </row>
    <row r="4">
      <c r="B4" s="31" t="inlineStr">
        <is>
          <t>Where things stand</t>
        </is>
      </c>
    </row>
    <row r="5">
      <c r="B5" s="32" t="n"/>
      <c r="C5" s="33" t="inlineStr">
        <is>
          <t>Status</t>
        </is>
      </c>
      <c r="D5" s="34" t="inlineStr">
        <is>
          <t>Aides</t>
        </is>
      </c>
    </row>
    <row r="6">
      <c r="C6" s="35" t="inlineStr">
        <is>
          <t>Expired</t>
        </is>
      </c>
      <c r="D6" s="36">
        <f>COUNTIF('Aides'!$N$4:$N$503,"Expired")</f>
        <v/>
      </c>
    </row>
    <row r="7">
      <c r="C7" s="37" t="inlineStr">
        <is>
          <t>Due ≤30 days</t>
        </is>
      </c>
      <c r="D7" s="36">
        <f>COUNTIF('Aides'!$N$4:$N$503,"Due ≤30 days")</f>
        <v/>
      </c>
    </row>
    <row r="8">
      <c r="C8" s="38" t="inlineStr">
        <is>
          <t>Due ≤90 days</t>
        </is>
      </c>
      <c r="D8" s="36">
        <f>COUNTIF('Aides'!$N$4:$N$503,"Due ≤90 days")</f>
        <v/>
      </c>
    </row>
    <row r="9">
      <c r="C9" s="39" t="inlineStr">
        <is>
          <t>OK</t>
        </is>
      </c>
      <c r="D9" s="36">
        <f>COUNTIF('Aides'!$N$4:$N$503,"OK")</f>
        <v/>
      </c>
    </row>
    <row r="10">
      <c r="C10" s="40" t="inlineStr">
        <is>
          <t>Date missing or not a date</t>
        </is>
      </c>
      <c r="D10" s="36">
        <f>SUMPRODUCT((LEN('Aides'!$A$4:$A$503)&gt;0)*(ISNUMBER('Aides'!$I$4:$I$503)=FALSE))</f>
        <v/>
      </c>
    </row>
    <row r="11">
      <c r="C11" s="40" t="inlineStr">
        <is>
          <t>Total rows</t>
        </is>
      </c>
      <c r="D11" s="36">
        <f>COUNTIF('Aides'!$A$4:$A$503,"?*")</f>
        <v/>
      </c>
    </row>
    <row r="12">
      <c r="C12" s="3" t="inlineStr">
        <is>
          <t>Status is calculated from the next deadline. Counts update every time the file recalculates.</t>
        </is>
      </c>
    </row>
    <row r="14">
      <c r="B14" s="31" t="inlineStr">
        <is>
          <t>Next 10 due</t>
        </is>
      </c>
    </row>
    <row r="15">
      <c r="B15" s="13" t="inlineStr">
        <is>
          <t>#</t>
        </is>
      </c>
      <c r="C15" s="13" t="inlineStr">
        <is>
          <t>Item</t>
        </is>
      </c>
      <c r="D15" s="13" t="inlineStr">
        <is>
          <t>Next deadline</t>
        </is>
      </c>
      <c r="E15" s="13" t="inlineStr">
        <is>
          <t>Days left</t>
        </is>
      </c>
      <c r="F15" s="13" t="inlineStr">
        <is>
          <t>Status</t>
        </is>
      </c>
      <c r="G15" s="13" t="inlineStr">
        <is>
          <t>Owner email</t>
        </is>
      </c>
    </row>
    <row r="16">
      <c r="B16" s="41" t="n">
        <v>1</v>
      </c>
      <c r="C16" s="42">
        <f>IF(_calc!$D$4="","",INDEX('Aides'!$A$4:$A$503,_calc!$D$4)&amp;" – "&amp;INDEX('Aides'!$C$4:$C$503,_calc!$D$4))</f>
        <v/>
      </c>
      <c r="D16" s="43">
        <f>IF(_calc!$C$4="","",INT(_calc!$C$4))</f>
        <v/>
      </c>
      <c r="E16" s="44">
        <f>IF(_calc!$C$4="","",INT(_calc!$C$4)-TODAY())</f>
        <v/>
      </c>
      <c r="F16" s="40">
        <f>IF(E16="","",IF(E16&lt;0,"Expired",IF(E16&lt;=30,"Due ≤30 days",IF(E16&lt;=90,"Due ≤90 days","OK"))))</f>
        <v/>
      </c>
      <c r="G16" s="42">
        <f>IF(_calc!$D$4="","",IF(LEN(INDEX('Aides'!$V$4:$V$503,_calc!$D$4))=0,"",INDEX('Aides'!$V$4:$V$503,_calc!$D$4)))</f>
        <v/>
      </c>
    </row>
    <row r="17">
      <c r="B17" s="41" t="n">
        <v>2</v>
      </c>
      <c r="C17" s="42">
        <f>IF(_calc!$D$5="","",INDEX('Aides'!$A$4:$A$503,_calc!$D$5)&amp;" – "&amp;INDEX('Aides'!$C$4:$C$503,_calc!$D$5))</f>
        <v/>
      </c>
      <c r="D17" s="43">
        <f>IF(_calc!$C$5="","",INT(_calc!$C$5))</f>
        <v/>
      </c>
      <c r="E17" s="44">
        <f>IF(_calc!$C$5="","",INT(_calc!$C$5)-TODAY())</f>
        <v/>
      </c>
      <c r="F17" s="40">
        <f>IF(E17="","",IF(E17&lt;0,"Expired",IF(E17&lt;=30,"Due ≤30 days",IF(E17&lt;=90,"Due ≤90 days","OK"))))</f>
        <v/>
      </c>
      <c r="G17" s="42">
        <f>IF(_calc!$D$5="","",IF(LEN(INDEX('Aides'!$V$4:$V$503,_calc!$D$5))=0,"",INDEX('Aides'!$V$4:$V$503,_calc!$D$5)))</f>
        <v/>
      </c>
    </row>
    <row r="18">
      <c r="B18" s="41" t="n">
        <v>3</v>
      </c>
      <c r="C18" s="42">
        <f>IF(_calc!$D$6="","",INDEX('Aides'!$A$4:$A$503,_calc!$D$6)&amp;" – "&amp;INDEX('Aides'!$C$4:$C$503,_calc!$D$6))</f>
        <v/>
      </c>
      <c r="D18" s="43">
        <f>IF(_calc!$C$6="","",INT(_calc!$C$6))</f>
        <v/>
      </c>
      <c r="E18" s="44">
        <f>IF(_calc!$C$6="","",INT(_calc!$C$6)-TODAY())</f>
        <v/>
      </c>
      <c r="F18" s="40">
        <f>IF(E18="","",IF(E18&lt;0,"Expired",IF(E18&lt;=30,"Due ≤30 days",IF(E18&lt;=90,"Due ≤90 days","OK"))))</f>
        <v/>
      </c>
      <c r="G18" s="42">
        <f>IF(_calc!$D$6="","",IF(LEN(INDEX('Aides'!$V$4:$V$503,_calc!$D$6))=0,"",INDEX('Aides'!$V$4:$V$503,_calc!$D$6)))</f>
        <v/>
      </c>
    </row>
    <row r="19">
      <c r="B19" s="41" t="n">
        <v>4</v>
      </c>
      <c r="C19" s="42">
        <f>IF(_calc!$D$7="","",INDEX('Aides'!$A$4:$A$503,_calc!$D$7)&amp;" – "&amp;INDEX('Aides'!$C$4:$C$503,_calc!$D$7))</f>
        <v/>
      </c>
      <c r="D19" s="43">
        <f>IF(_calc!$C$7="","",INT(_calc!$C$7))</f>
        <v/>
      </c>
      <c r="E19" s="44">
        <f>IF(_calc!$C$7="","",INT(_calc!$C$7)-TODAY())</f>
        <v/>
      </c>
      <c r="F19" s="40">
        <f>IF(E19="","",IF(E19&lt;0,"Expired",IF(E19&lt;=30,"Due ≤30 days",IF(E19&lt;=90,"Due ≤90 days","OK"))))</f>
        <v/>
      </c>
      <c r="G19" s="42">
        <f>IF(_calc!$D$7="","",IF(LEN(INDEX('Aides'!$V$4:$V$503,_calc!$D$7))=0,"",INDEX('Aides'!$V$4:$V$503,_calc!$D$7)))</f>
        <v/>
      </c>
    </row>
    <row r="20">
      <c r="B20" s="41" t="n">
        <v>5</v>
      </c>
      <c r="C20" s="42">
        <f>IF(_calc!$D$8="","",INDEX('Aides'!$A$4:$A$503,_calc!$D$8)&amp;" – "&amp;INDEX('Aides'!$C$4:$C$503,_calc!$D$8))</f>
        <v/>
      </c>
      <c r="D20" s="43">
        <f>IF(_calc!$C$8="","",INT(_calc!$C$8))</f>
        <v/>
      </c>
      <c r="E20" s="44">
        <f>IF(_calc!$C$8="","",INT(_calc!$C$8)-TODAY())</f>
        <v/>
      </c>
      <c r="F20" s="40">
        <f>IF(E20="","",IF(E20&lt;0,"Expired",IF(E20&lt;=30,"Due ≤30 days",IF(E20&lt;=90,"Due ≤90 days","OK"))))</f>
        <v/>
      </c>
      <c r="G20" s="42">
        <f>IF(_calc!$D$8="","",IF(LEN(INDEX('Aides'!$V$4:$V$503,_calc!$D$8))=0,"",INDEX('Aides'!$V$4:$V$503,_calc!$D$8)))</f>
        <v/>
      </c>
    </row>
    <row r="21">
      <c r="B21" s="41" t="n">
        <v>6</v>
      </c>
      <c r="C21" s="42">
        <f>IF(_calc!$D$9="","",INDEX('Aides'!$A$4:$A$503,_calc!$D$9)&amp;" – "&amp;INDEX('Aides'!$C$4:$C$503,_calc!$D$9))</f>
        <v/>
      </c>
      <c r="D21" s="43">
        <f>IF(_calc!$C$9="","",INT(_calc!$C$9))</f>
        <v/>
      </c>
      <c r="E21" s="44">
        <f>IF(_calc!$C$9="","",INT(_calc!$C$9)-TODAY())</f>
        <v/>
      </c>
      <c r="F21" s="40">
        <f>IF(E21="","",IF(E21&lt;0,"Expired",IF(E21&lt;=30,"Due ≤30 days",IF(E21&lt;=90,"Due ≤90 days","OK"))))</f>
        <v/>
      </c>
      <c r="G21" s="42">
        <f>IF(_calc!$D$9="","",IF(LEN(INDEX('Aides'!$V$4:$V$503,_calc!$D$9))=0,"",INDEX('Aides'!$V$4:$V$503,_calc!$D$9)))</f>
        <v/>
      </c>
    </row>
    <row r="22">
      <c r="B22" s="41" t="n">
        <v>7</v>
      </c>
      <c r="C22" s="42">
        <f>IF(_calc!$D$10="","",INDEX('Aides'!$A$4:$A$503,_calc!$D$10)&amp;" – "&amp;INDEX('Aides'!$C$4:$C$503,_calc!$D$10))</f>
        <v/>
      </c>
      <c r="D22" s="43">
        <f>IF(_calc!$C$10="","",INT(_calc!$C$10))</f>
        <v/>
      </c>
      <c r="E22" s="44">
        <f>IF(_calc!$C$10="","",INT(_calc!$C$10)-TODAY())</f>
        <v/>
      </c>
      <c r="F22" s="40">
        <f>IF(E22="","",IF(E22&lt;0,"Expired",IF(E22&lt;=30,"Due ≤30 days",IF(E22&lt;=90,"Due ≤90 days","OK"))))</f>
        <v/>
      </c>
      <c r="G22" s="42">
        <f>IF(_calc!$D$10="","",IF(LEN(INDEX('Aides'!$V$4:$V$503,_calc!$D$10))=0,"",INDEX('Aides'!$V$4:$V$503,_calc!$D$10)))</f>
        <v/>
      </c>
    </row>
    <row r="23">
      <c r="B23" s="41" t="n">
        <v>8</v>
      </c>
      <c r="C23" s="42">
        <f>IF(_calc!$D$11="","",INDEX('Aides'!$A$4:$A$503,_calc!$D$11)&amp;" – "&amp;INDEX('Aides'!$C$4:$C$503,_calc!$D$11))</f>
        <v/>
      </c>
      <c r="D23" s="43">
        <f>IF(_calc!$C$11="","",INT(_calc!$C$11))</f>
        <v/>
      </c>
      <c r="E23" s="44">
        <f>IF(_calc!$C$11="","",INT(_calc!$C$11)-TODAY())</f>
        <v/>
      </c>
      <c r="F23" s="40">
        <f>IF(E23="","",IF(E23&lt;0,"Expired",IF(E23&lt;=30,"Due ≤30 days",IF(E23&lt;=90,"Due ≤90 days","OK"))))</f>
        <v/>
      </c>
      <c r="G23" s="42">
        <f>IF(_calc!$D$11="","",IF(LEN(INDEX('Aides'!$V$4:$V$503,_calc!$D$11))=0,"",INDEX('Aides'!$V$4:$V$503,_calc!$D$11)))</f>
        <v/>
      </c>
    </row>
    <row r="24">
      <c r="B24" s="41" t="n">
        <v>9</v>
      </c>
      <c r="C24" s="42">
        <f>IF(_calc!$D$12="","",INDEX('Aides'!$A$4:$A$503,_calc!$D$12)&amp;" – "&amp;INDEX('Aides'!$C$4:$C$503,_calc!$D$12))</f>
        <v/>
      </c>
      <c r="D24" s="43">
        <f>IF(_calc!$C$12="","",INT(_calc!$C$12))</f>
        <v/>
      </c>
      <c r="E24" s="44">
        <f>IF(_calc!$C$12="","",INT(_calc!$C$12)-TODAY())</f>
        <v/>
      </c>
      <c r="F24" s="40">
        <f>IF(E24="","",IF(E24&lt;0,"Expired",IF(E24&lt;=30,"Due ≤30 days",IF(E24&lt;=90,"Due ≤90 days","OK"))))</f>
        <v/>
      </c>
      <c r="G24" s="42">
        <f>IF(_calc!$D$12="","",IF(LEN(INDEX('Aides'!$V$4:$V$503,_calc!$D$12))=0,"",INDEX('Aides'!$V$4:$V$503,_calc!$D$12)))</f>
        <v/>
      </c>
    </row>
    <row r="25">
      <c r="B25" s="41" t="n">
        <v>10</v>
      </c>
      <c r="C25" s="42">
        <f>IF(_calc!$D$13="","",INDEX('Aides'!$A$4:$A$503,_calc!$D$13)&amp;" – "&amp;INDEX('Aides'!$C$4:$C$503,_calc!$D$13))</f>
        <v/>
      </c>
      <c r="D25" s="43">
        <f>IF(_calc!$C$13="","",INT(_calc!$C$13))</f>
        <v/>
      </c>
      <c r="E25" s="44">
        <f>IF(_calc!$C$13="","",INT(_calc!$C$13)-TODAY())</f>
        <v/>
      </c>
      <c r="F25" s="40">
        <f>IF(E25="","",IF(E25&lt;0,"Expired",IF(E25&lt;=30,"Due ≤30 days",IF(E25&lt;=90,"Due ≤90 days","OK"))))</f>
        <v/>
      </c>
      <c r="G25" s="42">
        <f>IF(_calc!$D$13="","",IF(LEN(INDEX('Aides'!$V$4:$V$503,_calc!$D$13))=0,"",INDEX('Aides'!$V$4:$V$503,_calc!$D$13)))</f>
        <v/>
      </c>
    </row>
    <row r="26">
      <c r="C26" s="3" t="inlineStr">
        <is>
          <t>Earliest dates first, including anything already expired.</t>
        </is>
      </c>
    </row>
    <row r="27">
      <c r="C27" s="3" t="n"/>
    </row>
    <row r="28">
      <c r="B28" s="31" t="inlineStr">
        <is>
          <t>CPR / First Aid cards</t>
        </is>
      </c>
    </row>
    <row r="29">
      <c r="B29" s="32" t="n"/>
      <c r="C29" s="45" t="inlineStr">
        <is>
          <t>Status</t>
        </is>
      </c>
      <c r="D29" s="46" t="inlineStr">
        <is>
          <t>Aides</t>
        </is>
      </c>
    </row>
    <row r="30">
      <c r="C30" s="35" t="inlineStr">
        <is>
          <t>Expired</t>
        </is>
      </c>
      <c r="D30" s="36">
        <f>COUNTIFS('Aides'!$S$4:$S$503,"&lt;"&amp;TODAY())</f>
        <v/>
      </c>
    </row>
    <row r="31">
      <c r="C31" s="37" t="inlineStr">
        <is>
          <t>Due ≤30 days</t>
        </is>
      </c>
      <c r="D31" s="36">
        <f>COUNTIFS('Aides'!$S$4:$S$503,"&gt;="&amp;TODAY(),'Aides'!$S$4:$S$503,"&lt;="&amp;TODAY()+30)</f>
        <v/>
      </c>
    </row>
    <row r="32">
      <c r="C32" s="38" t="inlineStr">
        <is>
          <t>Due ≤90 days</t>
        </is>
      </c>
      <c r="D32" s="36">
        <f>COUNTIFS('Aides'!$S$4:$S$503,"&gt;"&amp;TODAY()+30,'Aides'!$S$4:$S$503,"&lt;="&amp;TODAY()+90)</f>
        <v/>
      </c>
    </row>
    <row r="34">
      <c r="B34" s="31" t="inlineStr">
        <is>
          <t>In-service hours</t>
        </is>
      </c>
    </row>
    <row r="35">
      <c r="B35" s="32" t="n"/>
      <c r="C35" s="45" t="inlineStr"/>
      <c r="D35" s="46" t="inlineStr">
        <is>
          <t>Aides</t>
        </is>
      </c>
    </row>
    <row r="36">
      <c r="C36" s="40" t="inlineStr">
        <is>
          <t>Short of target this year</t>
        </is>
      </c>
      <c r="D36" s="36">
        <f>COUNTIF('Aides'!$R$4:$R$503,"&gt;0")</f>
        <v/>
      </c>
    </row>
    <row r="37">
      <c r="C37" s="38" t="inlineStr">
        <is>
          <t>Short, and the year ends ≤90 days</t>
        </is>
      </c>
      <c r="D37" s="36">
        <f>COUNTIFS('Aides'!$R$4:$R$503,"&gt;0",'Aides'!$O$4:$O$503,"&lt;="&amp;TODAY()+90)</f>
        <v/>
      </c>
    </row>
    <row r="38">
      <c r="C38" s="37" t="inlineStr">
        <is>
          <t>Short, and the year ends ≤30 days</t>
        </is>
      </c>
      <c r="D38" s="36">
        <f>COUNTIFS('Aides'!$R$4:$R$503,"&gt;0",'Aides'!$O$4:$O$503,"&lt;="&amp;TODAY()+30)</f>
        <v/>
      </c>
    </row>
    <row r="39">
      <c r="C39" s="3" t="inlineStr">
        <is>
          <t>In-service year = 12 months from each aide’s hire anniversary.</t>
        </is>
      </c>
    </row>
    <row r="41">
      <c r="C41" s="3" t="inlineStr">
        <is>
          <t>Made by ExpiryEdge · expiryedge.com</t>
        </is>
      </c>
    </row>
  </sheetData>
  <conditionalFormatting sqref="D16:F25">
    <cfRule type="expression" priority="1" dxfId="0" stopIfTrue="1">
      <formula>AND(ISNUMBER($E16),$E16&lt;0)</formula>
    </cfRule>
    <cfRule type="expression" priority="2" dxfId="1" stopIfTrue="1">
      <formula>AND(ISNUMBER($E16),$E16&lt;=30)</formula>
    </cfRule>
    <cfRule type="expression" priority="3" dxfId="2" stopIfTrue="1">
      <formula>AND(ISNUMBER($E16),$E16&lt;=90)</formula>
    </cfRule>
    <cfRule type="expression" priority="4" dxfId="3" stopIfTrue="1">
      <formula>ISNUMBER($E16)</formula>
    </cfRule>
  </conditionalFormatting>
  <printOptions horizontalCentered="0"/>
  <pageMargins left="0.4" right="0.4" top="0.5" bottom="0.6" header="0.5" footer="0.5"/>
  <pageSetup orientation="portrait" paperSize="1" fitToHeight="0" fitToWidth="1"/>
  <headerFooter>
    <oddHeader/>
    <oddFooter>&amp;C&amp;"Arial"&amp;8 expiryedge.com · 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35584B"/>
    <outlinePr summaryBelow="1" summaryRight="1"/>
    <pageSetUpPr fitToPage="1"/>
  </sheetPr>
  <dimension ref="A1:K1501"/>
  <sheetViews>
    <sheetView showGridLines="0"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3" customWidth="1" min="2" max="2"/>
    <col width="16" customWidth="1" min="3" max="3"/>
    <col width="13" customWidth="1" min="4" max="4"/>
    <col width="13" customWidth="1" min="5" max="5"/>
    <col width="64" customWidth="1" min="6" max="6"/>
    <col width="24" customWidth="1" min="7" max="7"/>
    <col width="13" customWidth="1" min="8" max="8"/>
    <col width="13" customWidth="1" min="9" max="9"/>
    <col width="13" customWidth="1" min="10" max="10"/>
    <col width="26" customWidth="1" min="11" max="11"/>
  </cols>
  <sheetData>
    <row r="1">
      <c r="A1" s="12" t="inlineStr">
        <is>
          <t>name</t>
        </is>
      </c>
      <c r="B1" s="12" t="inlineStr">
        <is>
          <t>expiry_date</t>
        </is>
      </c>
      <c r="C1" s="12" t="inlineStr">
        <is>
          <t>type</t>
        </is>
      </c>
      <c r="D1" s="12" t="inlineStr">
        <is>
          <t>start_date</t>
        </is>
      </c>
      <c r="E1" s="12" t="inlineStr">
        <is>
          <t>priority</t>
        </is>
      </c>
      <c r="F1" s="12" t="inlineStr">
        <is>
          <t>notes</t>
        </is>
      </c>
      <c r="G1" s="12" t="inlineStr">
        <is>
          <t>url</t>
        </is>
      </c>
      <c r="H1" s="12" t="inlineStr">
        <is>
          <t>value</t>
        </is>
      </c>
      <c r="I1" s="12" t="inlineStr">
        <is>
          <t>currency</t>
        </is>
      </c>
      <c r="J1" s="12" t="inlineStr">
        <is>
          <t>penalty_amount</t>
        </is>
      </c>
      <c r="K1" s="12" t="inlineStr">
        <is>
          <t>notification_email</t>
        </is>
      </c>
    </row>
    <row r="2">
      <c r="A2" s="47">
        <f>IF(_imp!$C$4="","",INDEX(_imp!$D$4:$D$1503,_imp!$C$4))</f>
        <v/>
      </c>
      <c r="B2" s="47">
        <f>IF(_imp!$C$4="","",INDEX(_imp!$E$4:$E$1503,_imp!$C$4))</f>
        <v/>
      </c>
      <c r="C2" s="47">
        <f>IF(_imp!$C$4="","",INDEX(_imp!$F$4:$F$1503,_imp!$C$4))</f>
        <v/>
      </c>
      <c r="E2" s="47">
        <f>IF(_imp!$C$4="","",INDEX(_imp!$G$4:$G$1503,_imp!$C$4))</f>
        <v/>
      </c>
      <c r="F2" s="47">
        <f>IF(_imp!$C$4="","",INDEX(_imp!$H$4:$H$1503,_imp!$C$4))</f>
        <v/>
      </c>
      <c r="G2" s="47">
        <f>IF(_imp!$C$4="","",INDEX(_imp!$I$4:$I$1503,_imp!$C$4))</f>
        <v/>
      </c>
      <c r="K2" s="47">
        <f>IF(_imp!$C$4="","",INDEX(_imp!$J$4:$J$1503,_imp!$C$4))</f>
        <v/>
      </c>
    </row>
    <row r="3">
      <c r="A3" s="47">
        <f>IF(_imp!$C$5="","",INDEX(_imp!$D$4:$D$1503,_imp!$C$5))</f>
        <v/>
      </c>
      <c r="B3" s="47">
        <f>IF(_imp!$C$5="","",INDEX(_imp!$E$4:$E$1503,_imp!$C$5))</f>
        <v/>
      </c>
      <c r="C3" s="47">
        <f>IF(_imp!$C$5="","",INDEX(_imp!$F$4:$F$1503,_imp!$C$5))</f>
        <v/>
      </c>
      <c r="E3" s="47">
        <f>IF(_imp!$C$5="","",INDEX(_imp!$G$4:$G$1503,_imp!$C$5))</f>
        <v/>
      </c>
      <c r="F3" s="47">
        <f>IF(_imp!$C$5="","",INDEX(_imp!$H$4:$H$1503,_imp!$C$5))</f>
        <v/>
      </c>
      <c r="G3" s="47">
        <f>IF(_imp!$C$5="","",INDEX(_imp!$I$4:$I$1503,_imp!$C$5))</f>
        <v/>
      </c>
      <c r="K3" s="47">
        <f>IF(_imp!$C$5="","",INDEX(_imp!$J$4:$J$1503,_imp!$C$5))</f>
        <v/>
      </c>
    </row>
    <row r="4">
      <c r="A4" s="47">
        <f>IF(_imp!$C$6="","",INDEX(_imp!$D$4:$D$1503,_imp!$C$6))</f>
        <v/>
      </c>
      <c r="B4" s="47">
        <f>IF(_imp!$C$6="","",INDEX(_imp!$E$4:$E$1503,_imp!$C$6))</f>
        <v/>
      </c>
      <c r="C4" s="47">
        <f>IF(_imp!$C$6="","",INDEX(_imp!$F$4:$F$1503,_imp!$C$6))</f>
        <v/>
      </c>
      <c r="E4" s="47">
        <f>IF(_imp!$C$6="","",INDEX(_imp!$G$4:$G$1503,_imp!$C$6))</f>
        <v/>
      </c>
      <c r="F4" s="47">
        <f>IF(_imp!$C$6="","",INDEX(_imp!$H$4:$H$1503,_imp!$C$6))</f>
        <v/>
      </c>
      <c r="G4" s="47">
        <f>IF(_imp!$C$6="","",INDEX(_imp!$I$4:$I$1503,_imp!$C$6))</f>
        <v/>
      </c>
      <c r="K4" s="47">
        <f>IF(_imp!$C$6="","",INDEX(_imp!$J$4:$J$1503,_imp!$C$6))</f>
        <v/>
      </c>
    </row>
    <row r="5">
      <c r="A5" s="47">
        <f>IF(_imp!$C$7="","",INDEX(_imp!$D$4:$D$1503,_imp!$C$7))</f>
        <v/>
      </c>
      <c r="B5" s="47">
        <f>IF(_imp!$C$7="","",INDEX(_imp!$E$4:$E$1503,_imp!$C$7))</f>
        <v/>
      </c>
      <c r="C5" s="47">
        <f>IF(_imp!$C$7="","",INDEX(_imp!$F$4:$F$1503,_imp!$C$7))</f>
        <v/>
      </c>
      <c r="E5" s="47">
        <f>IF(_imp!$C$7="","",INDEX(_imp!$G$4:$G$1503,_imp!$C$7))</f>
        <v/>
      </c>
      <c r="F5" s="47">
        <f>IF(_imp!$C$7="","",INDEX(_imp!$H$4:$H$1503,_imp!$C$7))</f>
        <v/>
      </c>
      <c r="G5" s="47">
        <f>IF(_imp!$C$7="","",INDEX(_imp!$I$4:$I$1503,_imp!$C$7))</f>
        <v/>
      </c>
      <c r="K5" s="47">
        <f>IF(_imp!$C$7="","",INDEX(_imp!$J$4:$J$1503,_imp!$C$7))</f>
        <v/>
      </c>
    </row>
    <row r="6">
      <c r="A6" s="47">
        <f>IF(_imp!$C$8="","",INDEX(_imp!$D$4:$D$1503,_imp!$C$8))</f>
        <v/>
      </c>
      <c r="B6" s="47">
        <f>IF(_imp!$C$8="","",INDEX(_imp!$E$4:$E$1503,_imp!$C$8))</f>
        <v/>
      </c>
      <c r="C6" s="47">
        <f>IF(_imp!$C$8="","",INDEX(_imp!$F$4:$F$1503,_imp!$C$8))</f>
        <v/>
      </c>
      <c r="E6" s="47">
        <f>IF(_imp!$C$8="","",INDEX(_imp!$G$4:$G$1503,_imp!$C$8))</f>
        <v/>
      </c>
      <c r="F6" s="47">
        <f>IF(_imp!$C$8="","",INDEX(_imp!$H$4:$H$1503,_imp!$C$8))</f>
        <v/>
      </c>
      <c r="G6" s="47">
        <f>IF(_imp!$C$8="","",INDEX(_imp!$I$4:$I$1503,_imp!$C$8))</f>
        <v/>
      </c>
      <c r="K6" s="47">
        <f>IF(_imp!$C$8="","",INDEX(_imp!$J$4:$J$1503,_imp!$C$8))</f>
        <v/>
      </c>
    </row>
    <row r="7">
      <c r="A7" s="47">
        <f>IF(_imp!$C$9="","",INDEX(_imp!$D$4:$D$1503,_imp!$C$9))</f>
        <v/>
      </c>
      <c r="B7" s="47">
        <f>IF(_imp!$C$9="","",INDEX(_imp!$E$4:$E$1503,_imp!$C$9))</f>
        <v/>
      </c>
      <c r="C7" s="47">
        <f>IF(_imp!$C$9="","",INDEX(_imp!$F$4:$F$1503,_imp!$C$9))</f>
        <v/>
      </c>
      <c r="E7" s="47">
        <f>IF(_imp!$C$9="","",INDEX(_imp!$G$4:$G$1503,_imp!$C$9))</f>
        <v/>
      </c>
      <c r="F7" s="47">
        <f>IF(_imp!$C$9="","",INDEX(_imp!$H$4:$H$1503,_imp!$C$9))</f>
        <v/>
      </c>
      <c r="G7" s="47">
        <f>IF(_imp!$C$9="","",INDEX(_imp!$I$4:$I$1503,_imp!$C$9))</f>
        <v/>
      </c>
      <c r="K7" s="47">
        <f>IF(_imp!$C$9="","",INDEX(_imp!$J$4:$J$1503,_imp!$C$9))</f>
        <v/>
      </c>
    </row>
    <row r="8">
      <c r="A8" s="47">
        <f>IF(_imp!$C$10="","",INDEX(_imp!$D$4:$D$1503,_imp!$C$10))</f>
        <v/>
      </c>
      <c r="B8" s="47">
        <f>IF(_imp!$C$10="","",INDEX(_imp!$E$4:$E$1503,_imp!$C$10))</f>
        <v/>
      </c>
      <c r="C8" s="47">
        <f>IF(_imp!$C$10="","",INDEX(_imp!$F$4:$F$1503,_imp!$C$10))</f>
        <v/>
      </c>
      <c r="E8" s="47">
        <f>IF(_imp!$C$10="","",INDEX(_imp!$G$4:$G$1503,_imp!$C$10))</f>
        <v/>
      </c>
      <c r="F8" s="47">
        <f>IF(_imp!$C$10="","",INDEX(_imp!$H$4:$H$1503,_imp!$C$10))</f>
        <v/>
      </c>
      <c r="G8" s="47">
        <f>IF(_imp!$C$10="","",INDEX(_imp!$I$4:$I$1503,_imp!$C$10))</f>
        <v/>
      </c>
      <c r="K8" s="47">
        <f>IF(_imp!$C$10="","",INDEX(_imp!$J$4:$J$1503,_imp!$C$10))</f>
        <v/>
      </c>
    </row>
    <row r="9">
      <c r="A9" s="47">
        <f>IF(_imp!$C$11="","",INDEX(_imp!$D$4:$D$1503,_imp!$C$11))</f>
        <v/>
      </c>
      <c r="B9" s="47">
        <f>IF(_imp!$C$11="","",INDEX(_imp!$E$4:$E$1503,_imp!$C$11))</f>
        <v/>
      </c>
      <c r="C9" s="47">
        <f>IF(_imp!$C$11="","",INDEX(_imp!$F$4:$F$1503,_imp!$C$11))</f>
        <v/>
      </c>
      <c r="E9" s="47">
        <f>IF(_imp!$C$11="","",INDEX(_imp!$G$4:$G$1503,_imp!$C$11))</f>
        <v/>
      </c>
      <c r="F9" s="47">
        <f>IF(_imp!$C$11="","",INDEX(_imp!$H$4:$H$1503,_imp!$C$11))</f>
        <v/>
      </c>
      <c r="G9" s="47">
        <f>IF(_imp!$C$11="","",INDEX(_imp!$I$4:$I$1503,_imp!$C$11))</f>
        <v/>
      </c>
      <c r="K9" s="47">
        <f>IF(_imp!$C$11="","",INDEX(_imp!$J$4:$J$1503,_imp!$C$11))</f>
        <v/>
      </c>
    </row>
    <row r="10">
      <c r="A10" s="47">
        <f>IF(_imp!$C$12="","",INDEX(_imp!$D$4:$D$1503,_imp!$C$12))</f>
        <v/>
      </c>
      <c r="B10" s="47">
        <f>IF(_imp!$C$12="","",INDEX(_imp!$E$4:$E$1503,_imp!$C$12))</f>
        <v/>
      </c>
      <c r="C10" s="47">
        <f>IF(_imp!$C$12="","",INDEX(_imp!$F$4:$F$1503,_imp!$C$12))</f>
        <v/>
      </c>
      <c r="E10" s="47">
        <f>IF(_imp!$C$12="","",INDEX(_imp!$G$4:$G$1503,_imp!$C$12))</f>
        <v/>
      </c>
      <c r="F10" s="47">
        <f>IF(_imp!$C$12="","",INDEX(_imp!$H$4:$H$1503,_imp!$C$12))</f>
        <v/>
      </c>
      <c r="G10" s="47">
        <f>IF(_imp!$C$12="","",INDEX(_imp!$I$4:$I$1503,_imp!$C$12))</f>
        <v/>
      </c>
      <c r="K10" s="47">
        <f>IF(_imp!$C$12="","",INDEX(_imp!$J$4:$J$1503,_imp!$C$12))</f>
        <v/>
      </c>
    </row>
    <row r="11">
      <c r="A11" s="47">
        <f>IF(_imp!$C$13="","",INDEX(_imp!$D$4:$D$1503,_imp!$C$13))</f>
        <v/>
      </c>
      <c r="B11" s="47">
        <f>IF(_imp!$C$13="","",INDEX(_imp!$E$4:$E$1503,_imp!$C$13))</f>
        <v/>
      </c>
      <c r="C11" s="47">
        <f>IF(_imp!$C$13="","",INDEX(_imp!$F$4:$F$1503,_imp!$C$13))</f>
        <v/>
      </c>
      <c r="E11" s="47">
        <f>IF(_imp!$C$13="","",INDEX(_imp!$G$4:$G$1503,_imp!$C$13))</f>
        <v/>
      </c>
      <c r="F11" s="47">
        <f>IF(_imp!$C$13="","",INDEX(_imp!$H$4:$H$1503,_imp!$C$13))</f>
        <v/>
      </c>
      <c r="G11" s="47">
        <f>IF(_imp!$C$13="","",INDEX(_imp!$I$4:$I$1503,_imp!$C$13))</f>
        <v/>
      </c>
      <c r="K11" s="47">
        <f>IF(_imp!$C$13="","",INDEX(_imp!$J$4:$J$1503,_imp!$C$13))</f>
        <v/>
      </c>
    </row>
    <row r="12">
      <c r="A12" s="47">
        <f>IF(_imp!$C$14="","",INDEX(_imp!$D$4:$D$1503,_imp!$C$14))</f>
        <v/>
      </c>
      <c r="B12" s="47">
        <f>IF(_imp!$C$14="","",INDEX(_imp!$E$4:$E$1503,_imp!$C$14))</f>
        <v/>
      </c>
      <c r="C12" s="47">
        <f>IF(_imp!$C$14="","",INDEX(_imp!$F$4:$F$1503,_imp!$C$14))</f>
        <v/>
      </c>
      <c r="E12" s="47">
        <f>IF(_imp!$C$14="","",INDEX(_imp!$G$4:$G$1503,_imp!$C$14))</f>
        <v/>
      </c>
      <c r="F12" s="47">
        <f>IF(_imp!$C$14="","",INDEX(_imp!$H$4:$H$1503,_imp!$C$14))</f>
        <v/>
      </c>
      <c r="G12" s="47">
        <f>IF(_imp!$C$14="","",INDEX(_imp!$I$4:$I$1503,_imp!$C$14))</f>
        <v/>
      </c>
      <c r="K12" s="47">
        <f>IF(_imp!$C$14="","",INDEX(_imp!$J$4:$J$1503,_imp!$C$14))</f>
        <v/>
      </c>
    </row>
    <row r="13">
      <c r="A13" s="47">
        <f>IF(_imp!$C$15="","",INDEX(_imp!$D$4:$D$1503,_imp!$C$15))</f>
        <v/>
      </c>
      <c r="B13" s="47">
        <f>IF(_imp!$C$15="","",INDEX(_imp!$E$4:$E$1503,_imp!$C$15))</f>
        <v/>
      </c>
      <c r="C13" s="47">
        <f>IF(_imp!$C$15="","",INDEX(_imp!$F$4:$F$1503,_imp!$C$15))</f>
        <v/>
      </c>
      <c r="E13" s="47">
        <f>IF(_imp!$C$15="","",INDEX(_imp!$G$4:$G$1503,_imp!$C$15))</f>
        <v/>
      </c>
      <c r="F13" s="47">
        <f>IF(_imp!$C$15="","",INDEX(_imp!$H$4:$H$1503,_imp!$C$15))</f>
        <v/>
      </c>
      <c r="G13" s="47">
        <f>IF(_imp!$C$15="","",INDEX(_imp!$I$4:$I$1503,_imp!$C$15))</f>
        <v/>
      </c>
      <c r="K13" s="47">
        <f>IF(_imp!$C$15="","",INDEX(_imp!$J$4:$J$1503,_imp!$C$15))</f>
        <v/>
      </c>
    </row>
    <row r="14">
      <c r="A14" s="47">
        <f>IF(_imp!$C$16="","",INDEX(_imp!$D$4:$D$1503,_imp!$C$16))</f>
        <v/>
      </c>
      <c r="B14" s="47">
        <f>IF(_imp!$C$16="","",INDEX(_imp!$E$4:$E$1503,_imp!$C$16))</f>
        <v/>
      </c>
      <c r="C14" s="47">
        <f>IF(_imp!$C$16="","",INDEX(_imp!$F$4:$F$1503,_imp!$C$16))</f>
        <v/>
      </c>
      <c r="E14" s="47">
        <f>IF(_imp!$C$16="","",INDEX(_imp!$G$4:$G$1503,_imp!$C$16))</f>
        <v/>
      </c>
      <c r="F14" s="47">
        <f>IF(_imp!$C$16="","",INDEX(_imp!$H$4:$H$1503,_imp!$C$16))</f>
        <v/>
      </c>
      <c r="G14" s="47">
        <f>IF(_imp!$C$16="","",INDEX(_imp!$I$4:$I$1503,_imp!$C$16))</f>
        <v/>
      </c>
      <c r="K14" s="47">
        <f>IF(_imp!$C$16="","",INDEX(_imp!$J$4:$J$1503,_imp!$C$16))</f>
        <v/>
      </c>
    </row>
    <row r="15">
      <c r="A15" s="47">
        <f>IF(_imp!$C$17="","",INDEX(_imp!$D$4:$D$1503,_imp!$C$17))</f>
        <v/>
      </c>
      <c r="B15" s="47">
        <f>IF(_imp!$C$17="","",INDEX(_imp!$E$4:$E$1503,_imp!$C$17))</f>
        <v/>
      </c>
      <c r="C15" s="47">
        <f>IF(_imp!$C$17="","",INDEX(_imp!$F$4:$F$1503,_imp!$C$17))</f>
        <v/>
      </c>
      <c r="E15" s="47">
        <f>IF(_imp!$C$17="","",INDEX(_imp!$G$4:$G$1503,_imp!$C$17))</f>
        <v/>
      </c>
      <c r="F15" s="47">
        <f>IF(_imp!$C$17="","",INDEX(_imp!$H$4:$H$1503,_imp!$C$17))</f>
        <v/>
      </c>
      <c r="G15" s="47">
        <f>IF(_imp!$C$17="","",INDEX(_imp!$I$4:$I$1503,_imp!$C$17))</f>
        <v/>
      </c>
      <c r="K15" s="47">
        <f>IF(_imp!$C$17="","",INDEX(_imp!$J$4:$J$1503,_imp!$C$17))</f>
        <v/>
      </c>
    </row>
    <row r="16">
      <c r="A16" s="47">
        <f>IF(_imp!$C$18="","",INDEX(_imp!$D$4:$D$1503,_imp!$C$18))</f>
        <v/>
      </c>
      <c r="B16" s="47">
        <f>IF(_imp!$C$18="","",INDEX(_imp!$E$4:$E$1503,_imp!$C$18))</f>
        <v/>
      </c>
      <c r="C16" s="47">
        <f>IF(_imp!$C$18="","",INDEX(_imp!$F$4:$F$1503,_imp!$C$18))</f>
        <v/>
      </c>
      <c r="E16" s="47">
        <f>IF(_imp!$C$18="","",INDEX(_imp!$G$4:$G$1503,_imp!$C$18))</f>
        <v/>
      </c>
      <c r="F16" s="47">
        <f>IF(_imp!$C$18="","",INDEX(_imp!$H$4:$H$1503,_imp!$C$18))</f>
        <v/>
      </c>
      <c r="G16" s="47">
        <f>IF(_imp!$C$18="","",INDEX(_imp!$I$4:$I$1503,_imp!$C$18))</f>
        <v/>
      </c>
      <c r="K16" s="47">
        <f>IF(_imp!$C$18="","",INDEX(_imp!$J$4:$J$1503,_imp!$C$18))</f>
        <v/>
      </c>
    </row>
    <row r="17">
      <c r="A17" s="47">
        <f>IF(_imp!$C$19="","",INDEX(_imp!$D$4:$D$1503,_imp!$C$19))</f>
        <v/>
      </c>
      <c r="B17" s="47">
        <f>IF(_imp!$C$19="","",INDEX(_imp!$E$4:$E$1503,_imp!$C$19))</f>
        <v/>
      </c>
      <c r="C17" s="47">
        <f>IF(_imp!$C$19="","",INDEX(_imp!$F$4:$F$1503,_imp!$C$19))</f>
        <v/>
      </c>
      <c r="E17" s="47">
        <f>IF(_imp!$C$19="","",INDEX(_imp!$G$4:$G$1503,_imp!$C$19))</f>
        <v/>
      </c>
      <c r="F17" s="47">
        <f>IF(_imp!$C$19="","",INDEX(_imp!$H$4:$H$1503,_imp!$C$19))</f>
        <v/>
      </c>
      <c r="G17" s="47">
        <f>IF(_imp!$C$19="","",INDEX(_imp!$I$4:$I$1503,_imp!$C$19))</f>
        <v/>
      </c>
      <c r="K17" s="47">
        <f>IF(_imp!$C$19="","",INDEX(_imp!$J$4:$J$1503,_imp!$C$19))</f>
        <v/>
      </c>
    </row>
    <row r="18">
      <c r="A18" s="47">
        <f>IF(_imp!$C$20="","",INDEX(_imp!$D$4:$D$1503,_imp!$C$20))</f>
        <v/>
      </c>
      <c r="B18" s="47">
        <f>IF(_imp!$C$20="","",INDEX(_imp!$E$4:$E$1503,_imp!$C$20))</f>
        <v/>
      </c>
      <c r="C18" s="47">
        <f>IF(_imp!$C$20="","",INDEX(_imp!$F$4:$F$1503,_imp!$C$20))</f>
        <v/>
      </c>
      <c r="E18" s="47">
        <f>IF(_imp!$C$20="","",INDEX(_imp!$G$4:$G$1503,_imp!$C$20))</f>
        <v/>
      </c>
      <c r="F18" s="47">
        <f>IF(_imp!$C$20="","",INDEX(_imp!$H$4:$H$1503,_imp!$C$20))</f>
        <v/>
      </c>
      <c r="G18" s="47">
        <f>IF(_imp!$C$20="","",INDEX(_imp!$I$4:$I$1503,_imp!$C$20))</f>
        <v/>
      </c>
      <c r="K18" s="47">
        <f>IF(_imp!$C$20="","",INDEX(_imp!$J$4:$J$1503,_imp!$C$20))</f>
        <v/>
      </c>
    </row>
    <row r="19">
      <c r="A19" s="47">
        <f>IF(_imp!$C$21="","",INDEX(_imp!$D$4:$D$1503,_imp!$C$21))</f>
        <v/>
      </c>
      <c r="B19" s="47">
        <f>IF(_imp!$C$21="","",INDEX(_imp!$E$4:$E$1503,_imp!$C$21))</f>
        <v/>
      </c>
      <c r="C19" s="47">
        <f>IF(_imp!$C$21="","",INDEX(_imp!$F$4:$F$1503,_imp!$C$21))</f>
        <v/>
      </c>
      <c r="E19" s="47">
        <f>IF(_imp!$C$21="","",INDEX(_imp!$G$4:$G$1503,_imp!$C$21))</f>
        <v/>
      </c>
      <c r="F19" s="47">
        <f>IF(_imp!$C$21="","",INDEX(_imp!$H$4:$H$1503,_imp!$C$21))</f>
        <v/>
      </c>
      <c r="G19" s="47">
        <f>IF(_imp!$C$21="","",INDEX(_imp!$I$4:$I$1503,_imp!$C$21))</f>
        <v/>
      </c>
      <c r="K19" s="47">
        <f>IF(_imp!$C$21="","",INDEX(_imp!$J$4:$J$1503,_imp!$C$21))</f>
        <v/>
      </c>
    </row>
    <row r="20">
      <c r="A20" s="47">
        <f>IF(_imp!$C$22="","",INDEX(_imp!$D$4:$D$1503,_imp!$C$22))</f>
        <v/>
      </c>
      <c r="B20" s="47">
        <f>IF(_imp!$C$22="","",INDEX(_imp!$E$4:$E$1503,_imp!$C$22))</f>
        <v/>
      </c>
      <c r="C20" s="47">
        <f>IF(_imp!$C$22="","",INDEX(_imp!$F$4:$F$1503,_imp!$C$22))</f>
        <v/>
      </c>
      <c r="E20" s="47">
        <f>IF(_imp!$C$22="","",INDEX(_imp!$G$4:$G$1503,_imp!$C$22))</f>
        <v/>
      </c>
      <c r="F20" s="47">
        <f>IF(_imp!$C$22="","",INDEX(_imp!$H$4:$H$1503,_imp!$C$22))</f>
        <v/>
      </c>
      <c r="G20" s="47">
        <f>IF(_imp!$C$22="","",INDEX(_imp!$I$4:$I$1503,_imp!$C$22))</f>
        <v/>
      </c>
      <c r="K20" s="47">
        <f>IF(_imp!$C$22="","",INDEX(_imp!$J$4:$J$1503,_imp!$C$22))</f>
        <v/>
      </c>
    </row>
    <row r="21">
      <c r="A21" s="47">
        <f>IF(_imp!$C$23="","",INDEX(_imp!$D$4:$D$1503,_imp!$C$23))</f>
        <v/>
      </c>
      <c r="B21" s="47">
        <f>IF(_imp!$C$23="","",INDEX(_imp!$E$4:$E$1503,_imp!$C$23))</f>
        <v/>
      </c>
      <c r="C21" s="47">
        <f>IF(_imp!$C$23="","",INDEX(_imp!$F$4:$F$1503,_imp!$C$23))</f>
        <v/>
      </c>
      <c r="E21" s="47">
        <f>IF(_imp!$C$23="","",INDEX(_imp!$G$4:$G$1503,_imp!$C$23))</f>
        <v/>
      </c>
      <c r="F21" s="47">
        <f>IF(_imp!$C$23="","",INDEX(_imp!$H$4:$H$1503,_imp!$C$23))</f>
        <v/>
      </c>
      <c r="G21" s="47">
        <f>IF(_imp!$C$23="","",INDEX(_imp!$I$4:$I$1503,_imp!$C$23))</f>
        <v/>
      </c>
      <c r="K21" s="47">
        <f>IF(_imp!$C$23="","",INDEX(_imp!$J$4:$J$1503,_imp!$C$23))</f>
        <v/>
      </c>
    </row>
    <row r="22">
      <c r="A22" s="47">
        <f>IF(_imp!$C$24="","",INDEX(_imp!$D$4:$D$1503,_imp!$C$24))</f>
        <v/>
      </c>
      <c r="B22" s="47">
        <f>IF(_imp!$C$24="","",INDEX(_imp!$E$4:$E$1503,_imp!$C$24))</f>
        <v/>
      </c>
      <c r="C22" s="47">
        <f>IF(_imp!$C$24="","",INDEX(_imp!$F$4:$F$1503,_imp!$C$24))</f>
        <v/>
      </c>
      <c r="E22" s="47">
        <f>IF(_imp!$C$24="","",INDEX(_imp!$G$4:$G$1503,_imp!$C$24))</f>
        <v/>
      </c>
      <c r="F22" s="47">
        <f>IF(_imp!$C$24="","",INDEX(_imp!$H$4:$H$1503,_imp!$C$24))</f>
        <v/>
      </c>
      <c r="G22" s="47">
        <f>IF(_imp!$C$24="","",INDEX(_imp!$I$4:$I$1503,_imp!$C$24))</f>
        <v/>
      </c>
      <c r="K22" s="47">
        <f>IF(_imp!$C$24="","",INDEX(_imp!$J$4:$J$1503,_imp!$C$24))</f>
        <v/>
      </c>
    </row>
    <row r="23">
      <c r="A23" s="47">
        <f>IF(_imp!$C$25="","",INDEX(_imp!$D$4:$D$1503,_imp!$C$25))</f>
        <v/>
      </c>
      <c r="B23" s="47">
        <f>IF(_imp!$C$25="","",INDEX(_imp!$E$4:$E$1503,_imp!$C$25))</f>
        <v/>
      </c>
      <c r="C23" s="47">
        <f>IF(_imp!$C$25="","",INDEX(_imp!$F$4:$F$1503,_imp!$C$25))</f>
        <v/>
      </c>
      <c r="E23" s="47">
        <f>IF(_imp!$C$25="","",INDEX(_imp!$G$4:$G$1503,_imp!$C$25))</f>
        <v/>
      </c>
      <c r="F23" s="47">
        <f>IF(_imp!$C$25="","",INDEX(_imp!$H$4:$H$1503,_imp!$C$25))</f>
        <v/>
      </c>
      <c r="G23" s="47">
        <f>IF(_imp!$C$25="","",INDEX(_imp!$I$4:$I$1503,_imp!$C$25))</f>
        <v/>
      </c>
      <c r="K23" s="47">
        <f>IF(_imp!$C$25="","",INDEX(_imp!$J$4:$J$1503,_imp!$C$25))</f>
        <v/>
      </c>
    </row>
    <row r="24">
      <c r="A24" s="47">
        <f>IF(_imp!$C$26="","",INDEX(_imp!$D$4:$D$1503,_imp!$C$26))</f>
        <v/>
      </c>
      <c r="B24" s="47">
        <f>IF(_imp!$C$26="","",INDEX(_imp!$E$4:$E$1503,_imp!$C$26))</f>
        <v/>
      </c>
      <c r="C24" s="47">
        <f>IF(_imp!$C$26="","",INDEX(_imp!$F$4:$F$1503,_imp!$C$26))</f>
        <v/>
      </c>
      <c r="E24" s="47">
        <f>IF(_imp!$C$26="","",INDEX(_imp!$G$4:$G$1503,_imp!$C$26))</f>
        <v/>
      </c>
      <c r="F24" s="47">
        <f>IF(_imp!$C$26="","",INDEX(_imp!$H$4:$H$1503,_imp!$C$26))</f>
        <v/>
      </c>
      <c r="G24" s="47">
        <f>IF(_imp!$C$26="","",INDEX(_imp!$I$4:$I$1503,_imp!$C$26))</f>
        <v/>
      </c>
      <c r="K24" s="47">
        <f>IF(_imp!$C$26="","",INDEX(_imp!$J$4:$J$1503,_imp!$C$26))</f>
        <v/>
      </c>
    </row>
    <row r="25">
      <c r="A25" s="47">
        <f>IF(_imp!$C$27="","",INDEX(_imp!$D$4:$D$1503,_imp!$C$27))</f>
        <v/>
      </c>
      <c r="B25" s="47">
        <f>IF(_imp!$C$27="","",INDEX(_imp!$E$4:$E$1503,_imp!$C$27))</f>
        <v/>
      </c>
      <c r="C25" s="47">
        <f>IF(_imp!$C$27="","",INDEX(_imp!$F$4:$F$1503,_imp!$C$27))</f>
        <v/>
      </c>
      <c r="E25" s="47">
        <f>IF(_imp!$C$27="","",INDEX(_imp!$G$4:$G$1503,_imp!$C$27))</f>
        <v/>
      </c>
      <c r="F25" s="47">
        <f>IF(_imp!$C$27="","",INDEX(_imp!$H$4:$H$1503,_imp!$C$27))</f>
        <v/>
      </c>
      <c r="G25" s="47">
        <f>IF(_imp!$C$27="","",INDEX(_imp!$I$4:$I$1503,_imp!$C$27))</f>
        <v/>
      </c>
      <c r="K25" s="47">
        <f>IF(_imp!$C$27="","",INDEX(_imp!$J$4:$J$1503,_imp!$C$27))</f>
        <v/>
      </c>
    </row>
    <row r="26">
      <c r="A26" s="47">
        <f>IF(_imp!$C$28="","",INDEX(_imp!$D$4:$D$1503,_imp!$C$28))</f>
        <v/>
      </c>
      <c r="B26" s="47">
        <f>IF(_imp!$C$28="","",INDEX(_imp!$E$4:$E$1503,_imp!$C$28))</f>
        <v/>
      </c>
      <c r="C26" s="47">
        <f>IF(_imp!$C$28="","",INDEX(_imp!$F$4:$F$1503,_imp!$C$28))</f>
        <v/>
      </c>
      <c r="E26" s="47">
        <f>IF(_imp!$C$28="","",INDEX(_imp!$G$4:$G$1503,_imp!$C$28))</f>
        <v/>
      </c>
      <c r="F26" s="47">
        <f>IF(_imp!$C$28="","",INDEX(_imp!$H$4:$H$1503,_imp!$C$28))</f>
        <v/>
      </c>
      <c r="G26" s="47">
        <f>IF(_imp!$C$28="","",INDEX(_imp!$I$4:$I$1503,_imp!$C$28))</f>
        <v/>
      </c>
      <c r="K26" s="47">
        <f>IF(_imp!$C$28="","",INDEX(_imp!$J$4:$J$1503,_imp!$C$28))</f>
        <v/>
      </c>
    </row>
    <row r="27">
      <c r="A27" s="47">
        <f>IF(_imp!$C$29="","",INDEX(_imp!$D$4:$D$1503,_imp!$C$29))</f>
        <v/>
      </c>
      <c r="B27" s="47">
        <f>IF(_imp!$C$29="","",INDEX(_imp!$E$4:$E$1503,_imp!$C$29))</f>
        <v/>
      </c>
      <c r="C27" s="47">
        <f>IF(_imp!$C$29="","",INDEX(_imp!$F$4:$F$1503,_imp!$C$29))</f>
        <v/>
      </c>
      <c r="E27" s="47">
        <f>IF(_imp!$C$29="","",INDEX(_imp!$G$4:$G$1503,_imp!$C$29))</f>
        <v/>
      </c>
      <c r="F27" s="47">
        <f>IF(_imp!$C$29="","",INDEX(_imp!$H$4:$H$1503,_imp!$C$29))</f>
        <v/>
      </c>
      <c r="G27" s="47">
        <f>IF(_imp!$C$29="","",INDEX(_imp!$I$4:$I$1503,_imp!$C$29))</f>
        <v/>
      </c>
      <c r="K27" s="47">
        <f>IF(_imp!$C$29="","",INDEX(_imp!$J$4:$J$1503,_imp!$C$29))</f>
        <v/>
      </c>
    </row>
    <row r="28">
      <c r="A28" s="47">
        <f>IF(_imp!$C$30="","",INDEX(_imp!$D$4:$D$1503,_imp!$C$30))</f>
        <v/>
      </c>
      <c r="B28" s="47">
        <f>IF(_imp!$C$30="","",INDEX(_imp!$E$4:$E$1503,_imp!$C$30))</f>
        <v/>
      </c>
      <c r="C28" s="47">
        <f>IF(_imp!$C$30="","",INDEX(_imp!$F$4:$F$1503,_imp!$C$30))</f>
        <v/>
      </c>
      <c r="E28" s="47">
        <f>IF(_imp!$C$30="","",INDEX(_imp!$G$4:$G$1503,_imp!$C$30))</f>
        <v/>
      </c>
      <c r="F28" s="47">
        <f>IF(_imp!$C$30="","",INDEX(_imp!$H$4:$H$1503,_imp!$C$30))</f>
        <v/>
      </c>
      <c r="G28" s="47">
        <f>IF(_imp!$C$30="","",INDEX(_imp!$I$4:$I$1503,_imp!$C$30))</f>
        <v/>
      </c>
      <c r="K28" s="47">
        <f>IF(_imp!$C$30="","",INDEX(_imp!$J$4:$J$1503,_imp!$C$30))</f>
        <v/>
      </c>
    </row>
    <row r="29">
      <c r="A29" s="47">
        <f>IF(_imp!$C$31="","",INDEX(_imp!$D$4:$D$1503,_imp!$C$31))</f>
        <v/>
      </c>
      <c r="B29" s="47">
        <f>IF(_imp!$C$31="","",INDEX(_imp!$E$4:$E$1503,_imp!$C$31))</f>
        <v/>
      </c>
      <c r="C29" s="47">
        <f>IF(_imp!$C$31="","",INDEX(_imp!$F$4:$F$1503,_imp!$C$31))</f>
        <v/>
      </c>
      <c r="E29" s="47">
        <f>IF(_imp!$C$31="","",INDEX(_imp!$G$4:$G$1503,_imp!$C$31))</f>
        <v/>
      </c>
      <c r="F29" s="47">
        <f>IF(_imp!$C$31="","",INDEX(_imp!$H$4:$H$1503,_imp!$C$31))</f>
        <v/>
      </c>
      <c r="G29" s="47">
        <f>IF(_imp!$C$31="","",INDEX(_imp!$I$4:$I$1503,_imp!$C$31))</f>
        <v/>
      </c>
      <c r="K29" s="47">
        <f>IF(_imp!$C$31="","",INDEX(_imp!$J$4:$J$1503,_imp!$C$31))</f>
        <v/>
      </c>
    </row>
    <row r="30">
      <c r="A30" s="47">
        <f>IF(_imp!$C$32="","",INDEX(_imp!$D$4:$D$1503,_imp!$C$32))</f>
        <v/>
      </c>
      <c r="B30" s="47">
        <f>IF(_imp!$C$32="","",INDEX(_imp!$E$4:$E$1503,_imp!$C$32))</f>
        <v/>
      </c>
      <c r="C30" s="47">
        <f>IF(_imp!$C$32="","",INDEX(_imp!$F$4:$F$1503,_imp!$C$32))</f>
        <v/>
      </c>
      <c r="E30" s="47">
        <f>IF(_imp!$C$32="","",INDEX(_imp!$G$4:$G$1503,_imp!$C$32))</f>
        <v/>
      </c>
      <c r="F30" s="47">
        <f>IF(_imp!$C$32="","",INDEX(_imp!$H$4:$H$1503,_imp!$C$32))</f>
        <v/>
      </c>
      <c r="G30" s="47">
        <f>IF(_imp!$C$32="","",INDEX(_imp!$I$4:$I$1503,_imp!$C$32))</f>
        <v/>
      </c>
      <c r="K30" s="47">
        <f>IF(_imp!$C$32="","",INDEX(_imp!$J$4:$J$1503,_imp!$C$32))</f>
        <v/>
      </c>
    </row>
    <row r="31">
      <c r="A31" s="47">
        <f>IF(_imp!$C$33="","",INDEX(_imp!$D$4:$D$1503,_imp!$C$33))</f>
        <v/>
      </c>
      <c r="B31" s="47">
        <f>IF(_imp!$C$33="","",INDEX(_imp!$E$4:$E$1503,_imp!$C$33))</f>
        <v/>
      </c>
      <c r="C31" s="47">
        <f>IF(_imp!$C$33="","",INDEX(_imp!$F$4:$F$1503,_imp!$C$33))</f>
        <v/>
      </c>
      <c r="E31" s="47">
        <f>IF(_imp!$C$33="","",INDEX(_imp!$G$4:$G$1503,_imp!$C$33))</f>
        <v/>
      </c>
      <c r="F31" s="47">
        <f>IF(_imp!$C$33="","",INDEX(_imp!$H$4:$H$1503,_imp!$C$33))</f>
        <v/>
      </c>
      <c r="G31" s="47">
        <f>IF(_imp!$C$33="","",INDEX(_imp!$I$4:$I$1503,_imp!$C$33))</f>
        <v/>
      </c>
      <c r="K31" s="47">
        <f>IF(_imp!$C$33="","",INDEX(_imp!$J$4:$J$1503,_imp!$C$33))</f>
        <v/>
      </c>
    </row>
    <row r="32">
      <c r="A32" s="47">
        <f>IF(_imp!$C$34="","",INDEX(_imp!$D$4:$D$1503,_imp!$C$34))</f>
        <v/>
      </c>
      <c r="B32" s="47">
        <f>IF(_imp!$C$34="","",INDEX(_imp!$E$4:$E$1503,_imp!$C$34))</f>
        <v/>
      </c>
      <c r="C32" s="47">
        <f>IF(_imp!$C$34="","",INDEX(_imp!$F$4:$F$1503,_imp!$C$34))</f>
        <v/>
      </c>
      <c r="E32" s="47">
        <f>IF(_imp!$C$34="","",INDEX(_imp!$G$4:$G$1503,_imp!$C$34))</f>
        <v/>
      </c>
      <c r="F32" s="47">
        <f>IF(_imp!$C$34="","",INDEX(_imp!$H$4:$H$1503,_imp!$C$34))</f>
        <v/>
      </c>
      <c r="G32" s="47">
        <f>IF(_imp!$C$34="","",INDEX(_imp!$I$4:$I$1503,_imp!$C$34))</f>
        <v/>
      </c>
      <c r="K32" s="47">
        <f>IF(_imp!$C$34="","",INDEX(_imp!$J$4:$J$1503,_imp!$C$34))</f>
        <v/>
      </c>
    </row>
    <row r="33">
      <c r="A33" s="47">
        <f>IF(_imp!$C$35="","",INDEX(_imp!$D$4:$D$1503,_imp!$C$35))</f>
        <v/>
      </c>
      <c r="B33" s="47">
        <f>IF(_imp!$C$35="","",INDEX(_imp!$E$4:$E$1503,_imp!$C$35))</f>
        <v/>
      </c>
      <c r="C33" s="47">
        <f>IF(_imp!$C$35="","",INDEX(_imp!$F$4:$F$1503,_imp!$C$35))</f>
        <v/>
      </c>
      <c r="E33" s="47">
        <f>IF(_imp!$C$35="","",INDEX(_imp!$G$4:$G$1503,_imp!$C$35))</f>
        <v/>
      </c>
      <c r="F33" s="47">
        <f>IF(_imp!$C$35="","",INDEX(_imp!$H$4:$H$1503,_imp!$C$35))</f>
        <v/>
      </c>
      <c r="G33" s="47">
        <f>IF(_imp!$C$35="","",INDEX(_imp!$I$4:$I$1503,_imp!$C$35))</f>
        <v/>
      </c>
      <c r="K33" s="47">
        <f>IF(_imp!$C$35="","",INDEX(_imp!$J$4:$J$1503,_imp!$C$35))</f>
        <v/>
      </c>
    </row>
    <row r="34">
      <c r="A34" s="47">
        <f>IF(_imp!$C$36="","",INDEX(_imp!$D$4:$D$1503,_imp!$C$36))</f>
        <v/>
      </c>
      <c r="B34" s="47">
        <f>IF(_imp!$C$36="","",INDEX(_imp!$E$4:$E$1503,_imp!$C$36))</f>
        <v/>
      </c>
      <c r="C34" s="47">
        <f>IF(_imp!$C$36="","",INDEX(_imp!$F$4:$F$1503,_imp!$C$36))</f>
        <v/>
      </c>
      <c r="E34" s="47">
        <f>IF(_imp!$C$36="","",INDEX(_imp!$G$4:$G$1503,_imp!$C$36))</f>
        <v/>
      </c>
      <c r="F34" s="47">
        <f>IF(_imp!$C$36="","",INDEX(_imp!$H$4:$H$1503,_imp!$C$36))</f>
        <v/>
      </c>
      <c r="G34" s="47">
        <f>IF(_imp!$C$36="","",INDEX(_imp!$I$4:$I$1503,_imp!$C$36))</f>
        <v/>
      </c>
      <c r="K34" s="47">
        <f>IF(_imp!$C$36="","",INDEX(_imp!$J$4:$J$1503,_imp!$C$36))</f>
        <v/>
      </c>
    </row>
    <row r="35">
      <c r="A35" s="47">
        <f>IF(_imp!$C$37="","",INDEX(_imp!$D$4:$D$1503,_imp!$C$37))</f>
        <v/>
      </c>
      <c r="B35" s="47">
        <f>IF(_imp!$C$37="","",INDEX(_imp!$E$4:$E$1503,_imp!$C$37))</f>
        <v/>
      </c>
      <c r="C35" s="47">
        <f>IF(_imp!$C$37="","",INDEX(_imp!$F$4:$F$1503,_imp!$C$37))</f>
        <v/>
      </c>
      <c r="E35" s="47">
        <f>IF(_imp!$C$37="","",INDEX(_imp!$G$4:$G$1503,_imp!$C$37))</f>
        <v/>
      </c>
      <c r="F35" s="47">
        <f>IF(_imp!$C$37="","",INDEX(_imp!$H$4:$H$1503,_imp!$C$37))</f>
        <v/>
      </c>
      <c r="G35" s="47">
        <f>IF(_imp!$C$37="","",INDEX(_imp!$I$4:$I$1503,_imp!$C$37))</f>
        <v/>
      </c>
      <c r="K35" s="47">
        <f>IF(_imp!$C$37="","",INDEX(_imp!$J$4:$J$1503,_imp!$C$37))</f>
        <v/>
      </c>
    </row>
    <row r="36">
      <c r="A36" s="47">
        <f>IF(_imp!$C$38="","",INDEX(_imp!$D$4:$D$1503,_imp!$C$38))</f>
        <v/>
      </c>
      <c r="B36" s="47">
        <f>IF(_imp!$C$38="","",INDEX(_imp!$E$4:$E$1503,_imp!$C$38))</f>
        <v/>
      </c>
      <c r="C36" s="47">
        <f>IF(_imp!$C$38="","",INDEX(_imp!$F$4:$F$1503,_imp!$C$38))</f>
        <v/>
      </c>
      <c r="E36" s="47">
        <f>IF(_imp!$C$38="","",INDEX(_imp!$G$4:$G$1503,_imp!$C$38))</f>
        <v/>
      </c>
      <c r="F36" s="47">
        <f>IF(_imp!$C$38="","",INDEX(_imp!$H$4:$H$1503,_imp!$C$38))</f>
        <v/>
      </c>
      <c r="G36" s="47">
        <f>IF(_imp!$C$38="","",INDEX(_imp!$I$4:$I$1503,_imp!$C$38))</f>
        <v/>
      </c>
      <c r="K36" s="47">
        <f>IF(_imp!$C$38="","",INDEX(_imp!$J$4:$J$1503,_imp!$C$38))</f>
        <v/>
      </c>
    </row>
    <row r="37">
      <c r="A37" s="47">
        <f>IF(_imp!$C$39="","",INDEX(_imp!$D$4:$D$1503,_imp!$C$39))</f>
        <v/>
      </c>
      <c r="B37" s="47">
        <f>IF(_imp!$C$39="","",INDEX(_imp!$E$4:$E$1503,_imp!$C$39))</f>
        <v/>
      </c>
      <c r="C37" s="47">
        <f>IF(_imp!$C$39="","",INDEX(_imp!$F$4:$F$1503,_imp!$C$39))</f>
        <v/>
      </c>
      <c r="E37" s="47">
        <f>IF(_imp!$C$39="","",INDEX(_imp!$G$4:$G$1503,_imp!$C$39))</f>
        <v/>
      </c>
      <c r="F37" s="47">
        <f>IF(_imp!$C$39="","",INDEX(_imp!$H$4:$H$1503,_imp!$C$39))</f>
        <v/>
      </c>
      <c r="G37" s="47">
        <f>IF(_imp!$C$39="","",INDEX(_imp!$I$4:$I$1503,_imp!$C$39))</f>
        <v/>
      </c>
      <c r="K37" s="47">
        <f>IF(_imp!$C$39="","",INDEX(_imp!$J$4:$J$1503,_imp!$C$39))</f>
        <v/>
      </c>
    </row>
    <row r="38">
      <c r="A38" s="47">
        <f>IF(_imp!$C$40="","",INDEX(_imp!$D$4:$D$1503,_imp!$C$40))</f>
        <v/>
      </c>
      <c r="B38" s="47">
        <f>IF(_imp!$C$40="","",INDEX(_imp!$E$4:$E$1503,_imp!$C$40))</f>
        <v/>
      </c>
      <c r="C38" s="47">
        <f>IF(_imp!$C$40="","",INDEX(_imp!$F$4:$F$1503,_imp!$C$40))</f>
        <v/>
      </c>
      <c r="E38" s="47">
        <f>IF(_imp!$C$40="","",INDEX(_imp!$G$4:$G$1503,_imp!$C$40))</f>
        <v/>
      </c>
      <c r="F38" s="47">
        <f>IF(_imp!$C$40="","",INDEX(_imp!$H$4:$H$1503,_imp!$C$40))</f>
        <v/>
      </c>
      <c r="G38" s="47">
        <f>IF(_imp!$C$40="","",INDEX(_imp!$I$4:$I$1503,_imp!$C$40))</f>
        <v/>
      </c>
      <c r="K38" s="47">
        <f>IF(_imp!$C$40="","",INDEX(_imp!$J$4:$J$1503,_imp!$C$40))</f>
        <v/>
      </c>
    </row>
    <row r="39">
      <c r="A39" s="47">
        <f>IF(_imp!$C$41="","",INDEX(_imp!$D$4:$D$1503,_imp!$C$41))</f>
        <v/>
      </c>
      <c r="B39" s="47">
        <f>IF(_imp!$C$41="","",INDEX(_imp!$E$4:$E$1503,_imp!$C$41))</f>
        <v/>
      </c>
      <c r="C39" s="47">
        <f>IF(_imp!$C$41="","",INDEX(_imp!$F$4:$F$1503,_imp!$C$41))</f>
        <v/>
      </c>
      <c r="E39" s="47">
        <f>IF(_imp!$C$41="","",INDEX(_imp!$G$4:$G$1503,_imp!$C$41))</f>
        <v/>
      </c>
      <c r="F39" s="47">
        <f>IF(_imp!$C$41="","",INDEX(_imp!$H$4:$H$1503,_imp!$C$41))</f>
        <v/>
      </c>
      <c r="G39" s="47">
        <f>IF(_imp!$C$41="","",INDEX(_imp!$I$4:$I$1503,_imp!$C$41))</f>
        <v/>
      </c>
      <c r="K39" s="47">
        <f>IF(_imp!$C$41="","",INDEX(_imp!$J$4:$J$1503,_imp!$C$41))</f>
        <v/>
      </c>
    </row>
    <row r="40">
      <c r="A40" s="47">
        <f>IF(_imp!$C$42="","",INDEX(_imp!$D$4:$D$1503,_imp!$C$42))</f>
        <v/>
      </c>
      <c r="B40" s="47">
        <f>IF(_imp!$C$42="","",INDEX(_imp!$E$4:$E$1503,_imp!$C$42))</f>
        <v/>
      </c>
      <c r="C40" s="47">
        <f>IF(_imp!$C$42="","",INDEX(_imp!$F$4:$F$1503,_imp!$C$42))</f>
        <v/>
      </c>
      <c r="E40" s="47">
        <f>IF(_imp!$C$42="","",INDEX(_imp!$G$4:$G$1503,_imp!$C$42))</f>
        <v/>
      </c>
      <c r="F40" s="47">
        <f>IF(_imp!$C$42="","",INDEX(_imp!$H$4:$H$1503,_imp!$C$42))</f>
        <v/>
      </c>
      <c r="G40" s="47">
        <f>IF(_imp!$C$42="","",INDEX(_imp!$I$4:$I$1503,_imp!$C$42))</f>
        <v/>
      </c>
      <c r="K40" s="47">
        <f>IF(_imp!$C$42="","",INDEX(_imp!$J$4:$J$1503,_imp!$C$42))</f>
        <v/>
      </c>
    </row>
    <row r="41">
      <c r="A41" s="47">
        <f>IF(_imp!$C$43="","",INDEX(_imp!$D$4:$D$1503,_imp!$C$43))</f>
        <v/>
      </c>
      <c r="B41" s="47">
        <f>IF(_imp!$C$43="","",INDEX(_imp!$E$4:$E$1503,_imp!$C$43))</f>
        <v/>
      </c>
      <c r="C41" s="47">
        <f>IF(_imp!$C$43="","",INDEX(_imp!$F$4:$F$1503,_imp!$C$43))</f>
        <v/>
      </c>
      <c r="E41" s="47">
        <f>IF(_imp!$C$43="","",INDEX(_imp!$G$4:$G$1503,_imp!$C$43))</f>
        <v/>
      </c>
      <c r="F41" s="47">
        <f>IF(_imp!$C$43="","",INDEX(_imp!$H$4:$H$1503,_imp!$C$43))</f>
        <v/>
      </c>
      <c r="G41" s="47">
        <f>IF(_imp!$C$43="","",INDEX(_imp!$I$4:$I$1503,_imp!$C$43))</f>
        <v/>
      </c>
      <c r="K41" s="47">
        <f>IF(_imp!$C$43="","",INDEX(_imp!$J$4:$J$1503,_imp!$C$43))</f>
        <v/>
      </c>
    </row>
    <row r="42">
      <c r="A42" s="47">
        <f>IF(_imp!$C$44="","",INDEX(_imp!$D$4:$D$1503,_imp!$C$44))</f>
        <v/>
      </c>
      <c r="B42" s="47">
        <f>IF(_imp!$C$44="","",INDEX(_imp!$E$4:$E$1503,_imp!$C$44))</f>
        <v/>
      </c>
      <c r="C42" s="47">
        <f>IF(_imp!$C$44="","",INDEX(_imp!$F$4:$F$1503,_imp!$C$44))</f>
        <v/>
      </c>
      <c r="E42" s="47">
        <f>IF(_imp!$C$44="","",INDEX(_imp!$G$4:$G$1503,_imp!$C$44))</f>
        <v/>
      </c>
      <c r="F42" s="47">
        <f>IF(_imp!$C$44="","",INDEX(_imp!$H$4:$H$1503,_imp!$C$44))</f>
        <v/>
      </c>
      <c r="G42" s="47">
        <f>IF(_imp!$C$44="","",INDEX(_imp!$I$4:$I$1503,_imp!$C$44))</f>
        <v/>
      </c>
      <c r="K42" s="47">
        <f>IF(_imp!$C$44="","",INDEX(_imp!$J$4:$J$1503,_imp!$C$44))</f>
        <v/>
      </c>
    </row>
    <row r="43">
      <c r="A43" s="47">
        <f>IF(_imp!$C$45="","",INDEX(_imp!$D$4:$D$1503,_imp!$C$45))</f>
        <v/>
      </c>
      <c r="B43" s="47">
        <f>IF(_imp!$C$45="","",INDEX(_imp!$E$4:$E$1503,_imp!$C$45))</f>
        <v/>
      </c>
      <c r="C43" s="47">
        <f>IF(_imp!$C$45="","",INDEX(_imp!$F$4:$F$1503,_imp!$C$45))</f>
        <v/>
      </c>
      <c r="E43" s="47">
        <f>IF(_imp!$C$45="","",INDEX(_imp!$G$4:$G$1503,_imp!$C$45))</f>
        <v/>
      </c>
      <c r="F43" s="47">
        <f>IF(_imp!$C$45="","",INDEX(_imp!$H$4:$H$1503,_imp!$C$45))</f>
        <v/>
      </c>
      <c r="G43" s="47">
        <f>IF(_imp!$C$45="","",INDEX(_imp!$I$4:$I$1503,_imp!$C$45))</f>
        <v/>
      </c>
      <c r="K43" s="47">
        <f>IF(_imp!$C$45="","",INDEX(_imp!$J$4:$J$1503,_imp!$C$45))</f>
        <v/>
      </c>
    </row>
    <row r="44">
      <c r="A44" s="47">
        <f>IF(_imp!$C$46="","",INDEX(_imp!$D$4:$D$1503,_imp!$C$46))</f>
        <v/>
      </c>
      <c r="B44" s="47">
        <f>IF(_imp!$C$46="","",INDEX(_imp!$E$4:$E$1503,_imp!$C$46))</f>
        <v/>
      </c>
      <c r="C44" s="47">
        <f>IF(_imp!$C$46="","",INDEX(_imp!$F$4:$F$1503,_imp!$C$46))</f>
        <v/>
      </c>
      <c r="E44" s="47">
        <f>IF(_imp!$C$46="","",INDEX(_imp!$G$4:$G$1503,_imp!$C$46))</f>
        <v/>
      </c>
      <c r="F44" s="47">
        <f>IF(_imp!$C$46="","",INDEX(_imp!$H$4:$H$1503,_imp!$C$46))</f>
        <v/>
      </c>
      <c r="G44" s="47">
        <f>IF(_imp!$C$46="","",INDEX(_imp!$I$4:$I$1503,_imp!$C$46))</f>
        <v/>
      </c>
      <c r="K44" s="47">
        <f>IF(_imp!$C$46="","",INDEX(_imp!$J$4:$J$1503,_imp!$C$46))</f>
        <v/>
      </c>
    </row>
    <row r="45">
      <c r="A45" s="47">
        <f>IF(_imp!$C$47="","",INDEX(_imp!$D$4:$D$1503,_imp!$C$47))</f>
        <v/>
      </c>
      <c r="B45" s="47">
        <f>IF(_imp!$C$47="","",INDEX(_imp!$E$4:$E$1503,_imp!$C$47))</f>
        <v/>
      </c>
      <c r="C45" s="47">
        <f>IF(_imp!$C$47="","",INDEX(_imp!$F$4:$F$1503,_imp!$C$47))</f>
        <v/>
      </c>
      <c r="E45" s="47">
        <f>IF(_imp!$C$47="","",INDEX(_imp!$G$4:$G$1503,_imp!$C$47))</f>
        <v/>
      </c>
      <c r="F45" s="47">
        <f>IF(_imp!$C$47="","",INDEX(_imp!$H$4:$H$1503,_imp!$C$47))</f>
        <v/>
      </c>
      <c r="G45" s="47">
        <f>IF(_imp!$C$47="","",INDEX(_imp!$I$4:$I$1503,_imp!$C$47))</f>
        <v/>
      </c>
      <c r="K45" s="47">
        <f>IF(_imp!$C$47="","",INDEX(_imp!$J$4:$J$1503,_imp!$C$47))</f>
        <v/>
      </c>
    </row>
    <row r="46">
      <c r="A46" s="47">
        <f>IF(_imp!$C$48="","",INDEX(_imp!$D$4:$D$1503,_imp!$C$48))</f>
        <v/>
      </c>
      <c r="B46" s="47">
        <f>IF(_imp!$C$48="","",INDEX(_imp!$E$4:$E$1503,_imp!$C$48))</f>
        <v/>
      </c>
      <c r="C46" s="47">
        <f>IF(_imp!$C$48="","",INDEX(_imp!$F$4:$F$1503,_imp!$C$48))</f>
        <v/>
      </c>
      <c r="E46" s="47">
        <f>IF(_imp!$C$48="","",INDEX(_imp!$G$4:$G$1503,_imp!$C$48))</f>
        <v/>
      </c>
      <c r="F46" s="47">
        <f>IF(_imp!$C$48="","",INDEX(_imp!$H$4:$H$1503,_imp!$C$48))</f>
        <v/>
      </c>
      <c r="G46" s="47">
        <f>IF(_imp!$C$48="","",INDEX(_imp!$I$4:$I$1503,_imp!$C$48))</f>
        <v/>
      </c>
      <c r="K46" s="47">
        <f>IF(_imp!$C$48="","",INDEX(_imp!$J$4:$J$1503,_imp!$C$48))</f>
        <v/>
      </c>
    </row>
    <row r="47">
      <c r="A47" s="47">
        <f>IF(_imp!$C$49="","",INDEX(_imp!$D$4:$D$1503,_imp!$C$49))</f>
        <v/>
      </c>
      <c r="B47" s="47">
        <f>IF(_imp!$C$49="","",INDEX(_imp!$E$4:$E$1503,_imp!$C$49))</f>
        <v/>
      </c>
      <c r="C47" s="47">
        <f>IF(_imp!$C$49="","",INDEX(_imp!$F$4:$F$1503,_imp!$C$49))</f>
        <v/>
      </c>
      <c r="E47" s="47">
        <f>IF(_imp!$C$49="","",INDEX(_imp!$G$4:$G$1503,_imp!$C$49))</f>
        <v/>
      </c>
      <c r="F47" s="47">
        <f>IF(_imp!$C$49="","",INDEX(_imp!$H$4:$H$1503,_imp!$C$49))</f>
        <v/>
      </c>
      <c r="G47" s="47">
        <f>IF(_imp!$C$49="","",INDEX(_imp!$I$4:$I$1503,_imp!$C$49))</f>
        <v/>
      </c>
      <c r="K47" s="47">
        <f>IF(_imp!$C$49="","",INDEX(_imp!$J$4:$J$1503,_imp!$C$49))</f>
        <v/>
      </c>
    </row>
    <row r="48">
      <c r="A48" s="47">
        <f>IF(_imp!$C$50="","",INDEX(_imp!$D$4:$D$1503,_imp!$C$50))</f>
        <v/>
      </c>
      <c r="B48" s="47">
        <f>IF(_imp!$C$50="","",INDEX(_imp!$E$4:$E$1503,_imp!$C$50))</f>
        <v/>
      </c>
      <c r="C48" s="47">
        <f>IF(_imp!$C$50="","",INDEX(_imp!$F$4:$F$1503,_imp!$C$50))</f>
        <v/>
      </c>
      <c r="E48" s="47">
        <f>IF(_imp!$C$50="","",INDEX(_imp!$G$4:$G$1503,_imp!$C$50))</f>
        <v/>
      </c>
      <c r="F48" s="47">
        <f>IF(_imp!$C$50="","",INDEX(_imp!$H$4:$H$1503,_imp!$C$50))</f>
        <v/>
      </c>
      <c r="G48" s="47">
        <f>IF(_imp!$C$50="","",INDEX(_imp!$I$4:$I$1503,_imp!$C$50))</f>
        <v/>
      </c>
      <c r="K48" s="47">
        <f>IF(_imp!$C$50="","",INDEX(_imp!$J$4:$J$1503,_imp!$C$50))</f>
        <v/>
      </c>
    </row>
    <row r="49">
      <c r="A49" s="47">
        <f>IF(_imp!$C$51="","",INDEX(_imp!$D$4:$D$1503,_imp!$C$51))</f>
        <v/>
      </c>
      <c r="B49" s="47">
        <f>IF(_imp!$C$51="","",INDEX(_imp!$E$4:$E$1503,_imp!$C$51))</f>
        <v/>
      </c>
      <c r="C49" s="47">
        <f>IF(_imp!$C$51="","",INDEX(_imp!$F$4:$F$1503,_imp!$C$51))</f>
        <v/>
      </c>
      <c r="E49" s="47">
        <f>IF(_imp!$C$51="","",INDEX(_imp!$G$4:$G$1503,_imp!$C$51))</f>
        <v/>
      </c>
      <c r="F49" s="47">
        <f>IF(_imp!$C$51="","",INDEX(_imp!$H$4:$H$1503,_imp!$C$51))</f>
        <v/>
      </c>
      <c r="G49" s="47">
        <f>IF(_imp!$C$51="","",INDEX(_imp!$I$4:$I$1503,_imp!$C$51))</f>
        <v/>
      </c>
      <c r="K49" s="47">
        <f>IF(_imp!$C$51="","",INDEX(_imp!$J$4:$J$1503,_imp!$C$51))</f>
        <v/>
      </c>
    </row>
    <row r="50">
      <c r="A50" s="47">
        <f>IF(_imp!$C$52="","",INDEX(_imp!$D$4:$D$1503,_imp!$C$52))</f>
        <v/>
      </c>
      <c r="B50" s="47">
        <f>IF(_imp!$C$52="","",INDEX(_imp!$E$4:$E$1503,_imp!$C$52))</f>
        <v/>
      </c>
      <c r="C50" s="47">
        <f>IF(_imp!$C$52="","",INDEX(_imp!$F$4:$F$1503,_imp!$C$52))</f>
        <v/>
      </c>
      <c r="E50" s="47">
        <f>IF(_imp!$C$52="","",INDEX(_imp!$G$4:$G$1503,_imp!$C$52))</f>
        <v/>
      </c>
      <c r="F50" s="47">
        <f>IF(_imp!$C$52="","",INDEX(_imp!$H$4:$H$1503,_imp!$C$52))</f>
        <v/>
      </c>
      <c r="G50" s="47">
        <f>IF(_imp!$C$52="","",INDEX(_imp!$I$4:$I$1503,_imp!$C$52))</f>
        <v/>
      </c>
      <c r="K50" s="47">
        <f>IF(_imp!$C$52="","",INDEX(_imp!$J$4:$J$1503,_imp!$C$52))</f>
        <v/>
      </c>
    </row>
    <row r="51">
      <c r="A51" s="47">
        <f>IF(_imp!$C$53="","",INDEX(_imp!$D$4:$D$1503,_imp!$C$53))</f>
        <v/>
      </c>
      <c r="B51" s="47">
        <f>IF(_imp!$C$53="","",INDEX(_imp!$E$4:$E$1503,_imp!$C$53))</f>
        <v/>
      </c>
      <c r="C51" s="47">
        <f>IF(_imp!$C$53="","",INDEX(_imp!$F$4:$F$1503,_imp!$C$53))</f>
        <v/>
      </c>
      <c r="E51" s="47">
        <f>IF(_imp!$C$53="","",INDEX(_imp!$G$4:$G$1503,_imp!$C$53))</f>
        <v/>
      </c>
      <c r="F51" s="47">
        <f>IF(_imp!$C$53="","",INDEX(_imp!$H$4:$H$1503,_imp!$C$53))</f>
        <v/>
      </c>
      <c r="G51" s="47">
        <f>IF(_imp!$C$53="","",INDEX(_imp!$I$4:$I$1503,_imp!$C$53))</f>
        <v/>
      </c>
      <c r="K51" s="47">
        <f>IF(_imp!$C$53="","",INDEX(_imp!$J$4:$J$1503,_imp!$C$53))</f>
        <v/>
      </c>
    </row>
    <row r="52">
      <c r="A52" s="47">
        <f>IF(_imp!$C$54="","",INDEX(_imp!$D$4:$D$1503,_imp!$C$54))</f>
        <v/>
      </c>
      <c r="B52" s="47">
        <f>IF(_imp!$C$54="","",INDEX(_imp!$E$4:$E$1503,_imp!$C$54))</f>
        <v/>
      </c>
      <c r="C52" s="47">
        <f>IF(_imp!$C$54="","",INDEX(_imp!$F$4:$F$1503,_imp!$C$54))</f>
        <v/>
      </c>
      <c r="E52" s="47">
        <f>IF(_imp!$C$54="","",INDEX(_imp!$G$4:$G$1503,_imp!$C$54))</f>
        <v/>
      </c>
      <c r="F52" s="47">
        <f>IF(_imp!$C$54="","",INDEX(_imp!$H$4:$H$1503,_imp!$C$54))</f>
        <v/>
      </c>
      <c r="G52" s="47">
        <f>IF(_imp!$C$54="","",INDEX(_imp!$I$4:$I$1503,_imp!$C$54))</f>
        <v/>
      </c>
      <c r="K52" s="47">
        <f>IF(_imp!$C$54="","",INDEX(_imp!$J$4:$J$1503,_imp!$C$54))</f>
        <v/>
      </c>
    </row>
    <row r="53">
      <c r="A53" s="47">
        <f>IF(_imp!$C$55="","",INDEX(_imp!$D$4:$D$1503,_imp!$C$55))</f>
        <v/>
      </c>
      <c r="B53" s="47">
        <f>IF(_imp!$C$55="","",INDEX(_imp!$E$4:$E$1503,_imp!$C$55))</f>
        <v/>
      </c>
      <c r="C53" s="47">
        <f>IF(_imp!$C$55="","",INDEX(_imp!$F$4:$F$1503,_imp!$C$55))</f>
        <v/>
      </c>
      <c r="E53" s="47">
        <f>IF(_imp!$C$55="","",INDEX(_imp!$G$4:$G$1503,_imp!$C$55))</f>
        <v/>
      </c>
      <c r="F53" s="47">
        <f>IF(_imp!$C$55="","",INDEX(_imp!$H$4:$H$1503,_imp!$C$55))</f>
        <v/>
      </c>
      <c r="G53" s="47">
        <f>IF(_imp!$C$55="","",INDEX(_imp!$I$4:$I$1503,_imp!$C$55))</f>
        <v/>
      </c>
      <c r="K53" s="47">
        <f>IF(_imp!$C$55="","",INDEX(_imp!$J$4:$J$1503,_imp!$C$55))</f>
        <v/>
      </c>
    </row>
    <row r="54">
      <c r="A54" s="47">
        <f>IF(_imp!$C$56="","",INDEX(_imp!$D$4:$D$1503,_imp!$C$56))</f>
        <v/>
      </c>
      <c r="B54" s="47">
        <f>IF(_imp!$C$56="","",INDEX(_imp!$E$4:$E$1503,_imp!$C$56))</f>
        <v/>
      </c>
      <c r="C54" s="47">
        <f>IF(_imp!$C$56="","",INDEX(_imp!$F$4:$F$1503,_imp!$C$56))</f>
        <v/>
      </c>
      <c r="E54" s="47">
        <f>IF(_imp!$C$56="","",INDEX(_imp!$G$4:$G$1503,_imp!$C$56))</f>
        <v/>
      </c>
      <c r="F54" s="47">
        <f>IF(_imp!$C$56="","",INDEX(_imp!$H$4:$H$1503,_imp!$C$56))</f>
        <v/>
      </c>
      <c r="G54" s="47">
        <f>IF(_imp!$C$56="","",INDEX(_imp!$I$4:$I$1503,_imp!$C$56))</f>
        <v/>
      </c>
      <c r="K54" s="47">
        <f>IF(_imp!$C$56="","",INDEX(_imp!$J$4:$J$1503,_imp!$C$56))</f>
        <v/>
      </c>
    </row>
    <row r="55">
      <c r="A55" s="47">
        <f>IF(_imp!$C$57="","",INDEX(_imp!$D$4:$D$1503,_imp!$C$57))</f>
        <v/>
      </c>
      <c r="B55" s="47">
        <f>IF(_imp!$C$57="","",INDEX(_imp!$E$4:$E$1503,_imp!$C$57))</f>
        <v/>
      </c>
      <c r="C55" s="47">
        <f>IF(_imp!$C$57="","",INDEX(_imp!$F$4:$F$1503,_imp!$C$57))</f>
        <v/>
      </c>
      <c r="E55" s="47">
        <f>IF(_imp!$C$57="","",INDEX(_imp!$G$4:$G$1503,_imp!$C$57))</f>
        <v/>
      </c>
      <c r="F55" s="47">
        <f>IF(_imp!$C$57="","",INDEX(_imp!$H$4:$H$1503,_imp!$C$57))</f>
        <v/>
      </c>
      <c r="G55" s="47">
        <f>IF(_imp!$C$57="","",INDEX(_imp!$I$4:$I$1503,_imp!$C$57))</f>
        <v/>
      </c>
      <c r="K55" s="47">
        <f>IF(_imp!$C$57="","",INDEX(_imp!$J$4:$J$1503,_imp!$C$57))</f>
        <v/>
      </c>
    </row>
    <row r="56">
      <c r="A56" s="47">
        <f>IF(_imp!$C$58="","",INDEX(_imp!$D$4:$D$1503,_imp!$C$58))</f>
        <v/>
      </c>
      <c r="B56" s="47">
        <f>IF(_imp!$C$58="","",INDEX(_imp!$E$4:$E$1503,_imp!$C$58))</f>
        <v/>
      </c>
      <c r="C56" s="47">
        <f>IF(_imp!$C$58="","",INDEX(_imp!$F$4:$F$1503,_imp!$C$58))</f>
        <v/>
      </c>
      <c r="E56" s="47">
        <f>IF(_imp!$C$58="","",INDEX(_imp!$G$4:$G$1503,_imp!$C$58))</f>
        <v/>
      </c>
      <c r="F56" s="47">
        <f>IF(_imp!$C$58="","",INDEX(_imp!$H$4:$H$1503,_imp!$C$58))</f>
        <v/>
      </c>
      <c r="G56" s="47">
        <f>IF(_imp!$C$58="","",INDEX(_imp!$I$4:$I$1503,_imp!$C$58))</f>
        <v/>
      </c>
      <c r="K56" s="47">
        <f>IF(_imp!$C$58="","",INDEX(_imp!$J$4:$J$1503,_imp!$C$58))</f>
        <v/>
      </c>
    </row>
    <row r="57">
      <c r="A57" s="47">
        <f>IF(_imp!$C$59="","",INDEX(_imp!$D$4:$D$1503,_imp!$C$59))</f>
        <v/>
      </c>
      <c r="B57" s="47">
        <f>IF(_imp!$C$59="","",INDEX(_imp!$E$4:$E$1503,_imp!$C$59))</f>
        <v/>
      </c>
      <c r="C57" s="47">
        <f>IF(_imp!$C$59="","",INDEX(_imp!$F$4:$F$1503,_imp!$C$59))</f>
        <v/>
      </c>
      <c r="E57" s="47">
        <f>IF(_imp!$C$59="","",INDEX(_imp!$G$4:$G$1503,_imp!$C$59))</f>
        <v/>
      </c>
      <c r="F57" s="47">
        <f>IF(_imp!$C$59="","",INDEX(_imp!$H$4:$H$1503,_imp!$C$59))</f>
        <v/>
      </c>
      <c r="G57" s="47">
        <f>IF(_imp!$C$59="","",INDEX(_imp!$I$4:$I$1503,_imp!$C$59))</f>
        <v/>
      </c>
      <c r="K57" s="47">
        <f>IF(_imp!$C$59="","",INDEX(_imp!$J$4:$J$1503,_imp!$C$59))</f>
        <v/>
      </c>
    </row>
    <row r="58">
      <c r="A58" s="47">
        <f>IF(_imp!$C$60="","",INDEX(_imp!$D$4:$D$1503,_imp!$C$60))</f>
        <v/>
      </c>
      <c r="B58" s="47">
        <f>IF(_imp!$C$60="","",INDEX(_imp!$E$4:$E$1503,_imp!$C$60))</f>
        <v/>
      </c>
      <c r="C58" s="47">
        <f>IF(_imp!$C$60="","",INDEX(_imp!$F$4:$F$1503,_imp!$C$60))</f>
        <v/>
      </c>
      <c r="E58" s="47">
        <f>IF(_imp!$C$60="","",INDEX(_imp!$G$4:$G$1503,_imp!$C$60))</f>
        <v/>
      </c>
      <c r="F58" s="47">
        <f>IF(_imp!$C$60="","",INDEX(_imp!$H$4:$H$1503,_imp!$C$60))</f>
        <v/>
      </c>
      <c r="G58" s="47">
        <f>IF(_imp!$C$60="","",INDEX(_imp!$I$4:$I$1503,_imp!$C$60))</f>
        <v/>
      </c>
      <c r="K58" s="47">
        <f>IF(_imp!$C$60="","",INDEX(_imp!$J$4:$J$1503,_imp!$C$60))</f>
        <v/>
      </c>
    </row>
    <row r="59">
      <c r="A59" s="47">
        <f>IF(_imp!$C$61="","",INDEX(_imp!$D$4:$D$1503,_imp!$C$61))</f>
        <v/>
      </c>
      <c r="B59" s="47">
        <f>IF(_imp!$C$61="","",INDEX(_imp!$E$4:$E$1503,_imp!$C$61))</f>
        <v/>
      </c>
      <c r="C59" s="47">
        <f>IF(_imp!$C$61="","",INDEX(_imp!$F$4:$F$1503,_imp!$C$61))</f>
        <v/>
      </c>
      <c r="E59" s="47">
        <f>IF(_imp!$C$61="","",INDEX(_imp!$G$4:$G$1503,_imp!$C$61))</f>
        <v/>
      </c>
      <c r="F59" s="47">
        <f>IF(_imp!$C$61="","",INDEX(_imp!$H$4:$H$1503,_imp!$C$61))</f>
        <v/>
      </c>
      <c r="G59" s="47">
        <f>IF(_imp!$C$61="","",INDEX(_imp!$I$4:$I$1503,_imp!$C$61))</f>
        <v/>
      </c>
      <c r="K59" s="47">
        <f>IF(_imp!$C$61="","",INDEX(_imp!$J$4:$J$1503,_imp!$C$61))</f>
        <v/>
      </c>
    </row>
    <row r="60">
      <c r="A60" s="47">
        <f>IF(_imp!$C$62="","",INDEX(_imp!$D$4:$D$1503,_imp!$C$62))</f>
        <v/>
      </c>
      <c r="B60" s="47">
        <f>IF(_imp!$C$62="","",INDEX(_imp!$E$4:$E$1503,_imp!$C$62))</f>
        <v/>
      </c>
      <c r="C60" s="47">
        <f>IF(_imp!$C$62="","",INDEX(_imp!$F$4:$F$1503,_imp!$C$62))</f>
        <v/>
      </c>
      <c r="E60" s="47">
        <f>IF(_imp!$C$62="","",INDEX(_imp!$G$4:$G$1503,_imp!$C$62))</f>
        <v/>
      </c>
      <c r="F60" s="47">
        <f>IF(_imp!$C$62="","",INDEX(_imp!$H$4:$H$1503,_imp!$C$62))</f>
        <v/>
      </c>
      <c r="G60" s="47">
        <f>IF(_imp!$C$62="","",INDEX(_imp!$I$4:$I$1503,_imp!$C$62))</f>
        <v/>
      </c>
      <c r="K60" s="47">
        <f>IF(_imp!$C$62="","",INDEX(_imp!$J$4:$J$1503,_imp!$C$62))</f>
        <v/>
      </c>
    </row>
    <row r="61">
      <c r="A61" s="47">
        <f>IF(_imp!$C$63="","",INDEX(_imp!$D$4:$D$1503,_imp!$C$63))</f>
        <v/>
      </c>
      <c r="B61" s="47">
        <f>IF(_imp!$C$63="","",INDEX(_imp!$E$4:$E$1503,_imp!$C$63))</f>
        <v/>
      </c>
      <c r="C61" s="47">
        <f>IF(_imp!$C$63="","",INDEX(_imp!$F$4:$F$1503,_imp!$C$63))</f>
        <v/>
      </c>
      <c r="E61" s="47">
        <f>IF(_imp!$C$63="","",INDEX(_imp!$G$4:$G$1503,_imp!$C$63))</f>
        <v/>
      </c>
      <c r="F61" s="47">
        <f>IF(_imp!$C$63="","",INDEX(_imp!$H$4:$H$1503,_imp!$C$63))</f>
        <v/>
      </c>
      <c r="G61" s="47">
        <f>IF(_imp!$C$63="","",INDEX(_imp!$I$4:$I$1503,_imp!$C$63))</f>
        <v/>
      </c>
      <c r="K61" s="47">
        <f>IF(_imp!$C$63="","",INDEX(_imp!$J$4:$J$1503,_imp!$C$63))</f>
        <v/>
      </c>
    </row>
    <row r="62">
      <c r="A62" s="47">
        <f>IF(_imp!$C$64="","",INDEX(_imp!$D$4:$D$1503,_imp!$C$64))</f>
        <v/>
      </c>
      <c r="B62" s="47">
        <f>IF(_imp!$C$64="","",INDEX(_imp!$E$4:$E$1503,_imp!$C$64))</f>
        <v/>
      </c>
      <c r="C62" s="47">
        <f>IF(_imp!$C$64="","",INDEX(_imp!$F$4:$F$1503,_imp!$C$64))</f>
        <v/>
      </c>
      <c r="E62" s="47">
        <f>IF(_imp!$C$64="","",INDEX(_imp!$G$4:$G$1503,_imp!$C$64))</f>
        <v/>
      </c>
      <c r="F62" s="47">
        <f>IF(_imp!$C$64="","",INDEX(_imp!$H$4:$H$1503,_imp!$C$64))</f>
        <v/>
      </c>
      <c r="G62" s="47">
        <f>IF(_imp!$C$64="","",INDEX(_imp!$I$4:$I$1503,_imp!$C$64))</f>
        <v/>
      </c>
      <c r="K62" s="47">
        <f>IF(_imp!$C$64="","",INDEX(_imp!$J$4:$J$1503,_imp!$C$64))</f>
        <v/>
      </c>
    </row>
    <row r="63">
      <c r="A63" s="47">
        <f>IF(_imp!$C$65="","",INDEX(_imp!$D$4:$D$1503,_imp!$C$65))</f>
        <v/>
      </c>
      <c r="B63" s="47">
        <f>IF(_imp!$C$65="","",INDEX(_imp!$E$4:$E$1503,_imp!$C$65))</f>
        <v/>
      </c>
      <c r="C63" s="47">
        <f>IF(_imp!$C$65="","",INDEX(_imp!$F$4:$F$1503,_imp!$C$65))</f>
        <v/>
      </c>
      <c r="E63" s="47">
        <f>IF(_imp!$C$65="","",INDEX(_imp!$G$4:$G$1503,_imp!$C$65))</f>
        <v/>
      </c>
      <c r="F63" s="47">
        <f>IF(_imp!$C$65="","",INDEX(_imp!$H$4:$H$1503,_imp!$C$65))</f>
        <v/>
      </c>
      <c r="G63" s="47">
        <f>IF(_imp!$C$65="","",INDEX(_imp!$I$4:$I$1503,_imp!$C$65))</f>
        <v/>
      </c>
      <c r="K63" s="47">
        <f>IF(_imp!$C$65="","",INDEX(_imp!$J$4:$J$1503,_imp!$C$65))</f>
        <v/>
      </c>
    </row>
    <row r="64">
      <c r="A64" s="47">
        <f>IF(_imp!$C$66="","",INDEX(_imp!$D$4:$D$1503,_imp!$C$66))</f>
        <v/>
      </c>
      <c r="B64" s="47">
        <f>IF(_imp!$C$66="","",INDEX(_imp!$E$4:$E$1503,_imp!$C$66))</f>
        <v/>
      </c>
      <c r="C64" s="47">
        <f>IF(_imp!$C$66="","",INDEX(_imp!$F$4:$F$1503,_imp!$C$66))</f>
        <v/>
      </c>
      <c r="E64" s="47">
        <f>IF(_imp!$C$66="","",INDEX(_imp!$G$4:$G$1503,_imp!$C$66))</f>
        <v/>
      </c>
      <c r="F64" s="47">
        <f>IF(_imp!$C$66="","",INDEX(_imp!$H$4:$H$1503,_imp!$C$66))</f>
        <v/>
      </c>
      <c r="G64" s="47">
        <f>IF(_imp!$C$66="","",INDEX(_imp!$I$4:$I$1503,_imp!$C$66))</f>
        <v/>
      </c>
      <c r="K64" s="47">
        <f>IF(_imp!$C$66="","",INDEX(_imp!$J$4:$J$1503,_imp!$C$66))</f>
        <v/>
      </c>
    </row>
    <row r="65">
      <c r="A65" s="47">
        <f>IF(_imp!$C$67="","",INDEX(_imp!$D$4:$D$1503,_imp!$C$67))</f>
        <v/>
      </c>
      <c r="B65" s="47">
        <f>IF(_imp!$C$67="","",INDEX(_imp!$E$4:$E$1503,_imp!$C$67))</f>
        <v/>
      </c>
      <c r="C65" s="47">
        <f>IF(_imp!$C$67="","",INDEX(_imp!$F$4:$F$1503,_imp!$C$67))</f>
        <v/>
      </c>
      <c r="E65" s="47">
        <f>IF(_imp!$C$67="","",INDEX(_imp!$G$4:$G$1503,_imp!$C$67))</f>
        <v/>
      </c>
      <c r="F65" s="47">
        <f>IF(_imp!$C$67="","",INDEX(_imp!$H$4:$H$1503,_imp!$C$67))</f>
        <v/>
      </c>
      <c r="G65" s="47">
        <f>IF(_imp!$C$67="","",INDEX(_imp!$I$4:$I$1503,_imp!$C$67))</f>
        <v/>
      </c>
      <c r="K65" s="47">
        <f>IF(_imp!$C$67="","",INDEX(_imp!$J$4:$J$1503,_imp!$C$67))</f>
        <v/>
      </c>
    </row>
    <row r="66">
      <c r="A66" s="47">
        <f>IF(_imp!$C$68="","",INDEX(_imp!$D$4:$D$1503,_imp!$C$68))</f>
        <v/>
      </c>
      <c r="B66" s="47">
        <f>IF(_imp!$C$68="","",INDEX(_imp!$E$4:$E$1503,_imp!$C$68))</f>
        <v/>
      </c>
      <c r="C66" s="47">
        <f>IF(_imp!$C$68="","",INDEX(_imp!$F$4:$F$1503,_imp!$C$68))</f>
        <v/>
      </c>
      <c r="E66" s="47">
        <f>IF(_imp!$C$68="","",INDEX(_imp!$G$4:$G$1503,_imp!$C$68))</f>
        <v/>
      </c>
      <c r="F66" s="47">
        <f>IF(_imp!$C$68="","",INDEX(_imp!$H$4:$H$1503,_imp!$C$68))</f>
        <v/>
      </c>
      <c r="G66" s="47">
        <f>IF(_imp!$C$68="","",INDEX(_imp!$I$4:$I$1503,_imp!$C$68))</f>
        <v/>
      </c>
      <c r="K66" s="47">
        <f>IF(_imp!$C$68="","",INDEX(_imp!$J$4:$J$1503,_imp!$C$68))</f>
        <v/>
      </c>
    </row>
    <row r="67">
      <c r="A67" s="47">
        <f>IF(_imp!$C$69="","",INDEX(_imp!$D$4:$D$1503,_imp!$C$69))</f>
        <v/>
      </c>
      <c r="B67" s="47">
        <f>IF(_imp!$C$69="","",INDEX(_imp!$E$4:$E$1503,_imp!$C$69))</f>
        <v/>
      </c>
      <c r="C67" s="47">
        <f>IF(_imp!$C$69="","",INDEX(_imp!$F$4:$F$1503,_imp!$C$69))</f>
        <v/>
      </c>
      <c r="E67" s="47">
        <f>IF(_imp!$C$69="","",INDEX(_imp!$G$4:$G$1503,_imp!$C$69))</f>
        <v/>
      </c>
      <c r="F67" s="47">
        <f>IF(_imp!$C$69="","",INDEX(_imp!$H$4:$H$1503,_imp!$C$69))</f>
        <v/>
      </c>
      <c r="G67" s="47">
        <f>IF(_imp!$C$69="","",INDEX(_imp!$I$4:$I$1503,_imp!$C$69))</f>
        <v/>
      </c>
      <c r="K67" s="47">
        <f>IF(_imp!$C$69="","",INDEX(_imp!$J$4:$J$1503,_imp!$C$69))</f>
        <v/>
      </c>
    </row>
    <row r="68">
      <c r="A68" s="47">
        <f>IF(_imp!$C$70="","",INDEX(_imp!$D$4:$D$1503,_imp!$C$70))</f>
        <v/>
      </c>
      <c r="B68" s="47">
        <f>IF(_imp!$C$70="","",INDEX(_imp!$E$4:$E$1503,_imp!$C$70))</f>
        <v/>
      </c>
      <c r="C68" s="47">
        <f>IF(_imp!$C$70="","",INDEX(_imp!$F$4:$F$1503,_imp!$C$70))</f>
        <v/>
      </c>
      <c r="E68" s="47">
        <f>IF(_imp!$C$70="","",INDEX(_imp!$G$4:$G$1503,_imp!$C$70))</f>
        <v/>
      </c>
      <c r="F68" s="47">
        <f>IF(_imp!$C$70="","",INDEX(_imp!$H$4:$H$1503,_imp!$C$70))</f>
        <v/>
      </c>
      <c r="G68" s="47">
        <f>IF(_imp!$C$70="","",INDEX(_imp!$I$4:$I$1503,_imp!$C$70))</f>
        <v/>
      </c>
      <c r="K68" s="47">
        <f>IF(_imp!$C$70="","",INDEX(_imp!$J$4:$J$1503,_imp!$C$70))</f>
        <v/>
      </c>
    </row>
    <row r="69">
      <c r="A69" s="47">
        <f>IF(_imp!$C$71="","",INDEX(_imp!$D$4:$D$1503,_imp!$C$71))</f>
        <v/>
      </c>
      <c r="B69" s="47">
        <f>IF(_imp!$C$71="","",INDEX(_imp!$E$4:$E$1503,_imp!$C$71))</f>
        <v/>
      </c>
      <c r="C69" s="47">
        <f>IF(_imp!$C$71="","",INDEX(_imp!$F$4:$F$1503,_imp!$C$71))</f>
        <v/>
      </c>
      <c r="E69" s="47">
        <f>IF(_imp!$C$71="","",INDEX(_imp!$G$4:$G$1503,_imp!$C$71))</f>
        <v/>
      </c>
      <c r="F69" s="47">
        <f>IF(_imp!$C$71="","",INDEX(_imp!$H$4:$H$1503,_imp!$C$71))</f>
        <v/>
      </c>
      <c r="G69" s="47">
        <f>IF(_imp!$C$71="","",INDEX(_imp!$I$4:$I$1503,_imp!$C$71))</f>
        <v/>
      </c>
      <c r="K69" s="47">
        <f>IF(_imp!$C$71="","",INDEX(_imp!$J$4:$J$1503,_imp!$C$71))</f>
        <v/>
      </c>
    </row>
    <row r="70">
      <c r="A70" s="47">
        <f>IF(_imp!$C$72="","",INDEX(_imp!$D$4:$D$1503,_imp!$C$72))</f>
        <v/>
      </c>
      <c r="B70" s="47">
        <f>IF(_imp!$C$72="","",INDEX(_imp!$E$4:$E$1503,_imp!$C$72))</f>
        <v/>
      </c>
      <c r="C70" s="47">
        <f>IF(_imp!$C$72="","",INDEX(_imp!$F$4:$F$1503,_imp!$C$72))</f>
        <v/>
      </c>
      <c r="E70" s="47">
        <f>IF(_imp!$C$72="","",INDEX(_imp!$G$4:$G$1503,_imp!$C$72))</f>
        <v/>
      </c>
      <c r="F70" s="47">
        <f>IF(_imp!$C$72="","",INDEX(_imp!$H$4:$H$1503,_imp!$C$72))</f>
        <v/>
      </c>
      <c r="G70" s="47">
        <f>IF(_imp!$C$72="","",INDEX(_imp!$I$4:$I$1503,_imp!$C$72))</f>
        <v/>
      </c>
      <c r="K70" s="47">
        <f>IF(_imp!$C$72="","",INDEX(_imp!$J$4:$J$1503,_imp!$C$72))</f>
        <v/>
      </c>
    </row>
    <row r="71">
      <c r="A71" s="47">
        <f>IF(_imp!$C$73="","",INDEX(_imp!$D$4:$D$1503,_imp!$C$73))</f>
        <v/>
      </c>
      <c r="B71" s="47">
        <f>IF(_imp!$C$73="","",INDEX(_imp!$E$4:$E$1503,_imp!$C$73))</f>
        <v/>
      </c>
      <c r="C71" s="47">
        <f>IF(_imp!$C$73="","",INDEX(_imp!$F$4:$F$1503,_imp!$C$73))</f>
        <v/>
      </c>
      <c r="E71" s="47">
        <f>IF(_imp!$C$73="","",INDEX(_imp!$G$4:$G$1503,_imp!$C$73))</f>
        <v/>
      </c>
      <c r="F71" s="47">
        <f>IF(_imp!$C$73="","",INDEX(_imp!$H$4:$H$1503,_imp!$C$73))</f>
        <v/>
      </c>
      <c r="G71" s="47">
        <f>IF(_imp!$C$73="","",INDEX(_imp!$I$4:$I$1503,_imp!$C$73))</f>
        <v/>
      </c>
      <c r="K71" s="47">
        <f>IF(_imp!$C$73="","",INDEX(_imp!$J$4:$J$1503,_imp!$C$73))</f>
        <v/>
      </c>
    </row>
    <row r="72">
      <c r="A72" s="47">
        <f>IF(_imp!$C$74="","",INDEX(_imp!$D$4:$D$1503,_imp!$C$74))</f>
        <v/>
      </c>
      <c r="B72" s="47">
        <f>IF(_imp!$C$74="","",INDEX(_imp!$E$4:$E$1503,_imp!$C$74))</f>
        <v/>
      </c>
      <c r="C72" s="47">
        <f>IF(_imp!$C$74="","",INDEX(_imp!$F$4:$F$1503,_imp!$C$74))</f>
        <v/>
      </c>
      <c r="E72" s="47">
        <f>IF(_imp!$C$74="","",INDEX(_imp!$G$4:$G$1503,_imp!$C$74))</f>
        <v/>
      </c>
      <c r="F72" s="47">
        <f>IF(_imp!$C$74="","",INDEX(_imp!$H$4:$H$1503,_imp!$C$74))</f>
        <v/>
      </c>
      <c r="G72" s="47">
        <f>IF(_imp!$C$74="","",INDEX(_imp!$I$4:$I$1503,_imp!$C$74))</f>
        <v/>
      </c>
      <c r="K72" s="47">
        <f>IF(_imp!$C$74="","",INDEX(_imp!$J$4:$J$1503,_imp!$C$74))</f>
        <v/>
      </c>
    </row>
    <row r="73">
      <c r="A73" s="47">
        <f>IF(_imp!$C$75="","",INDEX(_imp!$D$4:$D$1503,_imp!$C$75))</f>
        <v/>
      </c>
      <c r="B73" s="47">
        <f>IF(_imp!$C$75="","",INDEX(_imp!$E$4:$E$1503,_imp!$C$75))</f>
        <v/>
      </c>
      <c r="C73" s="47">
        <f>IF(_imp!$C$75="","",INDEX(_imp!$F$4:$F$1503,_imp!$C$75))</f>
        <v/>
      </c>
      <c r="E73" s="47">
        <f>IF(_imp!$C$75="","",INDEX(_imp!$G$4:$G$1503,_imp!$C$75))</f>
        <v/>
      </c>
      <c r="F73" s="47">
        <f>IF(_imp!$C$75="","",INDEX(_imp!$H$4:$H$1503,_imp!$C$75))</f>
        <v/>
      </c>
      <c r="G73" s="47">
        <f>IF(_imp!$C$75="","",INDEX(_imp!$I$4:$I$1503,_imp!$C$75))</f>
        <v/>
      </c>
      <c r="K73" s="47">
        <f>IF(_imp!$C$75="","",INDEX(_imp!$J$4:$J$1503,_imp!$C$75))</f>
        <v/>
      </c>
    </row>
    <row r="74">
      <c r="A74" s="47">
        <f>IF(_imp!$C$76="","",INDEX(_imp!$D$4:$D$1503,_imp!$C$76))</f>
        <v/>
      </c>
      <c r="B74" s="47">
        <f>IF(_imp!$C$76="","",INDEX(_imp!$E$4:$E$1503,_imp!$C$76))</f>
        <v/>
      </c>
      <c r="C74" s="47">
        <f>IF(_imp!$C$76="","",INDEX(_imp!$F$4:$F$1503,_imp!$C$76))</f>
        <v/>
      </c>
      <c r="E74" s="47">
        <f>IF(_imp!$C$76="","",INDEX(_imp!$G$4:$G$1503,_imp!$C$76))</f>
        <v/>
      </c>
      <c r="F74" s="47">
        <f>IF(_imp!$C$76="","",INDEX(_imp!$H$4:$H$1503,_imp!$C$76))</f>
        <v/>
      </c>
      <c r="G74" s="47">
        <f>IF(_imp!$C$76="","",INDEX(_imp!$I$4:$I$1503,_imp!$C$76))</f>
        <v/>
      </c>
      <c r="K74" s="47">
        <f>IF(_imp!$C$76="","",INDEX(_imp!$J$4:$J$1503,_imp!$C$76))</f>
        <v/>
      </c>
    </row>
    <row r="75">
      <c r="A75" s="47">
        <f>IF(_imp!$C$77="","",INDEX(_imp!$D$4:$D$1503,_imp!$C$77))</f>
        <v/>
      </c>
      <c r="B75" s="47">
        <f>IF(_imp!$C$77="","",INDEX(_imp!$E$4:$E$1503,_imp!$C$77))</f>
        <v/>
      </c>
      <c r="C75" s="47">
        <f>IF(_imp!$C$77="","",INDEX(_imp!$F$4:$F$1503,_imp!$C$77))</f>
        <v/>
      </c>
      <c r="E75" s="47">
        <f>IF(_imp!$C$77="","",INDEX(_imp!$G$4:$G$1503,_imp!$C$77))</f>
        <v/>
      </c>
      <c r="F75" s="47">
        <f>IF(_imp!$C$77="","",INDEX(_imp!$H$4:$H$1503,_imp!$C$77))</f>
        <v/>
      </c>
      <c r="G75" s="47">
        <f>IF(_imp!$C$77="","",INDEX(_imp!$I$4:$I$1503,_imp!$C$77))</f>
        <v/>
      </c>
      <c r="K75" s="47">
        <f>IF(_imp!$C$77="","",INDEX(_imp!$J$4:$J$1503,_imp!$C$77))</f>
        <v/>
      </c>
    </row>
    <row r="76">
      <c r="A76" s="47">
        <f>IF(_imp!$C$78="","",INDEX(_imp!$D$4:$D$1503,_imp!$C$78))</f>
        <v/>
      </c>
      <c r="B76" s="47">
        <f>IF(_imp!$C$78="","",INDEX(_imp!$E$4:$E$1503,_imp!$C$78))</f>
        <v/>
      </c>
      <c r="C76" s="47">
        <f>IF(_imp!$C$78="","",INDEX(_imp!$F$4:$F$1503,_imp!$C$78))</f>
        <v/>
      </c>
      <c r="E76" s="47">
        <f>IF(_imp!$C$78="","",INDEX(_imp!$G$4:$G$1503,_imp!$C$78))</f>
        <v/>
      </c>
      <c r="F76" s="47">
        <f>IF(_imp!$C$78="","",INDEX(_imp!$H$4:$H$1503,_imp!$C$78))</f>
        <v/>
      </c>
      <c r="G76" s="47">
        <f>IF(_imp!$C$78="","",INDEX(_imp!$I$4:$I$1503,_imp!$C$78))</f>
        <v/>
      </c>
      <c r="K76" s="47">
        <f>IF(_imp!$C$78="","",INDEX(_imp!$J$4:$J$1503,_imp!$C$78))</f>
        <v/>
      </c>
    </row>
    <row r="77">
      <c r="A77" s="47">
        <f>IF(_imp!$C$79="","",INDEX(_imp!$D$4:$D$1503,_imp!$C$79))</f>
        <v/>
      </c>
      <c r="B77" s="47">
        <f>IF(_imp!$C$79="","",INDEX(_imp!$E$4:$E$1503,_imp!$C$79))</f>
        <v/>
      </c>
      <c r="C77" s="47">
        <f>IF(_imp!$C$79="","",INDEX(_imp!$F$4:$F$1503,_imp!$C$79))</f>
        <v/>
      </c>
      <c r="E77" s="47">
        <f>IF(_imp!$C$79="","",INDEX(_imp!$G$4:$G$1503,_imp!$C$79))</f>
        <v/>
      </c>
      <c r="F77" s="47">
        <f>IF(_imp!$C$79="","",INDEX(_imp!$H$4:$H$1503,_imp!$C$79))</f>
        <v/>
      </c>
      <c r="G77" s="47">
        <f>IF(_imp!$C$79="","",INDEX(_imp!$I$4:$I$1503,_imp!$C$79))</f>
        <v/>
      </c>
      <c r="K77" s="47">
        <f>IF(_imp!$C$79="","",INDEX(_imp!$J$4:$J$1503,_imp!$C$79))</f>
        <v/>
      </c>
    </row>
    <row r="78">
      <c r="A78" s="47">
        <f>IF(_imp!$C$80="","",INDEX(_imp!$D$4:$D$1503,_imp!$C$80))</f>
        <v/>
      </c>
      <c r="B78" s="47">
        <f>IF(_imp!$C$80="","",INDEX(_imp!$E$4:$E$1503,_imp!$C$80))</f>
        <v/>
      </c>
      <c r="C78" s="47">
        <f>IF(_imp!$C$80="","",INDEX(_imp!$F$4:$F$1503,_imp!$C$80))</f>
        <v/>
      </c>
      <c r="E78" s="47">
        <f>IF(_imp!$C$80="","",INDEX(_imp!$G$4:$G$1503,_imp!$C$80))</f>
        <v/>
      </c>
      <c r="F78" s="47">
        <f>IF(_imp!$C$80="","",INDEX(_imp!$H$4:$H$1503,_imp!$C$80))</f>
        <v/>
      </c>
      <c r="G78" s="47">
        <f>IF(_imp!$C$80="","",INDEX(_imp!$I$4:$I$1503,_imp!$C$80))</f>
        <v/>
      </c>
      <c r="K78" s="47">
        <f>IF(_imp!$C$80="","",INDEX(_imp!$J$4:$J$1503,_imp!$C$80))</f>
        <v/>
      </c>
    </row>
    <row r="79">
      <c r="A79" s="47">
        <f>IF(_imp!$C$81="","",INDEX(_imp!$D$4:$D$1503,_imp!$C$81))</f>
        <v/>
      </c>
      <c r="B79" s="47">
        <f>IF(_imp!$C$81="","",INDEX(_imp!$E$4:$E$1503,_imp!$C$81))</f>
        <v/>
      </c>
      <c r="C79" s="47">
        <f>IF(_imp!$C$81="","",INDEX(_imp!$F$4:$F$1503,_imp!$C$81))</f>
        <v/>
      </c>
      <c r="E79" s="47">
        <f>IF(_imp!$C$81="","",INDEX(_imp!$G$4:$G$1503,_imp!$C$81))</f>
        <v/>
      </c>
      <c r="F79" s="47">
        <f>IF(_imp!$C$81="","",INDEX(_imp!$H$4:$H$1503,_imp!$C$81))</f>
        <v/>
      </c>
      <c r="G79" s="47">
        <f>IF(_imp!$C$81="","",INDEX(_imp!$I$4:$I$1503,_imp!$C$81))</f>
        <v/>
      </c>
      <c r="K79" s="47">
        <f>IF(_imp!$C$81="","",INDEX(_imp!$J$4:$J$1503,_imp!$C$81))</f>
        <v/>
      </c>
    </row>
    <row r="80">
      <c r="A80" s="47">
        <f>IF(_imp!$C$82="","",INDEX(_imp!$D$4:$D$1503,_imp!$C$82))</f>
        <v/>
      </c>
      <c r="B80" s="47">
        <f>IF(_imp!$C$82="","",INDEX(_imp!$E$4:$E$1503,_imp!$C$82))</f>
        <v/>
      </c>
      <c r="C80" s="47">
        <f>IF(_imp!$C$82="","",INDEX(_imp!$F$4:$F$1503,_imp!$C$82))</f>
        <v/>
      </c>
      <c r="E80" s="47">
        <f>IF(_imp!$C$82="","",INDEX(_imp!$G$4:$G$1503,_imp!$C$82))</f>
        <v/>
      </c>
      <c r="F80" s="47">
        <f>IF(_imp!$C$82="","",INDEX(_imp!$H$4:$H$1503,_imp!$C$82))</f>
        <v/>
      </c>
      <c r="G80" s="47">
        <f>IF(_imp!$C$82="","",INDEX(_imp!$I$4:$I$1503,_imp!$C$82))</f>
        <v/>
      </c>
      <c r="K80" s="47">
        <f>IF(_imp!$C$82="","",INDEX(_imp!$J$4:$J$1503,_imp!$C$82))</f>
        <v/>
      </c>
    </row>
    <row r="81">
      <c r="A81" s="47">
        <f>IF(_imp!$C$83="","",INDEX(_imp!$D$4:$D$1503,_imp!$C$83))</f>
        <v/>
      </c>
      <c r="B81" s="47">
        <f>IF(_imp!$C$83="","",INDEX(_imp!$E$4:$E$1503,_imp!$C$83))</f>
        <v/>
      </c>
      <c r="C81" s="47">
        <f>IF(_imp!$C$83="","",INDEX(_imp!$F$4:$F$1503,_imp!$C$83))</f>
        <v/>
      </c>
      <c r="E81" s="47">
        <f>IF(_imp!$C$83="","",INDEX(_imp!$G$4:$G$1503,_imp!$C$83))</f>
        <v/>
      </c>
      <c r="F81" s="47">
        <f>IF(_imp!$C$83="","",INDEX(_imp!$H$4:$H$1503,_imp!$C$83))</f>
        <v/>
      </c>
      <c r="G81" s="47">
        <f>IF(_imp!$C$83="","",INDEX(_imp!$I$4:$I$1503,_imp!$C$83))</f>
        <v/>
      </c>
      <c r="K81" s="47">
        <f>IF(_imp!$C$83="","",INDEX(_imp!$J$4:$J$1503,_imp!$C$83))</f>
        <v/>
      </c>
    </row>
    <row r="82">
      <c r="A82" s="47">
        <f>IF(_imp!$C$84="","",INDEX(_imp!$D$4:$D$1503,_imp!$C$84))</f>
        <v/>
      </c>
      <c r="B82" s="47">
        <f>IF(_imp!$C$84="","",INDEX(_imp!$E$4:$E$1503,_imp!$C$84))</f>
        <v/>
      </c>
      <c r="C82" s="47">
        <f>IF(_imp!$C$84="","",INDEX(_imp!$F$4:$F$1503,_imp!$C$84))</f>
        <v/>
      </c>
      <c r="E82" s="47">
        <f>IF(_imp!$C$84="","",INDEX(_imp!$G$4:$G$1503,_imp!$C$84))</f>
        <v/>
      </c>
      <c r="F82" s="47">
        <f>IF(_imp!$C$84="","",INDEX(_imp!$H$4:$H$1503,_imp!$C$84))</f>
        <v/>
      </c>
      <c r="G82" s="47">
        <f>IF(_imp!$C$84="","",INDEX(_imp!$I$4:$I$1503,_imp!$C$84))</f>
        <v/>
      </c>
      <c r="K82" s="47">
        <f>IF(_imp!$C$84="","",INDEX(_imp!$J$4:$J$1503,_imp!$C$84))</f>
        <v/>
      </c>
    </row>
    <row r="83">
      <c r="A83" s="47">
        <f>IF(_imp!$C$85="","",INDEX(_imp!$D$4:$D$1503,_imp!$C$85))</f>
        <v/>
      </c>
      <c r="B83" s="47">
        <f>IF(_imp!$C$85="","",INDEX(_imp!$E$4:$E$1503,_imp!$C$85))</f>
        <v/>
      </c>
      <c r="C83" s="47">
        <f>IF(_imp!$C$85="","",INDEX(_imp!$F$4:$F$1503,_imp!$C$85))</f>
        <v/>
      </c>
      <c r="E83" s="47">
        <f>IF(_imp!$C$85="","",INDEX(_imp!$G$4:$G$1503,_imp!$C$85))</f>
        <v/>
      </c>
      <c r="F83" s="47">
        <f>IF(_imp!$C$85="","",INDEX(_imp!$H$4:$H$1503,_imp!$C$85))</f>
        <v/>
      </c>
      <c r="G83" s="47">
        <f>IF(_imp!$C$85="","",INDEX(_imp!$I$4:$I$1503,_imp!$C$85))</f>
        <v/>
      </c>
      <c r="K83" s="47">
        <f>IF(_imp!$C$85="","",INDEX(_imp!$J$4:$J$1503,_imp!$C$85))</f>
        <v/>
      </c>
    </row>
    <row r="84">
      <c r="A84" s="47">
        <f>IF(_imp!$C$86="","",INDEX(_imp!$D$4:$D$1503,_imp!$C$86))</f>
        <v/>
      </c>
      <c r="B84" s="47">
        <f>IF(_imp!$C$86="","",INDEX(_imp!$E$4:$E$1503,_imp!$C$86))</f>
        <v/>
      </c>
      <c r="C84" s="47">
        <f>IF(_imp!$C$86="","",INDEX(_imp!$F$4:$F$1503,_imp!$C$86))</f>
        <v/>
      </c>
      <c r="E84" s="47">
        <f>IF(_imp!$C$86="","",INDEX(_imp!$G$4:$G$1503,_imp!$C$86))</f>
        <v/>
      </c>
      <c r="F84" s="47">
        <f>IF(_imp!$C$86="","",INDEX(_imp!$H$4:$H$1503,_imp!$C$86))</f>
        <v/>
      </c>
      <c r="G84" s="47">
        <f>IF(_imp!$C$86="","",INDEX(_imp!$I$4:$I$1503,_imp!$C$86))</f>
        <v/>
      </c>
      <c r="K84" s="47">
        <f>IF(_imp!$C$86="","",INDEX(_imp!$J$4:$J$1503,_imp!$C$86))</f>
        <v/>
      </c>
    </row>
    <row r="85">
      <c r="A85" s="47">
        <f>IF(_imp!$C$87="","",INDEX(_imp!$D$4:$D$1503,_imp!$C$87))</f>
        <v/>
      </c>
      <c r="B85" s="47">
        <f>IF(_imp!$C$87="","",INDEX(_imp!$E$4:$E$1503,_imp!$C$87))</f>
        <v/>
      </c>
      <c r="C85" s="47">
        <f>IF(_imp!$C$87="","",INDEX(_imp!$F$4:$F$1503,_imp!$C$87))</f>
        <v/>
      </c>
      <c r="E85" s="47">
        <f>IF(_imp!$C$87="","",INDEX(_imp!$G$4:$G$1503,_imp!$C$87))</f>
        <v/>
      </c>
      <c r="F85" s="47">
        <f>IF(_imp!$C$87="","",INDEX(_imp!$H$4:$H$1503,_imp!$C$87))</f>
        <v/>
      </c>
      <c r="G85" s="47">
        <f>IF(_imp!$C$87="","",INDEX(_imp!$I$4:$I$1503,_imp!$C$87))</f>
        <v/>
      </c>
      <c r="K85" s="47">
        <f>IF(_imp!$C$87="","",INDEX(_imp!$J$4:$J$1503,_imp!$C$87))</f>
        <v/>
      </c>
    </row>
    <row r="86">
      <c r="A86" s="47">
        <f>IF(_imp!$C$88="","",INDEX(_imp!$D$4:$D$1503,_imp!$C$88))</f>
        <v/>
      </c>
      <c r="B86" s="47">
        <f>IF(_imp!$C$88="","",INDEX(_imp!$E$4:$E$1503,_imp!$C$88))</f>
        <v/>
      </c>
      <c r="C86" s="47">
        <f>IF(_imp!$C$88="","",INDEX(_imp!$F$4:$F$1503,_imp!$C$88))</f>
        <v/>
      </c>
      <c r="E86" s="47">
        <f>IF(_imp!$C$88="","",INDEX(_imp!$G$4:$G$1503,_imp!$C$88))</f>
        <v/>
      </c>
      <c r="F86" s="47">
        <f>IF(_imp!$C$88="","",INDEX(_imp!$H$4:$H$1503,_imp!$C$88))</f>
        <v/>
      </c>
      <c r="G86" s="47">
        <f>IF(_imp!$C$88="","",INDEX(_imp!$I$4:$I$1503,_imp!$C$88))</f>
        <v/>
      </c>
      <c r="K86" s="47">
        <f>IF(_imp!$C$88="","",INDEX(_imp!$J$4:$J$1503,_imp!$C$88))</f>
        <v/>
      </c>
    </row>
    <row r="87">
      <c r="A87" s="47">
        <f>IF(_imp!$C$89="","",INDEX(_imp!$D$4:$D$1503,_imp!$C$89))</f>
        <v/>
      </c>
      <c r="B87" s="47">
        <f>IF(_imp!$C$89="","",INDEX(_imp!$E$4:$E$1503,_imp!$C$89))</f>
        <v/>
      </c>
      <c r="C87" s="47">
        <f>IF(_imp!$C$89="","",INDEX(_imp!$F$4:$F$1503,_imp!$C$89))</f>
        <v/>
      </c>
      <c r="E87" s="47">
        <f>IF(_imp!$C$89="","",INDEX(_imp!$G$4:$G$1503,_imp!$C$89))</f>
        <v/>
      </c>
      <c r="F87" s="47">
        <f>IF(_imp!$C$89="","",INDEX(_imp!$H$4:$H$1503,_imp!$C$89))</f>
        <v/>
      </c>
      <c r="G87" s="47">
        <f>IF(_imp!$C$89="","",INDEX(_imp!$I$4:$I$1503,_imp!$C$89))</f>
        <v/>
      </c>
      <c r="K87" s="47">
        <f>IF(_imp!$C$89="","",INDEX(_imp!$J$4:$J$1503,_imp!$C$89))</f>
        <v/>
      </c>
    </row>
    <row r="88">
      <c r="A88" s="47">
        <f>IF(_imp!$C$90="","",INDEX(_imp!$D$4:$D$1503,_imp!$C$90))</f>
        <v/>
      </c>
      <c r="B88" s="47">
        <f>IF(_imp!$C$90="","",INDEX(_imp!$E$4:$E$1503,_imp!$C$90))</f>
        <v/>
      </c>
      <c r="C88" s="47">
        <f>IF(_imp!$C$90="","",INDEX(_imp!$F$4:$F$1503,_imp!$C$90))</f>
        <v/>
      </c>
      <c r="E88" s="47">
        <f>IF(_imp!$C$90="","",INDEX(_imp!$G$4:$G$1503,_imp!$C$90))</f>
        <v/>
      </c>
      <c r="F88" s="47">
        <f>IF(_imp!$C$90="","",INDEX(_imp!$H$4:$H$1503,_imp!$C$90))</f>
        <v/>
      </c>
      <c r="G88" s="47">
        <f>IF(_imp!$C$90="","",INDEX(_imp!$I$4:$I$1503,_imp!$C$90))</f>
        <v/>
      </c>
      <c r="K88" s="47">
        <f>IF(_imp!$C$90="","",INDEX(_imp!$J$4:$J$1503,_imp!$C$90))</f>
        <v/>
      </c>
    </row>
    <row r="89">
      <c r="A89" s="47">
        <f>IF(_imp!$C$91="","",INDEX(_imp!$D$4:$D$1503,_imp!$C$91))</f>
        <v/>
      </c>
      <c r="B89" s="47">
        <f>IF(_imp!$C$91="","",INDEX(_imp!$E$4:$E$1503,_imp!$C$91))</f>
        <v/>
      </c>
      <c r="C89" s="47">
        <f>IF(_imp!$C$91="","",INDEX(_imp!$F$4:$F$1503,_imp!$C$91))</f>
        <v/>
      </c>
      <c r="E89" s="47">
        <f>IF(_imp!$C$91="","",INDEX(_imp!$G$4:$G$1503,_imp!$C$91))</f>
        <v/>
      </c>
      <c r="F89" s="47">
        <f>IF(_imp!$C$91="","",INDEX(_imp!$H$4:$H$1503,_imp!$C$91))</f>
        <v/>
      </c>
      <c r="G89" s="47">
        <f>IF(_imp!$C$91="","",INDEX(_imp!$I$4:$I$1503,_imp!$C$91))</f>
        <v/>
      </c>
      <c r="K89" s="47">
        <f>IF(_imp!$C$91="","",INDEX(_imp!$J$4:$J$1503,_imp!$C$91))</f>
        <v/>
      </c>
    </row>
    <row r="90">
      <c r="A90" s="47">
        <f>IF(_imp!$C$92="","",INDEX(_imp!$D$4:$D$1503,_imp!$C$92))</f>
        <v/>
      </c>
      <c r="B90" s="47">
        <f>IF(_imp!$C$92="","",INDEX(_imp!$E$4:$E$1503,_imp!$C$92))</f>
        <v/>
      </c>
      <c r="C90" s="47">
        <f>IF(_imp!$C$92="","",INDEX(_imp!$F$4:$F$1503,_imp!$C$92))</f>
        <v/>
      </c>
      <c r="E90" s="47">
        <f>IF(_imp!$C$92="","",INDEX(_imp!$G$4:$G$1503,_imp!$C$92))</f>
        <v/>
      </c>
      <c r="F90" s="47">
        <f>IF(_imp!$C$92="","",INDEX(_imp!$H$4:$H$1503,_imp!$C$92))</f>
        <v/>
      </c>
      <c r="G90" s="47">
        <f>IF(_imp!$C$92="","",INDEX(_imp!$I$4:$I$1503,_imp!$C$92))</f>
        <v/>
      </c>
      <c r="K90" s="47">
        <f>IF(_imp!$C$92="","",INDEX(_imp!$J$4:$J$1503,_imp!$C$92))</f>
        <v/>
      </c>
    </row>
    <row r="91">
      <c r="A91" s="47">
        <f>IF(_imp!$C$93="","",INDEX(_imp!$D$4:$D$1503,_imp!$C$93))</f>
        <v/>
      </c>
      <c r="B91" s="47">
        <f>IF(_imp!$C$93="","",INDEX(_imp!$E$4:$E$1503,_imp!$C$93))</f>
        <v/>
      </c>
      <c r="C91" s="47">
        <f>IF(_imp!$C$93="","",INDEX(_imp!$F$4:$F$1503,_imp!$C$93))</f>
        <v/>
      </c>
      <c r="E91" s="47">
        <f>IF(_imp!$C$93="","",INDEX(_imp!$G$4:$G$1503,_imp!$C$93))</f>
        <v/>
      </c>
      <c r="F91" s="47">
        <f>IF(_imp!$C$93="","",INDEX(_imp!$H$4:$H$1503,_imp!$C$93))</f>
        <v/>
      </c>
      <c r="G91" s="47">
        <f>IF(_imp!$C$93="","",INDEX(_imp!$I$4:$I$1503,_imp!$C$93))</f>
        <v/>
      </c>
      <c r="K91" s="47">
        <f>IF(_imp!$C$93="","",INDEX(_imp!$J$4:$J$1503,_imp!$C$93))</f>
        <v/>
      </c>
    </row>
    <row r="92">
      <c r="A92" s="47">
        <f>IF(_imp!$C$94="","",INDEX(_imp!$D$4:$D$1503,_imp!$C$94))</f>
        <v/>
      </c>
      <c r="B92" s="47">
        <f>IF(_imp!$C$94="","",INDEX(_imp!$E$4:$E$1503,_imp!$C$94))</f>
        <v/>
      </c>
      <c r="C92" s="47">
        <f>IF(_imp!$C$94="","",INDEX(_imp!$F$4:$F$1503,_imp!$C$94))</f>
        <v/>
      </c>
      <c r="E92" s="47">
        <f>IF(_imp!$C$94="","",INDEX(_imp!$G$4:$G$1503,_imp!$C$94))</f>
        <v/>
      </c>
      <c r="F92" s="47">
        <f>IF(_imp!$C$94="","",INDEX(_imp!$H$4:$H$1503,_imp!$C$94))</f>
        <v/>
      </c>
      <c r="G92" s="47">
        <f>IF(_imp!$C$94="","",INDEX(_imp!$I$4:$I$1503,_imp!$C$94))</f>
        <v/>
      </c>
      <c r="K92" s="47">
        <f>IF(_imp!$C$94="","",INDEX(_imp!$J$4:$J$1503,_imp!$C$94))</f>
        <v/>
      </c>
    </row>
    <row r="93">
      <c r="A93" s="47">
        <f>IF(_imp!$C$95="","",INDEX(_imp!$D$4:$D$1503,_imp!$C$95))</f>
        <v/>
      </c>
      <c r="B93" s="47">
        <f>IF(_imp!$C$95="","",INDEX(_imp!$E$4:$E$1503,_imp!$C$95))</f>
        <v/>
      </c>
      <c r="C93" s="47">
        <f>IF(_imp!$C$95="","",INDEX(_imp!$F$4:$F$1503,_imp!$C$95))</f>
        <v/>
      </c>
      <c r="E93" s="47">
        <f>IF(_imp!$C$95="","",INDEX(_imp!$G$4:$G$1503,_imp!$C$95))</f>
        <v/>
      </c>
      <c r="F93" s="47">
        <f>IF(_imp!$C$95="","",INDEX(_imp!$H$4:$H$1503,_imp!$C$95))</f>
        <v/>
      </c>
      <c r="G93" s="47">
        <f>IF(_imp!$C$95="","",INDEX(_imp!$I$4:$I$1503,_imp!$C$95))</f>
        <v/>
      </c>
      <c r="K93" s="47">
        <f>IF(_imp!$C$95="","",INDEX(_imp!$J$4:$J$1503,_imp!$C$95))</f>
        <v/>
      </c>
    </row>
    <row r="94">
      <c r="A94" s="47">
        <f>IF(_imp!$C$96="","",INDEX(_imp!$D$4:$D$1503,_imp!$C$96))</f>
        <v/>
      </c>
      <c r="B94" s="47">
        <f>IF(_imp!$C$96="","",INDEX(_imp!$E$4:$E$1503,_imp!$C$96))</f>
        <v/>
      </c>
      <c r="C94" s="47">
        <f>IF(_imp!$C$96="","",INDEX(_imp!$F$4:$F$1503,_imp!$C$96))</f>
        <v/>
      </c>
      <c r="E94" s="47">
        <f>IF(_imp!$C$96="","",INDEX(_imp!$G$4:$G$1503,_imp!$C$96))</f>
        <v/>
      </c>
      <c r="F94" s="47">
        <f>IF(_imp!$C$96="","",INDEX(_imp!$H$4:$H$1503,_imp!$C$96))</f>
        <v/>
      </c>
      <c r="G94" s="47">
        <f>IF(_imp!$C$96="","",INDEX(_imp!$I$4:$I$1503,_imp!$C$96))</f>
        <v/>
      </c>
      <c r="K94" s="47">
        <f>IF(_imp!$C$96="","",INDEX(_imp!$J$4:$J$1503,_imp!$C$96))</f>
        <v/>
      </c>
    </row>
    <row r="95">
      <c r="A95" s="47">
        <f>IF(_imp!$C$97="","",INDEX(_imp!$D$4:$D$1503,_imp!$C$97))</f>
        <v/>
      </c>
      <c r="B95" s="47">
        <f>IF(_imp!$C$97="","",INDEX(_imp!$E$4:$E$1503,_imp!$C$97))</f>
        <v/>
      </c>
      <c r="C95" s="47">
        <f>IF(_imp!$C$97="","",INDEX(_imp!$F$4:$F$1503,_imp!$C$97))</f>
        <v/>
      </c>
      <c r="E95" s="47">
        <f>IF(_imp!$C$97="","",INDEX(_imp!$G$4:$G$1503,_imp!$C$97))</f>
        <v/>
      </c>
      <c r="F95" s="47">
        <f>IF(_imp!$C$97="","",INDEX(_imp!$H$4:$H$1503,_imp!$C$97))</f>
        <v/>
      </c>
      <c r="G95" s="47">
        <f>IF(_imp!$C$97="","",INDEX(_imp!$I$4:$I$1503,_imp!$C$97))</f>
        <v/>
      </c>
      <c r="K95" s="47">
        <f>IF(_imp!$C$97="","",INDEX(_imp!$J$4:$J$1503,_imp!$C$97))</f>
        <v/>
      </c>
    </row>
    <row r="96">
      <c r="A96" s="47">
        <f>IF(_imp!$C$98="","",INDEX(_imp!$D$4:$D$1503,_imp!$C$98))</f>
        <v/>
      </c>
      <c r="B96" s="47">
        <f>IF(_imp!$C$98="","",INDEX(_imp!$E$4:$E$1503,_imp!$C$98))</f>
        <v/>
      </c>
      <c r="C96" s="47">
        <f>IF(_imp!$C$98="","",INDEX(_imp!$F$4:$F$1503,_imp!$C$98))</f>
        <v/>
      </c>
      <c r="E96" s="47">
        <f>IF(_imp!$C$98="","",INDEX(_imp!$G$4:$G$1503,_imp!$C$98))</f>
        <v/>
      </c>
      <c r="F96" s="47">
        <f>IF(_imp!$C$98="","",INDEX(_imp!$H$4:$H$1503,_imp!$C$98))</f>
        <v/>
      </c>
      <c r="G96" s="47">
        <f>IF(_imp!$C$98="","",INDEX(_imp!$I$4:$I$1503,_imp!$C$98))</f>
        <v/>
      </c>
      <c r="K96" s="47">
        <f>IF(_imp!$C$98="","",INDEX(_imp!$J$4:$J$1503,_imp!$C$98))</f>
        <v/>
      </c>
    </row>
    <row r="97">
      <c r="A97" s="47">
        <f>IF(_imp!$C$99="","",INDEX(_imp!$D$4:$D$1503,_imp!$C$99))</f>
        <v/>
      </c>
      <c r="B97" s="47">
        <f>IF(_imp!$C$99="","",INDEX(_imp!$E$4:$E$1503,_imp!$C$99))</f>
        <v/>
      </c>
      <c r="C97" s="47">
        <f>IF(_imp!$C$99="","",INDEX(_imp!$F$4:$F$1503,_imp!$C$99))</f>
        <v/>
      </c>
      <c r="E97" s="47">
        <f>IF(_imp!$C$99="","",INDEX(_imp!$G$4:$G$1503,_imp!$C$99))</f>
        <v/>
      </c>
      <c r="F97" s="47">
        <f>IF(_imp!$C$99="","",INDEX(_imp!$H$4:$H$1503,_imp!$C$99))</f>
        <v/>
      </c>
      <c r="G97" s="47">
        <f>IF(_imp!$C$99="","",INDEX(_imp!$I$4:$I$1503,_imp!$C$99))</f>
        <v/>
      </c>
      <c r="K97" s="47">
        <f>IF(_imp!$C$99="","",INDEX(_imp!$J$4:$J$1503,_imp!$C$99))</f>
        <v/>
      </c>
    </row>
    <row r="98">
      <c r="A98" s="47">
        <f>IF(_imp!$C$100="","",INDEX(_imp!$D$4:$D$1503,_imp!$C$100))</f>
        <v/>
      </c>
      <c r="B98" s="47">
        <f>IF(_imp!$C$100="","",INDEX(_imp!$E$4:$E$1503,_imp!$C$100))</f>
        <v/>
      </c>
      <c r="C98" s="47">
        <f>IF(_imp!$C$100="","",INDEX(_imp!$F$4:$F$1503,_imp!$C$100))</f>
        <v/>
      </c>
      <c r="E98" s="47">
        <f>IF(_imp!$C$100="","",INDEX(_imp!$G$4:$G$1503,_imp!$C$100))</f>
        <v/>
      </c>
      <c r="F98" s="47">
        <f>IF(_imp!$C$100="","",INDEX(_imp!$H$4:$H$1503,_imp!$C$100))</f>
        <v/>
      </c>
      <c r="G98" s="47">
        <f>IF(_imp!$C$100="","",INDEX(_imp!$I$4:$I$1503,_imp!$C$100))</f>
        <v/>
      </c>
      <c r="K98" s="47">
        <f>IF(_imp!$C$100="","",INDEX(_imp!$J$4:$J$1503,_imp!$C$100))</f>
        <v/>
      </c>
    </row>
    <row r="99">
      <c r="A99" s="47">
        <f>IF(_imp!$C$101="","",INDEX(_imp!$D$4:$D$1503,_imp!$C$101))</f>
        <v/>
      </c>
      <c r="B99" s="47">
        <f>IF(_imp!$C$101="","",INDEX(_imp!$E$4:$E$1503,_imp!$C$101))</f>
        <v/>
      </c>
      <c r="C99" s="47">
        <f>IF(_imp!$C$101="","",INDEX(_imp!$F$4:$F$1503,_imp!$C$101))</f>
        <v/>
      </c>
      <c r="E99" s="47">
        <f>IF(_imp!$C$101="","",INDEX(_imp!$G$4:$G$1503,_imp!$C$101))</f>
        <v/>
      </c>
      <c r="F99" s="47">
        <f>IF(_imp!$C$101="","",INDEX(_imp!$H$4:$H$1503,_imp!$C$101))</f>
        <v/>
      </c>
      <c r="G99" s="47">
        <f>IF(_imp!$C$101="","",INDEX(_imp!$I$4:$I$1503,_imp!$C$101))</f>
        <v/>
      </c>
      <c r="K99" s="47">
        <f>IF(_imp!$C$101="","",INDEX(_imp!$J$4:$J$1503,_imp!$C$101))</f>
        <v/>
      </c>
    </row>
    <row r="100">
      <c r="A100" s="47">
        <f>IF(_imp!$C$102="","",INDEX(_imp!$D$4:$D$1503,_imp!$C$102))</f>
        <v/>
      </c>
      <c r="B100" s="47">
        <f>IF(_imp!$C$102="","",INDEX(_imp!$E$4:$E$1503,_imp!$C$102))</f>
        <v/>
      </c>
      <c r="C100" s="47">
        <f>IF(_imp!$C$102="","",INDEX(_imp!$F$4:$F$1503,_imp!$C$102))</f>
        <v/>
      </c>
      <c r="E100" s="47">
        <f>IF(_imp!$C$102="","",INDEX(_imp!$G$4:$G$1503,_imp!$C$102))</f>
        <v/>
      </c>
      <c r="F100" s="47">
        <f>IF(_imp!$C$102="","",INDEX(_imp!$H$4:$H$1503,_imp!$C$102))</f>
        <v/>
      </c>
      <c r="G100" s="47">
        <f>IF(_imp!$C$102="","",INDEX(_imp!$I$4:$I$1503,_imp!$C$102))</f>
        <v/>
      </c>
      <c r="K100" s="47">
        <f>IF(_imp!$C$102="","",INDEX(_imp!$J$4:$J$1503,_imp!$C$102))</f>
        <v/>
      </c>
    </row>
    <row r="101">
      <c r="A101" s="47">
        <f>IF(_imp!$C$103="","",INDEX(_imp!$D$4:$D$1503,_imp!$C$103))</f>
        <v/>
      </c>
      <c r="B101" s="47">
        <f>IF(_imp!$C$103="","",INDEX(_imp!$E$4:$E$1503,_imp!$C$103))</f>
        <v/>
      </c>
      <c r="C101" s="47">
        <f>IF(_imp!$C$103="","",INDEX(_imp!$F$4:$F$1503,_imp!$C$103))</f>
        <v/>
      </c>
      <c r="E101" s="47">
        <f>IF(_imp!$C$103="","",INDEX(_imp!$G$4:$G$1503,_imp!$C$103))</f>
        <v/>
      </c>
      <c r="F101" s="47">
        <f>IF(_imp!$C$103="","",INDEX(_imp!$H$4:$H$1503,_imp!$C$103))</f>
        <v/>
      </c>
      <c r="G101" s="47">
        <f>IF(_imp!$C$103="","",INDEX(_imp!$I$4:$I$1503,_imp!$C$103))</f>
        <v/>
      </c>
      <c r="K101" s="47">
        <f>IF(_imp!$C$103="","",INDEX(_imp!$J$4:$J$1503,_imp!$C$103))</f>
        <v/>
      </c>
    </row>
    <row r="102">
      <c r="A102" s="47">
        <f>IF(_imp!$C$104="","",INDEX(_imp!$D$4:$D$1503,_imp!$C$104))</f>
        <v/>
      </c>
      <c r="B102" s="47">
        <f>IF(_imp!$C$104="","",INDEX(_imp!$E$4:$E$1503,_imp!$C$104))</f>
        <v/>
      </c>
      <c r="C102" s="47">
        <f>IF(_imp!$C$104="","",INDEX(_imp!$F$4:$F$1503,_imp!$C$104))</f>
        <v/>
      </c>
      <c r="E102" s="47">
        <f>IF(_imp!$C$104="","",INDEX(_imp!$G$4:$G$1503,_imp!$C$104))</f>
        <v/>
      </c>
      <c r="F102" s="47">
        <f>IF(_imp!$C$104="","",INDEX(_imp!$H$4:$H$1503,_imp!$C$104))</f>
        <v/>
      </c>
      <c r="G102" s="47">
        <f>IF(_imp!$C$104="","",INDEX(_imp!$I$4:$I$1503,_imp!$C$104))</f>
        <v/>
      </c>
      <c r="K102" s="47">
        <f>IF(_imp!$C$104="","",INDEX(_imp!$J$4:$J$1503,_imp!$C$104))</f>
        <v/>
      </c>
    </row>
    <row r="103">
      <c r="A103" s="47">
        <f>IF(_imp!$C$105="","",INDEX(_imp!$D$4:$D$1503,_imp!$C$105))</f>
        <v/>
      </c>
      <c r="B103" s="47">
        <f>IF(_imp!$C$105="","",INDEX(_imp!$E$4:$E$1503,_imp!$C$105))</f>
        <v/>
      </c>
      <c r="C103" s="47">
        <f>IF(_imp!$C$105="","",INDEX(_imp!$F$4:$F$1503,_imp!$C$105))</f>
        <v/>
      </c>
      <c r="E103" s="47">
        <f>IF(_imp!$C$105="","",INDEX(_imp!$G$4:$G$1503,_imp!$C$105))</f>
        <v/>
      </c>
      <c r="F103" s="47">
        <f>IF(_imp!$C$105="","",INDEX(_imp!$H$4:$H$1503,_imp!$C$105))</f>
        <v/>
      </c>
      <c r="G103" s="47">
        <f>IF(_imp!$C$105="","",INDEX(_imp!$I$4:$I$1503,_imp!$C$105))</f>
        <v/>
      </c>
      <c r="K103" s="47">
        <f>IF(_imp!$C$105="","",INDEX(_imp!$J$4:$J$1503,_imp!$C$105))</f>
        <v/>
      </c>
    </row>
    <row r="104">
      <c r="A104" s="47">
        <f>IF(_imp!$C$106="","",INDEX(_imp!$D$4:$D$1503,_imp!$C$106))</f>
        <v/>
      </c>
      <c r="B104" s="47">
        <f>IF(_imp!$C$106="","",INDEX(_imp!$E$4:$E$1503,_imp!$C$106))</f>
        <v/>
      </c>
      <c r="C104" s="47">
        <f>IF(_imp!$C$106="","",INDEX(_imp!$F$4:$F$1503,_imp!$C$106))</f>
        <v/>
      </c>
      <c r="E104" s="47">
        <f>IF(_imp!$C$106="","",INDEX(_imp!$G$4:$G$1503,_imp!$C$106))</f>
        <v/>
      </c>
      <c r="F104" s="47">
        <f>IF(_imp!$C$106="","",INDEX(_imp!$H$4:$H$1503,_imp!$C$106))</f>
        <v/>
      </c>
      <c r="G104" s="47">
        <f>IF(_imp!$C$106="","",INDEX(_imp!$I$4:$I$1503,_imp!$C$106))</f>
        <v/>
      </c>
      <c r="K104" s="47">
        <f>IF(_imp!$C$106="","",INDEX(_imp!$J$4:$J$1503,_imp!$C$106))</f>
        <v/>
      </c>
    </row>
    <row r="105">
      <c r="A105" s="47">
        <f>IF(_imp!$C$107="","",INDEX(_imp!$D$4:$D$1503,_imp!$C$107))</f>
        <v/>
      </c>
      <c r="B105" s="47">
        <f>IF(_imp!$C$107="","",INDEX(_imp!$E$4:$E$1503,_imp!$C$107))</f>
        <v/>
      </c>
      <c r="C105" s="47">
        <f>IF(_imp!$C$107="","",INDEX(_imp!$F$4:$F$1503,_imp!$C$107))</f>
        <v/>
      </c>
      <c r="E105" s="47">
        <f>IF(_imp!$C$107="","",INDEX(_imp!$G$4:$G$1503,_imp!$C$107))</f>
        <v/>
      </c>
      <c r="F105" s="47">
        <f>IF(_imp!$C$107="","",INDEX(_imp!$H$4:$H$1503,_imp!$C$107))</f>
        <v/>
      </c>
      <c r="G105" s="47">
        <f>IF(_imp!$C$107="","",INDEX(_imp!$I$4:$I$1503,_imp!$C$107))</f>
        <v/>
      </c>
      <c r="K105" s="47">
        <f>IF(_imp!$C$107="","",INDEX(_imp!$J$4:$J$1503,_imp!$C$107))</f>
        <v/>
      </c>
    </row>
    <row r="106">
      <c r="A106" s="47">
        <f>IF(_imp!$C$108="","",INDEX(_imp!$D$4:$D$1503,_imp!$C$108))</f>
        <v/>
      </c>
      <c r="B106" s="47">
        <f>IF(_imp!$C$108="","",INDEX(_imp!$E$4:$E$1503,_imp!$C$108))</f>
        <v/>
      </c>
      <c r="C106" s="47">
        <f>IF(_imp!$C$108="","",INDEX(_imp!$F$4:$F$1503,_imp!$C$108))</f>
        <v/>
      </c>
      <c r="E106" s="47">
        <f>IF(_imp!$C$108="","",INDEX(_imp!$G$4:$G$1503,_imp!$C$108))</f>
        <v/>
      </c>
      <c r="F106" s="47">
        <f>IF(_imp!$C$108="","",INDEX(_imp!$H$4:$H$1503,_imp!$C$108))</f>
        <v/>
      </c>
      <c r="G106" s="47">
        <f>IF(_imp!$C$108="","",INDEX(_imp!$I$4:$I$1503,_imp!$C$108))</f>
        <v/>
      </c>
      <c r="K106" s="47">
        <f>IF(_imp!$C$108="","",INDEX(_imp!$J$4:$J$1503,_imp!$C$108))</f>
        <v/>
      </c>
    </row>
    <row r="107">
      <c r="A107" s="47">
        <f>IF(_imp!$C$109="","",INDEX(_imp!$D$4:$D$1503,_imp!$C$109))</f>
        <v/>
      </c>
      <c r="B107" s="47">
        <f>IF(_imp!$C$109="","",INDEX(_imp!$E$4:$E$1503,_imp!$C$109))</f>
        <v/>
      </c>
      <c r="C107" s="47">
        <f>IF(_imp!$C$109="","",INDEX(_imp!$F$4:$F$1503,_imp!$C$109))</f>
        <v/>
      </c>
      <c r="E107" s="47">
        <f>IF(_imp!$C$109="","",INDEX(_imp!$G$4:$G$1503,_imp!$C$109))</f>
        <v/>
      </c>
      <c r="F107" s="47">
        <f>IF(_imp!$C$109="","",INDEX(_imp!$H$4:$H$1503,_imp!$C$109))</f>
        <v/>
      </c>
      <c r="G107" s="47">
        <f>IF(_imp!$C$109="","",INDEX(_imp!$I$4:$I$1503,_imp!$C$109))</f>
        <v/>
      </c>
      <c r="K107" s="47">
        <f>IF(_imp!$C$109="","",INDEX(_imp!$J$4:$J$1503,_imp!$C$109))</f>
        <v/>
      </c>
    </row>
    <row r="108">
      <c r="A108" s="47">
        <f>IF(_imp!$C$110="","",INDEX(_imp!$D$4:$D$1503,_imp!$C$110))</f>
        <v/>
      </c>
      <c r="B108" s="47">
        <f>IF(_imp!$C$110="","",INDEX(_imp!$E$4:$E$1503,_imp!$C$110))</f>
        <v/>
      </c>
      <c r="C108" s="47">
        <f>IF(_imp!$C$110="","",INDEX(_imp!$F$4:$F$1503,_imp!$C$110))</f>
        <v/>
      </c>
      <c r="E108" s="47">
        <f>IF(_imp!$C$110="","",INDEX(_imp!$G$4:$G$1503,_imp!$C$110))</f>
        <v/>
      </c>
      <c r="F108" s="47">
        <f>IF(_imp!$C$110="","",INDEX(_imp!$H$4:$H$1503,_imp!$C$110))</f>
        <v/>
      </c>
      <c r="G108" s="47">
        <f>IF(_imp!$C$110="","",INDEX(_imp!$I$4:$I$1503,_imp!$C$110))</f>
        <v/>
      </c>
      <c r="K108" s="47">
        <f>IF(_imp!$C$110="","",INDEX(_imp!$J$4:$J$1503,_imp!$C$110))</f>
        <v/>
      </c>
    </row>
    <row r="109">
      <c r="A109" s="47">
        <f>IF(_imp!$C$111="","",INDEX(_imp!$D$4:$D$1503,_imp!$C$111))</f>
        <v/>
      </c>
      <c r="B109" s="47">
        <f>IF(_imp!$C$111="","",INDEX(_imp!$E$4:$E$1503,_imp!$C$111))</f>
        <v/>
      </c>
      <c r="C109" s="47">
        <f>IF(_imp!$C$111="","",INDEX(_imp!$F$4:$F$1503,_imp!$C$111))</f>
        <v/>
      </c>
      <c r="E109" s="47">
        <f>IF(_imp!$C$111="","",INDEX(_imp!$G$4:$G$1503,_imp!$C$111))</f>
        <v/>
      </c>
      <c r="F109" s="47">
        <f>IF(_imp!$C$111="","",INDEX(_imp!$H$4:$H$1503,_imp!$C$111))</f>
        <v/>
      </c>
      <c r="G109" s="47">
        <f>IF(_imp!$C$111="","",INDEX(_imp!$I$4:$I$1503,_imp!$C$111))</f>
        <v/>
      </c>
      <c r="K109" s="47">
        <f>IF(_imp!$C$111="","",INDEX(_imp!$J$4:$J$1503,_imp!$C$111))</f>
        <v/>
      </c>
    </row>
    <row r="110">
      <c r="A110" s="47">
        <f>IF(_imp!$C$112="","",INDEX(_imp!$D$4:$D$1503,_imp!$C$112))</f>
        <v/>
      </c>
      <c r="B110" s="47">
        <f>IF(_imp!$C$112="","",INDEX(_imp!$E$4:$E$1503,_imp!$C$112))</f>
        <v/>
      </c>
      <c r="C110" s="47">
        <f>IF(_imp!$C$112="","",INDEX(_imp!$F$4:$F$1503,_imp!$C$112))</f>
        <v/>
      </c>
      <c r="E110" s="47">
        <f>IF(_imp!$C$112="","",INDEX(_imp!$G$4:$G$1503,_imp!$C$112))</f>
        <v/>
      </c>
      <c r="F110" s="47">
        <f>IF(_imp!$C$112="","",INDEX(_imp!$H$4:$H$1503,_imp!$C$112))</f>
        <v/>
      </c>
      <c r="G110" s="47">
        <f>IF(_imp!$C$112="","",INDEX(_imp!$I$4:$I$1503,_imp!$C$112))</f>
        <v/>
      </c>
      <c r="K110" s="47">
        <f>IF(_imp!$C$112="","",INDEX(_imp!$J$4:$J$1503,_imp!$C$112))</f>
        <v/>
      </c>
    </row>
    <row r="111">
      <c r="A111" s="47">
        <f>IF(_imp!$C$113="","",INDEX(_imp!$D$4:$D$1503,_imp!$C$113))</f>
        <v/>
      </c>
      <c r="B111" s="47">
        <f>IF(_imp!$C$113="","",INDEX(_imp!$E$4:$E$1503,_imp!$C$113))</f>
        <v/>
      </c>
      <c r="C111" s="47">
        <f>IF(_imp!$C$113="","",INDEX(_imp!$F$4:$F$1503,_imp!$C$113))</f>
        <v/>
      </c>
      <c r="E111" s="47">
        <f>IF(_imp!$C$113="","",INDEX(_imp!$G$4:$G$1503,_imp!$C$113))</f>
        <v/>
      </c>
      <c r="F111" s="47">
        <f>IF(_imp!$C$113="","",INDEX(_imp!$H$4:$H$1503,_imp!$C$113))</f>
        <v/>
      </c>
      <c r="G111" s="47">
        <f>IF(_imp!$C$113="","",INDEX(_imp!$I$4:$I$1503,_imp!$C$113))</f>
        <v/>
      </c>
      <c r="K111" s="47">
        <f>IF(_imp!$C$113="","",INDEX(_imp!$J$4:$J$1503,_imp!$C$113))</f>
        <v/>
      </c>
    </row>
    <row r="112">
      <c r="A112" s="47">
        <f>IF(_imp!$C$114="","",INDEX(_imp!$D$4:$D$1503,_imp!$C$114))</f>
        <v/>
      </c>
      <c r="B112" s="47">
        <f>IF(_imp!$C$114="","",INDEX(_imp!$E$4:$E$1503,_imp!$C$114))</f>
        <v/>
      </c>
      <c r="C112" s="47">
        <f>IF(_imp!$C$114="","",INDEX(_imp!$F$4:$F$1503,_imp!$C$114))</f>
        <v/>
      </c>
      <c r="E112" s="47">
        <f>IF(_imp!$C$114="","",INDEX(_imp!$G$4:$G$1503,_imp!$C$114))</f>
        <v/>
      </c>
      <c r="F112" s="47">
        <f>IF(_imp!$C$114="","",INDEX(_imp!$H$4:$H$1503,_imp!$C$114))</f>
        <v/>
      </c>
      <c r="G112" s="47">
        <f>IF(_imp!$C$114="","",INDEX(_imp!$I$4:$I$1503,_imp!$C$114))</f>
        <v/>
      </c>
      <c r="K112" s="47">
        <f>IF(_imp!$C$114="","",INDEX(_imp!$J$4:$J$1503,_imp!$C$114))</f>
        <v/>
      </c>
    </row>
    <row r="113">
      <c r="A113" s="47">
        <f>IF(_imp!$C$115="","",INDEX(_imp!$D$4:$D$1503,_imp!$C$115))</f>
        <v/>
      </c>
      <c r="B113" s="47">
        <f>IF(_imp!$C$115="","",INDEX(_imp!$E$4:$E$1503,_imp!$C$115))</f>
        <v/>
      </c>
      <c r="C113" s="47">
        <f>IF(_imp!$C$115="","",INDEX(_imp!$F$4:$F$1503,_imp!$C$115))</f>
        <v/>
      </c>
      <c r="E113" s="47">
        <f>IF(_imp!$C$115="","",INDEX(_imp!$G$4:$G$1503,_imp!$C$115))</f>
        <v/>
      </c>
      <c r="F113" s="47">
        <f>IF(_imp!$C$115="","",INDEX(_imp!$H$4:$H$1503,_imp!$C$115))</f>
        <v/>
      </c>
      <c r="G113" s="47">
        <f>IF(_imp!$C$115="","",INDEX(_imp!$I$4:$I$1503,_imp!$C$115))</f>
        <v/>
      </c>
      <c r="K113" s="47">
        <f>IF(_imp!$C$115="","",INDEX(_imp!$J$4:$J$1503,_imp!$C$115))</f>
        <v/>
      </c>
    </row>
    <row r="114">
      <c r="A114" s="47">
        <f>IF(_imp!$C$116="","",INDEX(_imp!$D$4:$D$1503,_imp!$C$116))</f>
        <v/>
      </c>
      <c r="B114" s="47">
        <f>IF(_imp!$C$116="","",INDEX(_imp!$E$4:$E$1503,_imp!$C$116))</f>
        <v/>
      </c>
      <c r="C114" s="47">
        <f>IF(_imp!$C$116="","",INDEX(_imp!$F$4:$F$1503,_imp!$C$116))</f>
        <v/>
      </c>
      <c r="E114" s="47">
        <f>IF(_imp!$C$116="","",INDEX(_imp!$G$4:$G$1503,_imp!$C$116))</f>
        <v/>
      </c>
      <c r="F114" s="47">
        <f>IF(_imp!$C$116="","",INDEX(_imp!$H$4:$H$1503,_imp!$C$116))</f>
        <v/>
      </c>
      <c r="G114" s="47">
        <f>IF(_imp!$C$116="","",INDEX(_imp!$I$4:$I$1503,_imp!$C$116))</f>
        <v/>
      </c>
      <c r="K114" s="47">
        <f>IF(_imp!$C$116="","",INDEX(_imp!$J$4:$J$1503,_imp!$C$116))</f>
        <v/>
      </c>
    </row>
    <row r="115">
      <c r="A115" s="47">
        <f>IF(_imp!$C$117="","",INDEX(_imp!$D$4:$D$1503,_imp!$C$117))</f>
        <v/>
      </c>
      <c r="B115" s="47">
        <f>IF(_imp!$C$117="","",INDEX(_imp!$E$4:$E$1503,_imp!$C$117))</f>
        <v/>
      </c>
      <c r="C115" s="47">
        <f>IF(_imp!$C$117="","",INDEX(_imp!$F$4:$F$1503,_imp!$C$117))</f>
        <v/>
      </c>
      <c r="E115" s="47">
        <f>IF(_imp!$C$117="","",INDEX(_imp!$G$4:$G$1503,_imp!$C$117))</f>
        <v/>
      </c>
      <c r="F115" s="47">
        <f>IF(_imp!$C$117="","",INDEX(_imp!$H$4:$H$1503,_imp!$C$117))</f>
        <v/>
      </c>
      <c r="G115" s="47">
        <f>IF(_imp!$C$117="","",INDEX(_imp!$I$4:$I$1503,_imp!$C$117))</f>
        <v/>
      </c>
      <c r="K115" s="47">
        <f>IF(_imp!$C$117="","",INDEX(_imp!$J$4:$J$1503,_imp!$C$117))</f>
        <v/>
      </c>
    </row>
    <row r="116">
      <c r="A116" s="47">
        <f>IF(_imp!$C$118="","",INDEX(_imp!$D$4:$D$1503,_imp!$C$118))</f>
        <v/>
      </c>
      <c r="B116" s="47">
        <f>IF(_imp!$C$118="","",INDEX(_imp!$E$4:$E$1503,_imp!$C$118))</f>
        <v/>
      </c>
      <c r="C116" s="47">
        <f>IF(_imp!$C$118="","",INDEX(_imp!$F$4:$F$1503,_imp!$C$118))</f>
        <v/>
      </c>
      <c r="E116" s="47">
        <f>IF(_imp!$C$118="","",INDEX(_imp!$G$4:$G$1503,_imp!$C$118))</f>
        <v/>
      </c>
      <c r="F116" s="47">
        <f>IF(_imp!$C$118="","",INDEX(_imp!$H$4:$H$1503,_imp!$C$118))</f>
        <v/>
      </c>
      <c r="G116" s="47">
        <f>IF(_imp!$C$118="","",INDEX(_imp!$I$4:$I$1503,_imp!$C$118))</f>
        <v/>
      </c>
      <c r="K116" s="47">
        <f>IF(_imp!$C$118="","",INDEX(_imp!$J$4:$J$1503,_imp!$C$118))</f>
        <v/>
      </c>
    </row>
    <row r="117">
      <c r="A117" s="47">
        <f>IF(_imp!$C$119="","",INDEX(_imp!$D$4:$D$1503,_imp!$C$119))</f>
        <v/>
      </c>
      <c r="B117" s="47">
        <f>IF(_imp!$C$119="","",INDEX(_imp!$E$4:$E$1503,_imp!$C$119))</f>
        <v/>
      </c>
      <c r="C117" s="47">
        <f>IF(_imp!$C$119="","",INDEX(_imp!$F$4:$F$1503,_imp!$C$119))</f>
        <v/>
      </c>
      <c r="E117" s="47">
        <f>IF(_imp!$C$119="","",INDEX(_imp!$G$4:$G$1503,_imp!$C$119))</f>
        <v/>
      </c>
      <c r="F117" s="47">
        <f>IF(_imp!$C$119="","",INDEX(_imp!$H$4:$H$1503,_imp!$C$119))</f>
        <v/>
      </c>
      <c r="G117" s="47">
        <f>IF(_imp!$C$119="","",INDEX(_imp!$I$4:$I$1503,_imp!$C$119))</f>
        <v/>
      </c>
      <c r="K117" s="47">
        <f>IF(_imp!$C$119="","",INDEX(_imp!$J$4:$J$1503,_imp!$C$119))</f>
        <v/>
      </c>
    </row>
    <row r="118">
      <c r="A118" s="47">
        <f>IF(_imp!$C$120="","",INDEX(_imp!$D$4:$D$1503,_imp!$C$120))</f>
        <v/>
      </c>
      <c r="B118" s="47">
        <f>IF(_imp!$C$120="","",INDEX(_imp!$E$4:$E$1503,_imp!$C$120))</f>
        <v/>
      </c>
      <c r="C118" s="47">
        <f>IF(_imp!$C$120="","",INDEX(_imp!$F$4:$F$1503,_imp!$C$120))</f>
        <v/>
      </c>
      <c r="E118" s="47">
        <f>IF(_imp!$C$120="","",INDEX(_imp!$G$4:$G$1503,_imp!$C$120))</f>
        <v/>
      </c>
      <c r="F118" s="47">
        <f>IF(_imp!$C$120="","",INDEX(_imp!$H$4:$H$1503,_imp!$C$120))</f>
        <v/>
      </c>
      <c r="G118" s="47">
        <f>IF(_imp!$C$120="","",INDEX(_imp!$I$4:$I$1503,_imp!$C$120))</f>
        <v/>
      </c>
      <c r="K118" s="47">
        <f>IF(_imp!$C$120="","",INDEX(_imp!$J$4:$J$1503,_imp!$C$120))</f>
        <v/>
      </c>
    </row>
    <row r="119">
      <c r="A119" s="47">
        <f>IF(_imp!$C$121="","",INDEX(_imp!$D$4:$D$1503,_imp!$C$121))</f>
        <v/>
      </c>
      <c r="B119" s="47">
        <f>IF(_imp!$C$121="","",INDEX(_imp!$E$4:$E$1503,_imp!$C$121))</f>
        <v/>
      </c>
      <c r="C119" s="47">
        <f>IF(_imp!$C$121="","",INDEX(_imp!$F$4:$F$1503,_imp!$C$121))</f>
        <v/>
      </c>
      <c r="E119" s="47">
        <f>IF(_imp!$C$121="","",INDEX(_imp!$G$4:$G$1503,_imp!$C$121))</f>
        <v/>
      </c>
      <c r="F119" s="47">
        <f>IF(_imp!$C$121="","",INDEX(_imp!$H$4:$H$1503,_imp!$C$121))</f>
        <v/>
      </c>
      <c r="G119" s="47">
        <f>IF(_imp!$C$121="","",INDEX(_imp!$I$4:$I$1503,_imp!$C$121))</f>
        <v/>
      </c>
      <c r="K119" s="47">
        <f>IF(_imp!$C$121="","",INDEX(_imp!$J$4:$J$1503,_imp!$C$121))</f>
        <v/>
      </c>
    </row>
    <row r="120">
      <c r="A120" s="47">
        <f>IF(_imp!$C$122="","",INDEX(_imp!$D$4:$D$1503,_imp!$C$122))</f>
        <v/>
      </c>
      <c r="B120" s="47">
        <f>IF(_imp!$C$122="","",INDEX(_imp!$E$4:$E$1503,_imp!$C$122))</f>
        <v/>
      </c>
      <c r="C120" s="47">
        <f>IF(_imp!$C$122="","",INDEX(_imp!$F$4:$F$1503,_imp!$C$122))</f>
        <v/>
      </c>
      <c r="E120" s="47">
        <f>IF(_imp!$C$122="","",INDEX(_imp!$G$4:$G$1503,_imp!$C$122))</f>
        <v/>
      </c>
      <c r="F120" s="47">
        <f>IF(_imp!$C$122="","",INDEX(_imp!$H$4:$H$1503,_imp!$C$122))</f>
        <v/>
      </c>
      <c r="G120" s="47">
        <f>IF(_imp!$C$122="","",INDEX(_imp!$I$4:$I$1503,_imp!$C$122))</f>
        <v/>
      </c>
      <c r="K120" s="47">
        <f>IF(_imp!$C$122="","",INDEX(_imp!$J$4:$J$1503,_imp!$C$122))</f>
        <v/>
      </c>
    </row>
    <row r="121">
      <c r="A121" s="47">
        <f>IF(_imp!$C$123="","",INDEX(_imp!$D$4:$D$1503,_imp!$C$123))</f>
        <v/>
      </c>
      <c r="B121" s="47">
        <f>IF(_imp!$C$123="","",INDEX(_imp!$E$4:$E$1503,_imp!$C$123))</f>
        <v/>
      </c>
      <c r="C121" s="47">
        <f>IF(_imp!$C$123="","",INDEX(_imp!$F$4:$F$1503,_imp!$C$123))</f>
        <v/>
      </c>
      <c r="E121" s="47">
        <f>IF(_imp!$C$123="","",INDEX(_imp!$G$4:$G$1503,_imp!$C$123))</f>
        <v/>
      </c>
      <c r="F121" s="47">
        <f>IF(_imp!$C$123="","",INDEX(_imp!$H$4:$H$1503,_imp!$C$123))</f>
        <v/>
      </c>
      <c r="G121" s="47">
        <f>IF(_imp!$C$123="","",INDEX(_imp!$I$4:$I$1503,_imp!$C$123))</f>
        <v/>
      </c>
      <c r="K121" s="47">
        <f>IF(_imp!$C$123="","",INDEX(_imp!$J$4:$J$1503,_imp!$C$123))</f>
        <v/>
      </c>
    </row>
    <row r="122">
      <c r="A122" s="47">
        <f>IF(_imp!$C$124="","",INDEX(_imp!$D$4:$D$1503,_imp!$C$124))</f>
        <v/>
      </c>
      <c r="B122" s="47">
        <f>IF(_imp!$C$124="","",INDEX(_imp!$E$4:$E$1503,_imp!$C$124))</f>
        <v/>
      </c>
      <c r="C122" s="47">
        <f>IF(_imp!$C$124="","",INDEX(_imp!$F$4:$F$1503,_imp!$C$124))</f>
        <v/>
      </c>
      <c r="E122" s="47">
        <f>IF(_imp!$C$124="","",INDEX(_imp!$G$4:$G$1503,_imp!$C$124))</f>
        <v/>
      </c>
      <c r="F122" s="47">
        <f>IF(_imp!$C$124="","",INDEX(_imp!$H$4:$H$1503,_imp!$C$124))</f>
        <v/>
      </c>
      <c r="G122" s="47">
        <f>IF(_imp!$C$124="","",INDEX(_imp!$I$4:$I$1503,_imp!$C$124))</f>
        <v/>
      </c>
      <c r="K122" s="47">
        <f>IF(_imp!$C$124="","",INDEX(_imp!$J$4:$J$1503,_imp!$C$124))</f>
        <v/>
      </c>
    </row>
    <row r="123">
      <c r="A123" s="47">
        <f>IF(_imp!$C$125="","",INDEX(_imp!$D$4:$D$1503,_imp!$C$125))</f>
        <v/>
      </c>
      <c r="B123" s="47">
        <f>IF(_imp!$C$125="","",INDEX(_imp!$E$4:$E$1503,_imp!$C$125))</f>
        <v/>
      </c>
      <c r="C123" s="47">
        <f>IF(_imp!$C$125="","",INDEX(_imp!$F$4:$F$1503,_imp!$C$125))</f>
        <v/>
      </c>
      <c r="E123" s="47">
        <f>IF(_imp!$C$125="","",INDEX(_imp!$G$4:$G$1503,_imp!$C$125))</f>
        <v/>
      </c>
      <c r="F123" s="47">
        <f>IF(_imp!$C$125="","",INDEX(_imp!$H$4:$H$1503,_imp!$C$125))</f>
        <v/>
      </c>
      <c r="G123" s="47">
        <f>IF(_imp!$C$125="","",INDEX(_imp!$I$4:$I$1503,_imp!$C$125))</f>
        <v/>
      </c>
      <c r="K123" s="47">
        <f>IF(_imp!$C$125="","",INDEX(_imp!$J$4:$J$1503,_imp!$C$125))</f>
        <v/>
      </c>
    </row>
    <row r="124">
      <c r="A124" s="47">
        <f>IF(_imp!$C$126="","",INDEX(_imp!$D$4:$D$1503,_imp!$C$126))</f>
        <v/>
      </c>
      <c r="B124" s="47">
        <f>IF(_imp!$C$126="","",INDEX(_imp!$E$4:$E$1503,_imp!$C$126))</f>
        <v/>
      </c>
      <c r="C124" s="47">
        <f>IF(_imp!$C$126="","",INDEX(_imp!$F$4:$F$1503,_imp!$C$126))</f>
        <v/>
      </c>
      <c r="E124" s="47">
        <f>IF(_imp!$C$126="","",INDEX(_imp!$G$4:$G$1503,_imp!$C$126))</f>
        <v/>
      </c>
      <c r="F124" s="47">
        <f>IF(_imp!$C$126="","",INDEX(_imp!$H$4:$H$1503,_imp!$C$126))</f>
        <v/>
      </c>
      <c r="G124" s="47">
        <f>IF(_imp!$C$126="","",INDEX(_imp!$I$4:$I$1503,_imp!$C$126))</f>
        <v/>
      </c>
      <c r="K124" s="47">
        <f>IF(_imp!$C$126="","",INDEX(_imp!$J$4:$J$1503,_imp!$C$126))</f>
        <v/>
      </c>
    </row>
    <row r="125">
      <c r="A125" s="47">
        <f>IF(_imp!$C$127="","",INDEX(_imp!$D$4:$D$1503,_imp!$C$127))</f>
        <v/>
      </c>
      <c r="B125" s="47">
        <f>IF(_imp!$C$127="","",INDEX(_imp!$E$4:$E$1503,_imp!$C$127))</f>
        <v/>
      </c>
      <c r="C125" s="47">
        <f>IF(_imp!$C$127="","",INDEX(_imp!$F$4:$F$1503,_imp!$C$127))</f>
        <v/>
      </c>
      <c r="E125" s="47">
        <f>IF(_imp!$C$127="","",INDEX(_imp!$G$4:$G$1503,_imp!$C$127))</f>
        <v/>
      </c>
      <c r="F125" s="47">
        <f>IF(_imp!$C$127="","",INDEX(_imp!$H$4:$H$1503,_imp!$C$127))</f>
        <v/>
      </c>
      <c r="G125" s="47">
        <f>IF(_imp!$C$127="","",INDEX(_imp!$I$4:$I$1503,_imp!$C$127))</f>
        <v/>
      </c>
      <c r="K125" s="47">
        <f>IF(_imp!$C$127="","",INDEX(_imp!$J$4:$J$1503,_imp!$C$127))</f>
        <v/>
      </c>
    </row>
    <row r="126">
      <c r="A126" s="47">
        <f>IF(_imp!$C$128="","",INDEX(_imp!$D$4:$D$1503,_imp!$C$128))</f>
        <v/>
      </c>
      <c r="B126" s="47">
        <f>IF(_imp!$C$128="","",INDEX(_imp!$E$4:$E$1503,_imp!$C$128))</f>
        <v/>
      </c>
      <c r="C126" s="47">
        <f>IF(_imp!$C$128="","",INDEX(_imp!$F$4:$F$1503,_imp!$C$128))</f>
        <v/>
      </c>
      <c r="E126" s="47">
        <f>IF(_imp!$C$128="","",INDEX(_imp!$G$4:$G$1503,_imp!$C$128))</f>
        <v/>
      </c>
      <c r="F126" s="47">
        <f>IF(_imp!$C$128="","",INDEX(_imp!$H$4:$H$1503,_imp!$C$128))</f>
        <v/>
      </c>
      <c r="G126" s="47">
        <f>IF(_imp!$C$128="","",INDEX(_imp!$I$4:$I$1503,_imp!$C$128))</f>
        <v/>
      </c>
      <c r="K126" s="47">
        <f>IF(_imp!$C$128="","",INDEX(_imp!$J$4:$J$1503,_imp!$C$128))</f>
        <v/>
      </c>
    </row>
    <row r="127">
      <c r="A127" s="47">
        <f>IF(_imp!$C$129="","",INDEX(_imp!$D$4:$D$1503,_imp!$C$129))</f>
        <v/>
      </c>
      <c r="B127" s="47">
        <f>IF(_imp!$C$129="","",INDEX(_imp!$E$4:$E$1503,_imp!$C$129))</f>
        <v/>
      </c>
      <c r="C127" s="47">
        <f>IF(_imp!$C$129="","",INDEX(_imp!$F$4:$F$1503,_imp!$C$129))</f>
        <v/>
      </c>
      <c r="E127" s="47">
        <f>IF(_imp!$C$129="","",INDEX(_imp!$G$4:$G$1503,_imp!$C$129))</f>
        <v/>
      </c>
      <c r="F127" s="47">
        <f>IF(_imp!$C$129="","",INDEX(_imp!$H$4:$H$1503,_imp!$C$129))</f>
        <v/>
      </c>
      <c r="G127" s="47">
        <f>IF(_imp!$C$129="","",INDEX(_imp!$I$4:$I$1503,_imp!$C$129))</f>
        <v/>
      </c>
      <c r="K127" s="47">
        <f>IF(_imp!$C$129="","",INDEX(_imp!$J$4:$J$1503,_imp!$C$129))</f>
        <v/>
      </c>
    </row>
    <row r="128">
      <c r="A128" s="47">
        <f>IF(_imp!$C$130="","",INDEX(_imp!$D$4:$D$1503,_imp!$C$130))</f>
        <v/>
      </c>
      <c r="B128" s="47">
        <f>IF(_imp!$C$130="","",INDEX(_imp!$E$4:$E$1503,_imp!$C$130))</f>
        <v/>
      </c>
      <c r="C128" s="47">
        <f>IF(_imp!$C$130="","",INDEX(_imp!$F$4:$F$1503,_imp!$C$130))</f>
        <v/>
      </c>
      <c r="E128" s="47">
        <f>IF(_imp!$C$130="","",INDEX(_imp!$G$4:$G$1503,_imp!$C$130))</f>
        <v/>
      </c>
      <c r="F128" s="47">
        <f>IF(_imp!$C$130="","",INDEX(_imp!$H$4:$H$1503,_imp!$C$130))</f>
        <v/>
      </c>
      <c r="G128" s="47">
        <f>IF(_imp!$C$130="","",INDEX(_imp!$I$4:$I$1503,_imp!$C$130))</f>
        <v/>
      </c>
      <c r="K128" s="47">
        <f>IF(_imp!$C$130="","",INDEX(_imp!$J$4:$J$1503,_imp!$C$130))</f>
        <v/>
      </c>
    </row>
    <row r="129">
      <c r="A129" s="47">
        <f>IF(_imp!$C$131="","",INDEX(_imp!$D$4:$D$1503,_imp!$C$131))</f>
        <v/>
      </c>
      <c r="B129" s="47">
        <f>IF(_imp!$C$131="","",INDEX(_imp!$E$4:$E$1503,_imp!$C$131))</f>
        <v/>
      </c>
      <c r="C129" s="47">
        <f>IF(_imp!$C$131="","",INDEX(_imp!$F$4:$F$1503,_imp!$C$131))</f>
        <v/>
      </c>
      <c r="E129" s="47">
        <f>IF(_imp!$C$131="","",INDEX(_imp!$G$4:$G$1503,_imp!$C$131))</f>
        <v/>
      </c>
      <c r="F129" s="47">
        <f>IF(_imp!$C$131="","",INDEX(_imp!$H$4:$H$1503,_imp!$C$131))</f>
        <v/>
      </c>
      <c r="G129" s="47">
        <f>IF(_imp!$C$131="","",INDEX(_imp!$I$4:$I$1503,_imp!$C$131))</f>
        <v/>
      </c>
      <c r="K129" s="47">
        <f>IF(_imp!$C$131="","",INDEX(_imp!$J$4:$J$1503,_imp!$C$131))</f>
        <v/>
      </c>
    </row>
    <row r="130">
      <c r="A130" s="47">
        <f>IF(_imp!$C$132="","",INDEX(_imp!$D$4:$D$1503,_imp!$C$132))</f>
        <v/>
      </c>
      <c r="B130" s="47">
        <f>IF(_imp!$C$132="","",INDEX(_imp!$E$4:$E$1503,_imp!$C$132))</f>
        <v/>
      </c>
      <c r="C130" s="47">
        <f>IF(_imp!$C$132="","",INDEX(_imp!$F$4:$F$1503,_imp!$C$132))</f>
        <v/>
      </c>
      <c r="E130" s="47">
        <f>IF(_imp!$C$132="","",INDEX(_imp!$G$4:$G$1503,_imp!$C$132))</f>
        <v/>
      </c>
      <c r="F130" s="47">
        <f>IF(_imp!$C$132="","",INDEX(_imp!$H$4:$H$1503,_imp!$C$132))</f>
        <v/>
      </c>
      <c r="G130" s="47">
        <f>IF(_imp!$C$132="","",INDEX(_imp!$I$4:$I$1503,_imp!$C$132))</f>
        <v/>
      </c>
      <c r="K130" s="47">
        <f>IF(_imp!$C$132="","",INDEX(_imp!$J$4:$J$1503,_imp!$C$132))</f>
        <v/>
      </c>
    </row>
    <row r="131">
      <c r="A131" s="47">
        <f>IF(_imp!$C$133="","",INDEX(_imp!$D$4:$D$1503,_imp!$C$133))</f>
        <v/>
      </c>
      <c r="B131" s="47">
        <f>IF(_imp!$C$133="","",INDEX(_imp!$E$4:$E$1503,_imp!$C$133))</f>
        <v/>
      </c>
      <c r="C131" s="47">
        <f>IF(_imp!$C$133="","",INDEX(_imp!$F$4:$F$1503,_imp!$C$133))</f>
        <v/>
      </c>
      <c r="E131" s="47">
        <f>IF(_imp!$C$133="","",INDEX(_imp!$G$4:$G$1503,_imp!$C$133))</f>
        <v/>
      </c>
      <c r="F131" s="47">
        <f>IF(_imp!$C$133="","",INDEX(_imp!$H$4:$H$1503,_imp!$C$133))</f>
        <v/>
      </c>
      <c r="G131" s="47">
        <f>IF(_imp!$C$133="","",INDEX(_imp!$I$4:$I$1503,_imp!$C$133))</f>
        <v/>
      </c>
      <c r="K131" s="47">
        <f>IF(_imp!$C$133="","",INDEX(_imp!$J$4:$J$1503,_imp!$C$133))</f>
        <v/>
      </c>
    </row>
    <row r="132">
      <c r="A132" s="47">
        <f>IF(_imp!$C$134="","",INDEX(_imp!$D$4:$D$1503,_imp!$C$134))</f>
        <v/>
      </c>
      <c r="B132" s="47">
        <f>IF(_imp!$C$134="","",INDEX(_imp!$E$4:$E$1503,_imp!$C$134))</f>
        <v/>
      </c>
      <c r="C132" s="47">
        <f>IF(_imp!$C$134="","",INDEX(_imp!$F$4:$F$1503,_imp!$C$134))</f>
        <v/>
      </c>
      <c r="E132" s="47">
        <f>IF(_imp!$C$134="","",INDEX(_imp!$G$4:$G$1503,_imp!$C$134))</f>
        <v/>
      </c>
      <c r="F132" s="47">
        <f>IF(_imp!$C$134="","",INDEX(_imp!$H$4:$H$1503,_imp!$C$134))</f>
        <v/>
      </c>
      <c r="G132" s="47">
        <f>IF(_imp!$C$134="","",INDEX(_imp!$I$4:$I$1503,_imp!$C$134))</f>
        <v/>
      </c>
      <c r="K132" s="47">
        <f>IF(_imp!$C$134="","",INDEX(_imp!$J$4:$J$1503,_imp!$C$134))</f>
        <v/>
      </c>
    </row>
    <row r="133">
      <c r="A133" s="47">
        <f>IF(_imp!$C$135="","",INDEX(_imp!$D$4:$D$1503,_imp!$C$135))</f>
        <v/>
      </c>
      <c r="B133" s="47">
        <f>IF(_imp!$C$135="","",INDEX(_imp!$E$4:$E$1503,_imp!$C$135))</f>
        <v/>
      </c>
      <c r="C133" s="47">
        <f>IF(_imp!$C$135="","",INDEX(_imp!$F$4:$F$1503,_imp!$C$135))</f>
        <v/>
      </c>
      <c r="E133" s="47">
        <f>IF(_imp!$C$135="","",INDEX(_imp!$G$4:$G$1503,_imp!$C$135))</f>
        <v/>
      </c>
      <c r="F133" s="47">
        <f>IF(_imp!$C$135="","",INDEX(_imp!$H$4:$H$1503,_imp!$C$135))</f>
        <v/>
      </c>
      <c r="G133" s="47">
        <f>IF(_imp!$C$135="","",INDEX(_imp!$I$4:$I$1503,_imp!$C$135))</f>
        <v/>
      </c>
      <c r="K133" s="47">
        <f>IF(_imp!$C$135="","",INDEX(_imp!$J$4:$J$1503,_imp!$C$135))</f>
        <v/>
      </c>
    </row>
    <row r="134">
      <c r="A134" s="47">
        <f>IF(_imp!$C$136="","",INDEX(_imp!$D$4:$D$1503,_imp!$C$136))</f>
        <v/>
      </c>
      <c r="B134" s="47">
        <f>IF(_imp!$C$136="","",INDEX(_imp!$E$4:$E$1503,_imp!$C$136))</f>
        <v/>
      </c>
      <c r="C134" s="47">
        <f>IF(_imp!$C$136="","",INDEX(_imp!$F$4:$F$1503,_imp!$C$136))</f>
        <v/>
      </c>
      <c r="E134" s="47">
        <f>IF(_imp!$C$136="","",INDEX(_imp!$G$4:$G$1503,_imp!$C$136))</f>
        <v/>
      </c>
      <c r="F134" s="47">
        <f>IF(_imp!$C$136="","",INDEX(_imp!$H$4:$H$1503,_imp!$C$136))</f>
        <v/>
      </c>
      <c r="G134" s="47">
        <f>IF(_imp!$C$136="","",INDEX(_imp!$I$4:$I$1503,_imp!$C$136))</f>
        <v/>
      </c>
      <c r="K134" s="47">
        <f>IF(_imp!$C$136="","",INDEX(_imp!$J$4:$J$1503,_imp!$C$136))</f>
        <v/>
      </c>
    </row>
    <row r="135">
      <c r="A135" s="47">
        <f>IF(_imp!$C$137="","",INDEX(_imp!$D$4:$D$1503,_imp!$C$137))</f>
        <v/>
      </c>
      <c r="B135" s="47">
        <f>IF(_imp!$C$137="","",INDEX(_imp!$E$4:$E$1503,_imp!$C$137))</f>
        <v/>
      </c>
      <c r="C135" s="47">
        <f>IF(_imp!$C$137="","",INDEX(_imp!$F$4:$F$1503,_imp!$C$137))</f>
        <v/>
      </c>
      <c r="E135" s="47">
        <f>IF(_imp!$C$137="","",INDEX(_imp!$G$4:$G$1503,_imp!$C$137))</f>
        <v/>
      </c>
      <c r="F135" s="47">
        <f>IF(_imp!$C$137="","",INDEX(_imp!$H$4:$H$1503,_imp!$C$137))</f>
        <v/>
      </c>
      <c r="G135" s="47">
        <f>IF(_imp!$C$137="","",INDEX(_imp!$I$4:$I$1503,_imp!$C$137))</f>
        <v/>
      </c>
      <c r="K135" s="47">
        <f>IF(_imp!$C$137="","",INDEX(_imp!$J$4:$J$1503,_imp!$C$137))</f>
        <v/>
      </c>
    </row>
    <row r="136">
      <c r="A136" s="47">
        <f>IF(_imp!$C$138="","",INDEX(_imp!$D$4:$D$1503,_imp!$C$138))</f>
        <v/>
      </c>
      <c r="B136" s="47">
        <f>IF(_imp!$C$138="","",INDEX(_imp!$E$4:$E$1503,_imp!$C$138))</f>
        <v/>
      </c>
      <c r="C136" s="47">
        <f>IF(_imp!$C$138="","",INDEX(_imp!$F$4:$F$1503,_imp!$C$138))</f>
        <v/>
      </c>
      <c r="E136" s="47">
        <f>IF(_imp!$C$138="","",INDEX(_imp!$G$4:$G$1503,_imp!$C$138))</f>
        <v/>
      </c>
      <c r="F136" s="47">
        <f>IF(_imp!$C$138="","",INDEX(_imp!$H$4:$H$1503,_imp!$C$138))</f>
        <v/>
      </c>
      <c r="G136" s="47">
        <f>IF(_imp!$C$138="","",INDEX(_imp!$I$4:$I$1503,_imp!$C$138))</f>
        <v/>
      </c>
      <c r="K136" s="47">
        <f>IF(_imp!$C$138="","",INDEX(_imp!$J$4:$J$1503,_imp!$C$138))</f>
        <v/>
      </c>
    </row>
    <row r="137">
      <c r="A137" s="47">
        <f>IF(_imp!$C$139="","",INDEX(_imp!$D$4:$D$1503,_imp!$C$139))</f>
        <v/>
      </c>
      <c r="B137" s="47">
        <f>IF(_imp!$C$139="","",INDEX(_imp!$E$4:$E$1503,_imp!$C$139))</f>
        <v/>
      </c>
      <c r="C137" s="47">
        <f>IF(_imp!$C$139="","",INDEX(_imp!$F$4:$F$1503,_imp!$C$139))</f>
        <v/>
      </c>
      <c r="E137" s="47">
        <f>IF(_imp!$C$139="","",INDEX(_imp!$G$4:$G$1503,_imp!$C$139))</f>
        <v/>
      </c>
      <c r="F137" s="47">
        <f>IF(_imp!$C$139="","",INDEX(_imp!$H$4:$H$1503,_imp!$C$139))</f>
        <v/>
      </c>
      <c r="G137" s="47">
        <f>IF(_imp!$C$139="","",INDEX(_imp!$I$4:$I$1503,_imp!$C$139))</f>
        <v/>
      </c>
      <c r="K137" s="47">
        <f>IF(_imp!$C$139="","",INDEX(_imp!$J$4:$J$1503,_imp!$C$139))</f>
        <v/>
      </c>
    </row>
    <row r="138">
      <c r="A138" s="47">
        <f>IF(_imp!$C$140="","",INDEX(_imp!$D$4:$D$1503,_imp!$C$140))</f>
        <v/>
      </c>
      <c r="B138" s="47">
        <f>IF(_imp!$C$140="","",INDEX(_imp!$E$4:$E$1503,_imp!$C$140))</f>
        <v/>
      </c>
      <c r="C138" s="47">
        <f>IF(_imp!$C$140="","",INDEX(_imp!$F$4:$F$1503,_imp!$C$140))</f>
        <v/>
      </c>
      <c r="E138" s="47">
        <f>IF(_imp!$C$140="","",INDEX(_imp!$G$4:$G$1503,_imp!$C$140))</f>
        <v/>
      </c>
      <c r="F138" s="47">
        <f>IF(_imp!$C$140="","",INDEX(_imp!$H$4:$H$1503,_imp!$C$140))</f>
        <v/>
      </c>
      <c r="G138" s="47">
        <f>IF(_imp!$C$140="","",INDEX(_imp!$I$4:$I$1503,_imp!$C$140))</f>
        <v/>
      </c>
      <c r="K138" s="47">
        <f>IF(_imp!$C$140="","",INDEX(_imp!$J$4:$J$1503,_imp!$C$140))</f>
        <v/>
      </c>
    </row>
    <row r="139">
      <c r="A139" s="47">
        <f>IF(_imp!$C$141="","",INDEX(_imp!$D$4:$D$1503,_imp!$C$141))</f>
        <v/>
      </c>
      <c r="B139" s="47">
        <f>IF(_imp!$C$141="","",INDEX(_imp!$E$4:$E$1503,_imp!$C$141))</f>
        <v/>
      </c>
      <c r="C139" s="47">
        <f>IF(_imp!$C$141="","",INDEX(_imp!$F$4:$F$1503,_imp!$C$141))</f>
        <v/>
      </c>
      <c r="E139" s="47">
        <f>IF(_imp!$C$141="","",INDEX(_imp!$G$4:$G$1503,_imp!$C$141))</f>
        <v/>
      </c>
      <c r="F139" s="47">
        <f>IF(_imp!$C$141="","",INDEX(_imp!$H$4:$H$1503,_imp!$C$141))</f>
        <v/>
      </c>
      <c r="G139" s="47">
        <f>IF(_imp!$C$141="","",INDEX(_imp!$I$4:$I$1503,_imp!$C$141))</f>
        <v/>
      </c>
      <c r="K139" s="47">
        <f>IF(_imp!$C$141="","",INDEX(_imp!$J$4:$J$1503,_imp!$C$141))</f>
        <v/>
      </c>
    </row>
    <row r="140">
      <c r="A140" s="47">
        <f>IF(_imp!$C$142="","",INDEX(_imp!$D$4:$D$1503,_imp!$C$142))</f>
        <v/>
      </c>
      <c r="B140" s="47">
        <f>IF(_imp!$C$142="","",INDEX(_imp!$E$4:$E$1503,_imp!$C$142))</f>
        <v/>
      </c>
      <c r="C140" s="47">
        <f>IF(_imp!$C$142="","",INDEX(_imp!$F$4:$F$1503,_imp!$C$142))</f>
        <v/>
      </c>
      <c r="E140" s="47">
        <f>IF(_imp!$C$142="","",INDEX(_imp!$G$4:$G$1503,_imp!$C$142))</f>
        <v/>
      </c>
      <c r="F140" s="47">
        <f>IF(_imp!$C$142="","",INDEX(_imp!$H$4:$H$1503,_imp!$C$142))</f>
        <v/>
      </c>
      <c r="G140" s="47">
        <f>IF(_imp!$C$142="","",INDEX(_imp!$I$4:$I$1503,_imp!$C$142))</f>
        <v/>
      </c>
      <c r="K140" s="47">
        <f>IF(_imp!$C$142="","",INDEX(_imp!$J$4:$J$1503,_imp!$C$142))</f>
        <v/>
      </c>
    </row>
    <row r="141">
      <c r="A141" s="47">
        <f>IF(_imp!$C$143="","",INDEX(_imp!$D$4:$D$1503,_imp!$C$143))</f>
        <v/>
      </c>
      <c r="B141" s="47">
        <f>IF(_imp!$C$143="","",INDEX(_imp!$E$4:$E$1503,_imp!$C$143))</f>
        <v/>
      </c>
      <c r="C141" s="47">
        <f>IF(_imp!$C$143="","",INDEX(_imp!$F$4:$F$1503,_imp!$C$143))</f>
        <v/>
      </c>
      <c r="E141" s="47">
        <f>IF(_imp!$C$143="","",INDEX(_imp!$G$4:$G$1503,_imp!$C$143))</f>
        <v/>
      </c>
      <c r="F141" s="47">
        <f>IF(_imp!$C$143="","",INDEX(_imp!$H$4:$H$1503,_imp!$C$143))</f>
        <v/>
      </c>
      <c r="G141" s="47">
        <f>IF(_imp!$C$143="","",INDEX(_imp!$I$4:$I$1503,_imp!$C$143))</f>
        <v/>
      </c>
      <c r="K141" s="47">
        <f>IF(_imp!$C$143="","",INDEX(_imp!$J$4:$J$1503,_imp!$C$143))</f>
        <v/>
      </c>
    </row>
    <row r="142">
      <c r="A142" s="47">
        <f>IF(_imp!$C$144="","",INDEX(_imp!$D$4:$D$1503,_imp!$C$144))</f>
        <v/>
      </c>
      <c r="B142" s="47">
        <f>IF(_imp!$C$144="","",INDEX(_imp!$E$4:$E$1503,_imp!$C$144))</f>
        <v/>
      </c>
      <c r="C142" s="47">
        <f>IF(_imp!$C$144="","",INDEX(_imp!$F$4:$F$1503,_imp!$C$144))</f>
        <v/>
      </c>
      <c r="E142" s="47">
        <f>IF(_imp!$C$144="","",INDEX(_imp!$G$4:$G$1503,_imp!$C$144))</f>
        <v/>
      </c>
      <c r="F142" s="47">
        <f>IF(_imp!$C$144="","",INDEX(_imp!$H$4:$H$1503,_imp!$C$144))</f>
        <v/>
      </c>
      <c r="G142" s="47">
        <f>IF(_imp!$C$144="","",INDEX(_imp!$I$4:$I$1503,_imp!$C$144))</f>
        <v/>
      </c>
      <c r="K142" s="47">
        <f>IF(_imp!$C$144="","",INDEX(_imp!$J$4:$J$1503,_imp!$C$144))</f>
        <v/>
      </c>
    </row>
    <row r="143">
      <c r="A143" s="47">
        <f>IF(_imp!$C$145="","",INDEX(_imp!$D$4:$D$1503,_imp!$C$145))</f>
        <v/>
      </c>
      <c r="B143" s="47">
        <f>IF(_imp!$C$145="","",INDEX(_imp!$E$4:$E$1503,_imp!$C$145))</f>
        <v/>
      </c>
      <c r="C143" s="47">
        <f>IF(_imp!$C$145="","",INDEX(_imp!$F$4:$F$1503,_imp!$C$145))</f>
        <v/>
      </c>
      <c r="E143" s="47">
        <f>IF(_imp!$C$145="","",INDEX(_imp!$G$4:$G$1503,_imp!$C$145))</f>
        <v/>
      </c>
      <c r="F143" s="47">
        <f>IF(_imp!$C$145="","",INDEX(_imp!$H$4:$H$1503,_imp!$C$145))</f>
        <v/>
      </c>
      <c r="G143" s="47">
        <f>IF(_imp!$C$145="","",INDEX(_imp!$I$4:$I$1503,_imp!$C$145))</f>
        <v/>
      </c>
      <c r="K143" s="47">
        <f>IF(_imp!$C$145="","",INDEX(_imp!$J$4:$J$1503,_imp!$C$145))</f>
        <v/>
      </c>
    </row>
    <row r="144">
      <c r="A144" s="47">
        <f>IF(_imp!$C$146="","",INDEX(_imp!$D$4:$D$1503,_imp!$C$146))</f>
        <v/>
      </c>
      <c r="B144" s="47">
        <f>IF(_imp!$C$146="","",INDEX(_imp!$E$4:$E$1503,_imp!$C$146))</f>
        <v/>
      </c>
      <c r="C144" s="47">
        <f>IF(_imp!$C$146="","",INDEX(_imp!$F$4:$F$1503,_imp!$C$146))</f>
        <v/>
      </c>
      <c r="E144" s="47">
        <f>IF(_imp!$C$146="","",INDEX(_imp!$G$4:$G$1503,_imp!$C$146))</f>
        <v/>
      </c>
      <c r="F144" s="47">
        <f>IF(_imp!$C$146="","",INDEX(_imp!$H$4:$H$1503,_imp!$C$146))</f>
        <v/>
      </c>
      <c r="G144" s="47">
        <f>IF(_imp!$C$146="","",INDEX(_imp!$I$4:$I$1503,_imp!$C$146))</f>
        <v/>
      </c>
      <c r="K144" s="47">
        <f>IF(_imp!$C$146="","",INDEX(_imp!$J$4:$J$1503,_imp!$C$146))</f>
        <v/>
      </c>
    </row>
    <row r="145">
      <c r="A145" s="47">
        <f>IF(_imp!$C$147="","",INDEX(_imp!$D$4:$D$1503,_imp!$C$147))</f>
        <v/>
      </c>
      <c r="B145" s="47">
        <f>IF(_imp!$C$147="","",INDEX(_imp!$E$4:$E$1503,_imp!$C$147))</f>
        <v/>
      </c>
      <c r="C145" s="47">
        <f>IF(_imp!$C$147="","",INDEX(_imp!$F$4:$F$1503,_imp!$C$147))</f>
        <v/>
      </c>
      <c r="E145" s="47">
        <f>IF(_imp!$C$147="","",INDEX(_imp!$G$4:$G$1503,_imp!$C$147))</f>
        <v/>
      </c>
      <c r="F145" s="47">
        <f>IF(_imp!$C$147="","",INDEX(_imp!$H$4:$H$1503,_imp!$C$147))</f>
        <v/>
      </c>
      <c r="G145" s="47">
        <f>IF(_imp!$C$147="","",INDEX(_imp!$I$4:$I$1503,_imp!$C$147))</f>
        <v/>
      </c>
      <c r="K145" s="47">
        <f>IF(_imp!$C$147="","",INDEX(_imp!$J$4:$J$1503,_imp!$C$147))</f>
        <v/>
      </c>
    </row>
    <row r="146">
      <c r="A146" s="47">
        <f>IF(_imp!$C$148="","",INDEX(_imp!$D$4:$D$1503,_imp!$C$148))</f>
        <v/>
      </c>
      <c r="B146" s="47">
        <f>IF(_imp!$C$148="","",INDEX(_imp!$E$4:$E$1503,_imp!$C$148))</f>
        <v/>
      </c>
      <c r="C146" s="47">
        <f>IF(_imp!$C$148="","",INDEX(_imp!$F$4:$F$1503,_imp!$C$148))</f>
        <v/>
      </c>
      <c r="E146" s="47">
        <f>IF(_imp!$C$148="","",INDEX(_imp!$G$4:$G$1503,_imp!$C$148))</f>
        <v/>
      </c>
      <c r="F146" s="47">
        <f>IF(_imp!$C$148="","",INDEX(_imp!$H$4:$H$1503,_imp!$C$148))</f>
        <v/>
      </c>
      <c r="G146" s="47">
        <f>IF(_imp!$C$148="","",INDEX(_imp!$I$4:$I$1503,_imp!$C$148))</f>
        <v/>
      </c>
      <c r="K146" s="47">
        <f>IF(_imp!$C$148="","",INDEX(_imp!$J$4:$J$1503,_imp!$C$148))</f>
        <v/>
      </c>
    </row>
    <row r="147">
      <c r="A147" s="47">
        <f>IF(_imp!$C$149="","",INDEX(_imp!$D$4:$D$1503,_imp!$C$149))</f>
        <v/>
      </c>
      <c r="B147" s="47">
        <f>IF(_imp!$C$149="","",INDEX(_imp!$E$4:$E$1503,_imp!$C$149))</f>
        <v/>
      </c>
      <c r="C147" s="47">
        <f>IF(_imp!$C$149="","",INDEX(_imp!$F$4:$F$1503,_imp!$C$149))</f>
        <v/>
      </c>
      <c r="E147" s="47">
        <f>IF(_imp!$C$149="","",INDEX(_imp!$G$4:$G$1503,_imp!$C$149))</f>
        <v/>
      </c>
      <c r="F147" s="47">
        <f>IF(_imp!$C$149="","",INDEX(_imp!$H$4:$H$1503,_imp!$C$149))</f>
        <v/>
      </c>
      <c r="G147" s="47">
        <f>IF(_imp!$C$149="","",INDEX(_imp!$I$4:$I$1503,_imp!$C$149))</f>
        <v/>
      </c>
      <c r="K147" s="47">
        <f>IF(_imp!$C$149="","",INDEX(_imp!$J$4:$J$1503,_imp!$C$149))</f>
        <v/>
      </c>
    </row>
    <row r="148">
      <c r="A148" s="47">
        <f>IF(_imp!$C$150="","",INDEX(_imp!$D$4:$D$1503,_imp!$C$150))</f>
        <v/>
      </c>
      <c r="B148" s="47">
        <f>IF(_imp!$C$150="","",INDEX(_imp!$E$4:$E$1503,_imp!$C$150))</f>
        <v/>
      </c>
      <c r="C148" s="47">
        <f>IF(_imp!$C$150="","",INDEX(_imp!$F$4:$F$1503,_imp!$C$150))</f>
        <v/>
      </c>
      <c r="E148" s="47">
        <f>IF(_imp!$C$150="","",INDEX(_imp!$G$4:$G$1503,_imp!$C$150))</f>
        <v/>
      </c>
      <c r="F148" s="47">
        <f>IF(_imp!$C$150="","",INDEX(_imp!$H$4:$H$1503,_imp!$C$150))</f>
        <v/>
      </c>
      <c r="G148" s="47">
        <f>IF(_imp!$C$150="","",INDEX(_imp!$I$4:$I$1503,_imp!$C$150))</f>
        <v/>
      </c>
      <c r="K148" s="47">
        <f>IF(_imp!$C$150="","",INDEX(_imp!$J$4:$J$1503,_imp!$C$150))</f>
        <v/>
      </c>
    </row>
    <row r="149">
      <c r="A149" s="47">
        <f>IF(_imp!$C$151="","",INDEX(_imp!$D$4:$D$1503,_imp!$C$151))</f>
        <v/>
      </c>
      <c r="B149" s="47">
        <f>IF(_imp!$C$151="","",INDEX(_imp!$E$4:$E$1503,_imp!$C$151))</f>
        <v/>
      </c>
      <c r="C149" s="47">
        <f>IF(_imp!$C$151="","",INDEX(_imp!$F$4:$F$1503,_imp!$C$151))</f>
        <v/>
      </c>
      <c r="E149" s="47">
        <f>IF(_imp!$C$151="","",INDEX(_imp!$G$4:$G$1503,_imp!$C$151))</f>
        <v/>
      </c>
      <c r="F149" s="47">
        <f>IF(_imp!$C$151="","",INDEX(_imp!$H$4:$H$1503,_imp!$C$151))</f>
        <v/>
      </c>
      <c r="G149" s="47">
        <f>IF(_imp!$C$151="","",INDEX(_imp!$I$4:$I$1503,_imp!$C$151))</f>
        <v/>
      </c>
      <c r="K149" s="47">
        <f>IF(_imp!$C$151="","",INDEX(_imp!$J$4:$J$1503,_imp!$C$151))</f>
        <v/>
      </c>
    </row>
    <row r="150">
      <c r="A150" s="47">
        <f>IF(_imp!$C$152="","",INDEX(_imp!$D$4:$D$1503,_imp!$C$152))</f>
        <v/>
      </c>
      <c r="B150" s="47">
        <f>IF(_imp!$C$152="","",INDEX(_imp!$E$4:$E$1503,_imp!$C$152))</f>
        <v/>
      </c>
      <c r="C150" s="47">
        <f>IF(_imp!$C$152="","",INDEX(_imp!$F$4:$F$1503,_imp!$C$152))</f>
        <v/>
      </c>
      <c r="E150" s="47">
        <f>IF(_imp!$C$152="","",INDEX(_imp!$G$4:$G$1503,_imp!$C$152))</f>
        <v/>
      </c>
      <c r="F150" s="47">
        <f>IF(_imp!$C$152="","",INDEX(_imp!$H$4:$H$1503,_imp!$C$152))</f>
        <v/>
      </c>
      <c r="G150" s="47">
        <f>IF(_imp!$C$152="","",INDEX(_imp!$I$4:$I$1503,_imp!$C$152))</f>
        <v/>
      </c>
      <c r="K150" s="47">
        <f>IF(_imp!$C$152="","",INDEX(_imp!$J$4:$J$1503,_imp!$C$152))</f>
        <v/>
      </c>
    </row>
    <row r="151">
      <c r="A151" s="47">
        <f>IF(_imp!$C$153="","",INDEX(_imp!$D$4:$D$1503,_imp!$C$153))</f>
        <v/>
      </c>
      <c r="B151" s="47">
        <f>IF(_imp!$C$153="","",INDEX(_imp!$E$4:$E$1503,_imp!$C$153))</f>
        <v/>
      </c>
      <c r="C151" s="47">
        <f>IF(_imp!$C$153="","",INDEX(_imp!$F$4:$F$1503,_imp!$C$153))</f>
        <v/>
      </c>
      <c r="E151" s="47">
        <f>IF(_imp!$C$153="","",INDEX(_imp!$G$4:$G$1503,_imp!$C$153))</f>
        <v/>
      </c>
      <c r="F151" s="47">
        <f>IF(_imp!$C$153="","",INDEX(_imp!$H$4:$H$1503,_imp!$C$153))</f>
        <v/>
      </c>
      <c r="G151" s="47">
        <f>IF(_imp!$C$153="","",INDEX(_imp!$I$4:$I$1503,_imp!$C$153))</f>
        <v/>
      </c>
      <c r="K151" s="47">
        <f>IF(_imp!$C$153="","",INDEX(_imp!$J$4:$J$1503,_imp!$C$153))</f>
        <v/>
      </c>
    </row>
    <row r="152">
      <c r="A152" s="47">
        <f>IF(_imp!$C$154="","",INDEX(_imp!$D$4:$D$1503,_imp!$C$154))</f>
        <v/>
      </c>
      <c r="B152" s="47">
        <f>IF(_imp!$C$154="","",INDEX(_imp!$E$4:$E$1503,_imp!$C$154))</f>
        <v/>
      </c>
      <c r="C152" s="47">
        <f>IF(_imp!$C$154="","",INDEX(_imp!$F$4:$F$1503,_imp!$C$154))</f>
        <v/>
      </c>
      <c r="E152" s="47">
        <f>IF(_imp!$C$154="","",INDEX(_imp!$G$4:$G$1503,_imp!$C$154))</f>
        <v/>
      </c>
      <c r="F152" s="47">
        <f>IF(_imp!$C$154="","",INDEX(_imp!$H$4:$H$1503,_imp!$C$154))</f>
        <v/>
      </c>
      <c r="G152" s="47">
        <f>IF(_imp!$C$154="","",INDEX(_imp!$I$4:$I$1503,_imp!$C$154))</f>
        <v/>
      </c>
      <c r="K152" s="47">
        <f>IF(_imp!$C$154="","",INDEX(_imp!$J$4:$J$1503,_imp!$C$154))</f>
        <v/>
      </c>
    </row>
    <row r="153">
      <c r="A153" s="47">
        <f>IF(_imp!$C$155="","",INDEX(_imp!$D$4:$D$1503,_imp!$C$155))</f>
        <v/>
      </c>
      <c r="B153" s="47">
        <f>IF(_imp!$C$155="","",INDEX(_imp!$E$4:$E$1503,_imp!$C$155))</f>
        <v/>
      </c>
      <c r="C153" s="47">
        <f>IF(_imp!$C$155="","",INDEX(_imp!$F$4:$F$1503,_imp!$C$155))</f>
        <v/>
      </c>
      <c r="E153" s="47">
        <f>IF(_imp!$C$155="","",INDEX(_imp!$G$4:$G$1503,_imp!$C$155))</f>
        <v/>
      </c>
      <c r="F153" s="47">
        <f>IF(_imp!$C$155="","",INDEX(_imp!$H$4:$H$1503,_imp!$C$155))</f>
        <v/>
      </c>
      <c r="G153" s="47">
        <f>IF(_imp!$C$155="","",INDEX(_imp!$I$4:$I$1503,_imp!$C$155))</f>
        <v/>
      </c>
      <c r="K153" s="47">
        <f>IF(_imp!$C$155="","",INDEX(_imp!$J$4:$J$1503,_imp!$C$155))</f>
        <v/>
      </c>
    </row>
    <row r="154">
      <c r="A154" s="47">
        <f>IF(_imp!$C$156="","",INDEX(_imp!$D$4:$D$1503,_imp!$C$156))</f>
        <v/>
      </c>
      <c r="B154" s="47">
        <f>IF(_imp!$C$156="","",INDEX(_imp!$E$4:$E$1503,_imp!$C$156))</f>
        <v/>
      </c>
      <c r="C154" s="47">
        <f>IF(_imp!$C$156="","",INDEX(_imp!$F$4:$F$1503,_imp!$C$156))</f>
        <v/>
      </c>
      <c r="E154" s="47">
        <f>IF(_imp!$C$156="","",INDEX(_imp!$G$4:$G$1503,_imp!$C$156))</f>
        <v/>
      </c>
      <c r="F154" s="47">
        <f>IF(_imp!$C$156="","",INDEX(_imp!$H$4:$H$1503,_imp!$C$156))</f>
        <v/>
      </c>
      <c r="G154" s="47">
        <f>IF(_imp!$C$156="","",INDEX(_imp!$I$4:$I$1503,_imp!$C$156))</f>
        <v/>
      </c>
      <c r="K154" s="47">
        <f>IF(_imp!$C$156="","",INDEX(_imp!$J$4:$J$1503,_imp!$C$156))</f>
        <v/>
      </c>
    </row>
    <row r="155">
      <c r="A155" s="47">
        <f>IF(_imp!$C$157="","",INDEX(_imp!$D$4:$D$1503,_imp!$C$157))</f>
        <v/>
      </c>
      <c r="B155" s="47">
        <f>IF(_imp!$C$157="","",INDEX(_imp!$E$4:$E$1503,_imp!$C$157))</f>
        <v/>
      </c>
      <c r="C155" s="47">
        <f>IF(_imp!$C$157="","",INDEX(_imp!$F$4:$F$1503,_imp!$C$157))</f>
        <v/>
      </c>
      <c r="E155" s="47">
        <f>IF(_imp!$C$157="","",INDEX(_imp!$G$4:$G$1503,_imp!$C$157))</f>
        <v/>
      </c>
      <c r="F155" s="47">
        <f>IF(_imp!$C$157="","",INDEX(_imp!$H$4:$H$1503,_imp!$C$157))</f>
        <v/>
      </c>
      <c r="G155" s="47">
        <f>IF(_imp!$C$157="","",INDEX(_imp!$I$4:$I$1503,_imp!$C$157))</f>
        <v/>
      </c>
      <c r="K155" s="47">
        <f>IF(_imp!$C$157="","",INDEX(_imp!$J$4:$J$1503,_imp!$C$157))</f>
        <v/>
      </c>
    </row>
    <row r="156">
      <c r="A156" s="47">
        <f>IF(_imp!$C$158="","",INDEX(_imp!$D$4:$D$1503,_imp!$C$158))</f>
        <v/>
      </c>
      <c r="B156" s="47">
        <f>IF(_imp!$C$158="","",INDEX(_imp!$E$4:$E$1503,_imp!$C$158))</f>
        <v/>
      </c>
      <c r="C156" s="47">
        <f>IF(_imp!$C$158="","",INDEX(_imp!$F$4:$F$1503,_imp!$C$158))</f>
        <v/>
      </c>
      <c r="E156" s="47">
        <f>IF(_imp!$C$158="","",INDEX(_imp!$G$4:$G$1503,_imp!$C$158))</f>
        <v/>
      </c>
      <c r="F156" s="47">
        <f>IF(_imp!$C$158="","",INDEX(_imp!$H$4:$H$1503,_imp!$C$158))</f>
        <v/>
      </c>
      <c r="G156" s="47">
        <f>IF(_imp!$C$158="","",INDEX(_imp!$I$4:$I$1503,_imp!$C$158))</f>
        <v/>
      </c>
      <c r="K156" s="47">
        <f>IF(_imp!$C$158="","",INDEX(_imp!$J$4:$J$1503,_imp!$C$158))</f>
        <v/>
      </c>
    </row>
    <row r="157">
      <c r="A157" s="47">
        <f>IF(_imp!$C$159="","",INDEX(_imp!$D$4:$D$1503,_imp!$C$159))</f>
        <v/>
      </c>
      <c r="B157" s="47">
        <f>IF(_imp!$C$159="","",INDEX(_imp!$E$4:$E$1503,_imp!$C$159))</f>
        <v/>
      </c>
      <c r="C157" s="47">
        <f>IF(_imp!$C$159="","",INDEX(_imp!$F$4:$F$1503,_imp!$C$159))</f>
        <v/>
      </c>
      <c r="E157" s="47">
        <f>IF(_imp!$C$159="","",INDEX(_imp!$G$4:$G$1503,_imp!$C$159))</f>
        <v/>
      </c>
      <c r="F157" s="47">
        <f>IF(_imp!$C$159="","",INDEX(_imp!$H$4:$H$1503,_imp!$C$159))</f>
        <v/>
      </c>
      <c r="G157" s="47">
        <f>IF(_imp!$C$159="","",INDEX(_imp!$I$4:$I$1503,_imp!$C$159))</f>
        <v/>
      </c>
      <c r="K157" s="47">
        <f>IF(_imp!$C$159="","",INDEX(_imp!$J$4:$J$1503,_imp!$C$159))</f>
        <v/>
      </c>
    </row>
    <row r="158">
      <c r="A158" s="47">
        <f>IF(_imp!$C$160="","",INDEX(_imp!$D$4:$D$1503,_imp!$C$160))</f>
        <v/>
      </c>
      <c r="B158" s="47">
        <f>IF(_imp!$C$160="","",INDEX(_imp!$E$4:$E$1503,_imp!$C$160))</f>
        <v/>
      </c>
      <c r="C158" s="47">
        <f>IF(_imp!$C$160="","",INDEX(_imp!$F$4:$F$1503,_imp!$C$160))</f>
        <v/>
      </c>
      <c r="E158" s="47">
        <f>IF(_imp!$C$160="","",INDEX(_imp!$G$4:$G$1503,_imp!$C$160))</f>
        <v/>
      </c>
      <c r="F158" s="47">
        <f>IF(_imp!$C$160="","",INDEX(_imp!$H$4:$H$1503,_imp!$C$160))</f>
        <v/>
      </c>
      <c r="G158" s="47">
        <f>IF(_imp!$C$160="","",INDEX(_imp!$I$4:$I$1503,_imp!$C$160))</f>
        <v/>
      </c>
      <c r="K158" s="47">
        <f>IF(_imp!$C$160="","",INDEX(_imp!$J$4:$J$1503,_imp!$C$160))</f>
        <v/>
      </c>
    </row>
    <row r="159">
      <c r="A159" s="47">
        <f>IF(_imp!$C$161="","",INDEX(_imp!$D$4:$D$1503,_imp!$C$161))</f>
        <v/>
      </c>
      <c r="B159" s="47">
        <f>IF(_imp!$C$161="","",INDEX(_imp!$E$4:$E$1503,_imp!$C$161))</f>
        <v/>
      </c>
      <c r="C159" s="47">
        <f>IF(_imp!$C$161="","",INDEX(_imp!$F$4:$F$1503,_imp!$C$161))</f>
        <v/>
      </c>
      <c r="E159" s="47">
        <f>IF(_imp!$C$161="","",INDEX(_imp!$G$4:$G$1503,_imp!$C$161))</f>
        <v/>
      </c>
      <c r="F159" s="47">
        <f>IF(_imp!$C$161="","",INDEX(_imp!$H$4:$H$1503,_imp!$C$161))</f>
        <v/>
      </c>
      <c r="G159" s="47">
        <f>IF(_imp!$C$161="","",INDEX(_imp!$I$4:$I$1503,_imp!$C$161))</f>
        <v/>
      </c>
      <c r="K159" s="47">
        <f>IF(_imp!$C$161="","",INDEX(_imp!$J$4:$J$1503,_imp!$C$161))</f>
        <v/>
      </c>
    </row>
    <row r="160">
      <c r="A160" s="47">
        <f>IF(_imp!$C$162="","",INDEX(_imp!$D$4:$D$1503,_imp!$C$162))</f>
        <v/>
      </c>
      <c r="B160" s="47">
        <f>IF(_imp!$C$162="","",INDEX(_imp!$E$4:$E$1503,_imp!$C$162))</f>
        <v/>
      </c>
      <c r="C160" s="47">
        <f>IF(_imp!$C$162="","",INDEX(_imp!$F$4:$F$1503,_imp!$C$162))</f>
        <v/>
      </c>
      <c r="E160" s="47">
        <f>IF(_imp!$C$162="","",INDEX(_imp!$G$4:$G$1503,_imp!$C$162))</f>
        <v/>
      </c>
      <c r="F160" s="47">
        <f>IF(_imp!$C$162="","",INDEX(_imp!$H$4:$H$1503,_imp!$C$162))</f>
        <v/>
      </c>
      <c r="G160" s="47">
        <f>IF(_imp!$C$162="","",INDEX(_imp!$I$4:$I$1503,_imp!$C$162))</f>
        <v/>
      </c>
      <c r="K160" s="47">
        <f>IF(_imp!$C$162="","",INDEX(_imp!$J$4:$J$1503,_imp!$C$162))</f>
        <v/>
      </c>
    </row>
    <row r="161">
      <c r="A161" s="47">
        <f>IF(_imp!$C$163="","",INDEX(_imp!$D$4:$D$1503,_imp!$C$163))</f>
        <v/>
      </c>
      <c r="B161" s="47">
        <f>IF(_imp!$C$163="","",INDEX(_imp!$E$4:$E$1503,_imp!$C$163))</f>
        <v/>
      </c>
      <c r="C161" s="47">
        <f>IF(_imp!$C$163="","",INDEX(_imp!$F$4:$F$1503,_imp!$C$163))</f>
        <v/>
      </c>
      <c r="E161" s="47">
        <f>IF(_imp!$C$163="","",INDEX(_imp!$G$4:$G$1503,_imp!$C$163))</f>
        <v/>
      </c>
      <c r="F161" s="47">
        <f>IF(_imp!$C$163="","",INDEX(_imp!$H$4:$H$1503,_imp!$C$163))</f>
        <v/>
      </c>
      <c r="G161" s="47">
        <f>IF(_imp!$C$163="","",INDEX(_imp!$I$4:$I$1503,_imp!$C$163))</f>
        <v/>
      </c>
      <c r="K161" s="47">
        <f>IF(_imp!$C$163="","",INDEX(_imp!$J$4:$J$1503,_imp!$C$163))</f>
        <v/>
      </c>
    </row>
    <row r="162">
      <c r="A162" s="47">
        <f>IF(_imp!$C$164="","",INDEX(_imp!$D$4:$D$1503,_imp!$C$164))</f>
        <v/>
      </c>
      <c r="B162" s="47">
        <f>IF(_imp!$C$164="","",INDEX(_imp!$E$4:$E$1503,_imp!$C$164))</f>
        <v/>
      </c>
      <c r="C162" s="47">
        <f>IF(_imp!$C$164="","",INDEX(_imp!$F$4:$F$1503,_imp!$C$164))</f>
        <v/>
      </c>
      <c r="E162" s="47">
        <f>IF(_imp!$C$164="","",INDEX(_imp!$G$4:$G$1503,_imp!$C$164))</f>
        <v/>
      </c>
      <c r="F162" s="47">
        <f>IF(_imp!$C$164="","",INDEX(_imp!$H$4:$H$1503,_imp!$C$164))</f>
        <v/>
      </c>
      <c r="G162" s="47">
        <f>IF(_imp!$C$164="","",INDEX(_imp!$I$4:$I$1503,_imp!$C$164))</f>
        <v/>
      </c>
      <c r="K162" s="47">
        <f>IF(_imp!$C$164="","",INDEX(_imp!$J$4:$J$1503,_imp!$C$164))</f>
        <v/>
      </c>
    </row>
    <row r="163">
      <c r="A163" s="47">
        <f>IF(_imp!$C$165="","",INDEX(_imp!$D$4:$D$1503,_imp!$C$165))</f>
        <v/>
      </c>
      <c r="B163" s="47">
        <f>IF(_imp!$C$165="","",INDEX(_imp!$E$4:$E$1503,_imp!$C$165))</f>
        <v/>
      </c>
      <c r="C163" s="47">
        <f>IF(_imp!$C$165="","",INDEX(_imp!$F$4:$F$1503,_imp!$C$165))</f>
        <v/>
      </c>
      <c r="E163" s="47">
        <f>IF(_imp!$C$165="","",INDEX(_imp!$G$4:$G$1503,_imp!$C$165))</f>
        <v/>
      </c>
      <c r="F163" s="47">
        <f>IF(_imp!$C$165="","",INDEX(_imp!$H$4:$H$1503,_imp!$C$165))</f>
        <v/>
      </c>
      <c r="G163" s="47">
        <f>IF(_imp!$C$165="","",INDEX(_imp!$I$4:$I$1503,_imp!$C$165))</f>
        <v/>
      </c>
      <c r="K163" s="47">
        <f>IF(_imp!$C$165="","",INDEX(_imp!$J$4:$J$1503,_imp!$C$165))</f>
        <v/>
      </c>
    </row>
    <row r="164">
      <c r="A164" s="47">
        <f>IF(_imp!$C$166="","",INDEX(_imp!$D$4:$D$1503,_imp!$C$166))</f>
        <v/>
      </c>
      <c r="B164" s="47">
        <f>IF(_imp!$C$166="","",INDEX(_imp!$E$4:$E$1503,_imp!$C$166))</f>
        <v/>
      </c>
      <c r="C164" s="47">
        <f>IF(_imp!$C$166="","",INDEX(_imp!$F$4:$F$1503,_imp!$C$166))</f>
        <v/>
      </c>
      <c r="E164" s="47">
        <f>IF(_imp!$C$166="","",INDEX(_imp!$G$4:$G$1503,_imp!$C$166))</f>
        <v/>
      </c>
      <c r="F164" s="47">
        <f>IF(_imp!$C$166="","",INDEX(_imp!$H$4:$H$1503,_imp!$C$166))</f>
        <v/>
      </c>
      <c r="G164" s="47">
        <f>IF(_imp!$C$166="","",INDEX(_imp!$I$4:$I$1503,_imp!$C$166))</f>
        <v/>
      </c>
      <c r="K164" s="47">
        <f>IF(_imp!$C$166="","",INDEX(_imp!$J$4:$J$1503,_imp!$C$166))</f>
        <v/>
      </c>
    </row>
    <row r="165">
      <c r="A165" s="47">
        <f>IF(_imp!$C$167="","",INDEX(_imp!$D$4:$D$1503,_imp!$C$167))</f>
        <v/>
      </c>
      <c r="B165" s="47">
        <f>IF(_imp!$C$167="","",INDEX(_imp!$E$4:$E$1503,_imp!$C$167))</f>
        <v/>
      </c>
      <c r="C165" s="47">
        <f>IF(_imp!$C$167="","",INDEX(_imp!$F$4:$F$1503,_imp!$C$167))</f>
        <v/>
      </c>
      <c r="E165" s="47">
        <f>IF(_imp!$C$167="","",INDEX(_imp!$G$4:$G$1503,_imp!$C$167))</f>
        <v/>
      </c>
      <c r="F165" s="47">
        <f>IF(_imp!$C$167="","",INDEX(_imp!$H$4:$H$1503,_imp!$C$167))</f>
        <v/>
      </c>
      <c r="G165" s="47">
        <f>IF(_imp!$C$167="","",INDEX(_imp!$I$4:$I$1503,_imp!$C$167))</f>
        <v/>
      </c>
      <c r="K165" s="47">
        <f>IF(_imp!$C$167="","",INDEX(_imp!$J$4:$J$1503,_imp!$C$167))</f>
        <v/>
      </c>
    </row>
    <row r="166">
      <c r="A166" s="47">
        <f>IF(_imp!$C$168="","",INDEX(_imp!$D$4:$D$1503,_imp!$C$168))</f>
        <v/>
      </c>
      <c r="B166" s="47">
        <f>IF(_imp!$C$168="","",INDEX(_imp!$E$4:$E$1503,_imp!$C$168))</f>
        <v/>
      </c>
      <c r="C166" s="47">
        <f>IF(_imp!$C$168="","",INDEX(_imp!$F$4:$F$1503,_imp!$C$168))</f>
        <v/>
      </c>
      <c r="E166" s="47">
        <f>IF(_imp!$C$168="","",INDEX(_imp!$G$4:$G$1503,_imp!$C$168))</f>
        <v/>
      </c>
      <c r="F166" s="47">
        <f>IF(_imp!$C$168="","",INDEX(_imp!$H$4:$H$1503,_imp!$C$168))</f>
        <v/>
      </c>
      <c r="G166" s="47">
        <f>IF(_imp!$C$168="","",INDEX(_imp!$I$4:$I$1503,_imp!$C$168))</f>
        <v/>
      </c>
      <c r="K166" s="47">
        <f>IF(_imp!$C$168="","",INDEX(_imp!$J$4:$J$1503,_imp!$C$168))</f>
        <v/>
      </c>
    </row>
    <row r="167">
      <c r="A167" s="47">
        <f>IF(_imp!$C$169="","",INDEX(_imp!$D$4:$D$1503,_imp!$C$169))</f>
        <v/>
      </c>
      <c r="B167" s="47">
        <f>IF(_imp!$C$169="","",INDEX(_imp!$E$4:$E$1503,_imp!$C$169))</f>
        <v/>
      </c>
      <c r="C167" s="47">
        <f>IF(_imp!$C$169="","",INDEX(_imp!$F$4:$F$1503,_imp!$C$169))</f>
        <v/>
      </c>
      <c r="E167" s="47">
        <f>IF(_imp!$C$169="","",INDEX(_imp!$G$4:$G$1503,_imp!$C$169))</f>
        <v/>
      </c>
      <c r="F167" s="47">
        <f>IF(_imp!$C$169="","",INDEX(_imp!$H$4:$H$1503,_imp!$C$169))</f>
        <v/>
      </c>
      <c r="G167" s="47">
        <f>IF(_imp!$C$169="","",INDEX(_imp!$I$4:$I$1503,_imp!$C$169))</f>
        <v/>
      </c>
      <c r="K167" s="47">
        <f>IF(_imp!$C$169="","",INDEX(_imp!$J$4:$J$1503,_imp!$C$169))</f>
        <v/>
      </c>
    </row>
    <row r="168">
      <c r="A168" s="47">
        <f>IF(_imp!$C$170="","",INDEX(_imp!$D$4:$D$1503,_imp!$C$170))</f>
        <v/>
      </c>
      <c r="B168" s="47">
        <f>IF(_imp!$C$170="","",INDEX(_imp!$E$4:$E$1503,_imp!$C$170))</f>
        <v/>
      </c>
      <c r="C168" s="47">
        <f>IF(_imp!$C$170="","",INDEX(_imp!$F$4:$F$1503,_imp!$C$170))</f>
        <v/>
      </c>
      <c r="E168" s="47">
        <f>IF(_imp!$C$170="","",INDEX(_imp!$G$4:$G$1503,_imp!$C$170))</f>
        <v/>
      </c>
      <c r="F168" s="47">
        <f>IF(_imp!$C$170="","",INDEX(_imp!$H$4:$H$1503,_imp!$C$170))</f>
        <v/>
      </c>
      <c r="G168" s="47">
        <f>IF(_imp!$C$170="","",INDEX(_imp!$I$4:$I$1503,_imp!$C$170))</f>
        <v/>
      </c>
      <c r="K168" s="47">
        <f>IF(_imp!$C$170="","",INDEX(_imp!$J$4:$J$1503,_imp!$C$170))</f>
        <v/>
      </c>
    </row>
    <row r="169">
      <c r="A169" s="47">
        <f>IF(_imp!$C$171="","",INDEX(_imp!$D$4:$D$1503,_imp!$C$171))</f>
        <v/>
      </c>
      <c r="B169" s="47">
        <f>IF(_imp!$C$171="","",INDEX(_imp!$E$4:$E$1503,_imp!$C$171))</f>
        <v/>
      </c>
      <c r="C169" s="47">
        <f>IF(_imp!$C$171="","",INDEX(_imp!$F$4:$F$1503,_imp!$C$171))</f>
        <v/>
      </c>
      <c r="E169" s="47">
        <f>IF(_imp!$C$171="","",INDEX(_imp!$G$4:$G$1503,_imp!$C$171))</f>
        <v/>
      </c>
      <c r="F169" s="47">
        <f>IF(_imp!$C$171="","",INDEX(_imp!$H$4:$H$1503,_imp!$C$171))</f>
        <v/>
      </c>
      <c r="G169" s="47">
        <f>IF(_imp!$C$171="","",INDEX(_imp!$I$4:$I$1503,_imp!$C$171))</f>
        <v/>
      </c>
      <c r="K169" s="47">
        <f>IF(_imp!$C$171="","",INDEX(_imp!$J$4:$J$1503,_imp!$C$171))</f>
        <v/>
      </c>
    </row>
    <row r="170">
      <c r="A170" s="47">
        <f>IF(_imp!$C$172="","",INDEX(_imp!$D$4:$D$1503,_imp!$C$172))</f>
        <v/>
      </c>
      <c r="B170" s="47">
        <f>IF(_imp!$C$172="","",INDEX(_imp!$E$4:$E$1503,_imp!$C$172))</f>
        <v/>
      </c>
      <c r="C170" s="47">
        <f>IF(_imp!$C$172="","",INDEX(_imp!$F$4:$F$1503,_imp!$C$172))</f>
        <v/>
      </c>
      <c r="E170" s="47">
        <f>IF(_imp!$C$172="","",INDEX(_imp!$G$4:$G$1503,_imp!$C$172))</f>
        <v/>
      </c>
      <c r="F170" s="47">
        <f>IF(_imp!$C$172="","",INDEX(_imp!$H$4:$H$1503,_imp!$C$172))</f>
        <v/>
      </c>
      <c r="G170" s="47">
        <f>IF(_imp!$C$172="","",INDEX(_imp!$I$4:$I$1503,_imp!$C$172))</f>
        <v/>
      </c>
      <c r="K170" s="47">
        <f>IF(_imp!$C$172="","",INDEX(_imp!$J$4:$J$1503,_imp!$C$172))</f>
        <v/>
      </c>
    </row>
    <row r="171">
      <c r="A171" s="47">
        <f>IF(_imp!$C$173="","",INDEX(_imp!$D$4:$D$1503,_imp!$C$173))</f>
        <v/>
      </c>
      <c r="B171" s="47">
        <f>IF(_imp!$C$173="","",INDEX(_imp!$E$4:$E$1503,_imp!$C$173))</f>
        <v/>
      </c>
      <c r="C171" s="47">
        <f>IF(_imp!$C$173="","",INDEX(_imp!$F$4:$F$1503,_imp!$C$173))</f>
        <v/>
      </c>
      <c r="E171" s="47">
        <f>IF(_imp!$C$173="","",INDEX(_imp!$G$4:$G$1503,_imp!$C$173))</f>
        <v/>
      </c>
      <c r="F171" s="47">
        <f>IF(_imp!$C$173="","",INDEX(_imp!$H$4:$H$1503,_imp!$C$173))</f>
        <v/>
      </c>
      <c r="G171" s="47">
        <f>IF(_imp!$C$173="","",INDEX(_imp!$I$4:$I$1503,_imp!$C$173))</f>
        <v/>
      </c>
      <c r="K171" s="47">
        <f>IF(_imp!$C$173="","",INDEX(_imp!$J$4:$J$1503,_imp!$C$173))</f>
        <v/>
      </c>
    </row>
    <row r="172">
      <c r="A172" s="47">
        <f>IF(_imp!$C$174="","",INDEX(_imp!$D$4:$D$1503,_imp!$C$174))</f>
        <v/>
      </c>
      <c r="B172" s="47">
        <f>IF(_imp!$C$174="","",INDEX(_imp!$E$4:$E$1503,_imp!$C$174))</f>
        <v/>
      </c>
      <c r="C172" s="47">
        <f>IF(_imp!$C$174="","",INDEX(_imp!$F$4:$F$1503,_imp!$C$174))</f>
        <v/>
      </c>
      <c r="E172" s="47">
        <f>IF(_imp!$C$174="","",INDEX(_imp!$G$4:$G$1503,_imp!$C$174))</f>
        <v/>
      </c>
      <c r="F172" s="47">
        <f>IF(_imp!$C$174="","",INDEX(_imp!$H$4:$H$1503,_imp!$C$174))</f>
        <v/>
      </c>
      <c r="G172" s="47">
        <f>IF(_imp!$C$174="","",INDEX(_imp!$I$4:$I$1503,_imp!$C$174))</f>
        <v/>
      </c>
      <c r="K172" s="47">
        <f>IF(_imp!$C$174="","",INDEX(_imp!$J$4:$J$1503,_imp!$C$174))</f>
        <v/>
      </c>
    </row>
    <row r="173">
      <c r="A173" s="47">
        <f>IF(_imp!$C$175="","",INDEX(_imp!$D$4:$D$1503,_imp!$C$175))</f>
        <v/>
      </c>
      <c r="B173" s="47">
        <f>IF(_imp!$C$175="","",INDEX(_imp!$E$4:$E$1503,_imp!$C$175))</f>
        <v/>
      </c>
      <c r="C173" s="47">
        <f>IF(_imp!$C$175="","",INDEX(_imp!$F$4:$F$1503,_imp!$C$175))</f>
        <v/>
      </c>
      <c r="E173" s="47">
        <f>IF(_imp!$C$175="","",INDEX(_imp!$G$4:$G$1503,_imp!$C$175))</f>
        <v/>
      </c>
      <c r="F173" s="47">
        <f>IF(_imp!$C$175="","",INDEX(_imp!$H$4:$H$1503,_imp!$C$175))</f>
        <v/>
      </c>
      <c r="G173" s="47">
        <f>IF(_imp!$C$175="","",INDEX(_imp!$I$4:$I$1503,_imp!$C$175))</f>
        <v/>
      </c>
      <c r="K173" s="47">
        <f>IF(_imp!$C$175="","",INDEX(_imp!$J$4:$J$1503,_imp!$C$175))</f>
        <v/>
      </c>
    </row>
    <row r="174">
      <c r="A174" s="47">
        <f>IF(_imp!$C$176="","",INDEX(_imp!$D$4:$D$1503,_imp!$C$176))</f>
        <v/>
      </c>
      <c r="B174" s="47">
        <f>IF(_imp!$C$176="","",INDEX(_imp!$E$4:$E$1503,_imp!$C$176))</f>
        <v/>
      </c>
      <c r="C174" s="47">
        <f>IF(_imp!$C$176="","",INDEX(_imp!$F$4:$F$1503,_imp!$C$176))</f>
        <v/>
      </c>
      <c r="E174" s="47">
        <f>IF(_imp!$C$176="","",INDEX(_imp!$G$4:$G$1503,_imp!$C$176))</f>
        <v/>
      </c>
      <c r="F174" s="47">
        <f>IF(_imp!$C$176="","",INDEX(_imp!$H$4:$H$1503,_imp!$C$176))</f>
        <v/>
      </c>
      <c r="G174" s="47">
        <f>IF(_imp!$C$176="","",INDEX(_imp!$I$4:$I$1503,_imp!$C$176))</f>
        <v/>
      </c>
      <c r="K174" s="47">
        <f>IF(_imp!$C$176="","",INDEX(_imp!$J$4:$J$1503,_imp!$C$176))</f>
        <v/>
      </c>
    </row>
    <row r="175">
      <c r="A175" s="47">
        <f>IF(_imp!$C$177="","",INDEX(_imp!$D$4:$D$1503,_imp!$C$177))</f>
        <v/>
      </c>
      <c r="B175" s="47">
        <f>IF(_imp!$C$177="","",INDEX(_imp!$E$4:$E$1503,_imp!$C$177))</f>
        <v/>
      </c>
      <c r="C175" s="47">
        <f>IF(_imp!$C$177="","",INDEX(_imp!$F$4:$F$1503,_imp!$C$177))</f>
        <v/>
      </c>
      <c r="E175" s="47">
        <f>IF(_imp!$C$177="","",INDEX(_imp!$G$4:$G$1503,_imp!$C$177))</f>
        <v/>
      </c>
      <c r="F175" s="47">
        <f>IF(_imp!$C$177="","",INDEX(_imp!$H$4:$H$1503,_imp!$C$177))</f>
        <v/>
      </c>
      <c r="G175" s="47">
        <f>IF(_imp!$C$177="","",INDEX(_imp!$I$4:$I$1503,_imp!$C$177))</f>
        <v/>
      </c>
      <c r="K175" s="47">
        <f>IF(_imp!$C$177="","",INDEX(_imp!$J$4:$J$1503,_imp!$C$177))</f>
        <v/>
      </c>
    </row>
    <row r="176">
      <c r="A176" s="47">
        <f>IF(_imp!$C$178="","",INDEX(_imp!$D$4:$D$1503,_imp!$C$178))</f>
        <v/>
      </c>
      <c r="B176" s="47">
        <f>IF(_imp!$C$178="","",INDEX(_imp!$E$4:$E$1503,_imp!$C$178))</f>
        <v/>
      </c>
      <c r="C176" s="47">
        <f>IF(_imp!$C$178="","",INDEX(_imp!$F$4:$F$1503,_imp!$C$178))</f>
        <v/>
      </c>
      <c r="E176" s="47">
        <f>IF(_imp!$C$178="","",INDEX(_imp!$G$4:$G$1503,_imp!$C$178))</f>
        <v/>
      </c>
      <c r="F176" s="47">
        <f>IF(_imp!$C$178="","",INDEX(_imp!$H$4:$H$1503,_imp!$C$178))</f>
        <v/>
      </c>
      <c r="G176" s="47">
        <f>IF(_imp!$C$178="","",INDEX(_imp!$I$4:$I$1503,_imp!$C$178))</f>
        <v/>
      </c>
      <c r="K176" s="47">
        <f>IF(_imp!$C$178="","",INDEX(_imp!$J$4:$J$1503,_imp!$C$178))</f>
        <v/>
      </c>
    </row>
    <row r="177">
      <c r="A177" s="47">
        <f>IF(_imp!$C$179="","",INDEX(_imp!$D$4:$D$1503,_imp!$C$179))</f>
        <v/>
      </c>
      <c r="B177" s="47">
        <f>IF(_imp!$C$179="","",INDEX(_imp!$E$4:$E$1503,_imp!$C$179))</f>
        <v/>
      </c>
      <c r="C177" s="47">
        <f>IF(_imp!$C$179="","",INDEX(_imp!$F$4:$F$1503,_imp!$C$179))</f>
        <v/>
      </c>
      <c r="E177" s="47">
        <f>IF(_imp!$C$179="","",INDEX(_imp!$G$4:$G$1503,_imp!$C$179))</f>
        <v/>
      </c>
      <c r="F177" s="47">
        <f>IF(_imp!$C$179="","",INDEX(_imp!$H$4:$H$1503,_imp!$C$179))</f>
        <v/>
      </c>
      <c r="G177" s="47">
        <f>IF(_imp!$C$179="","",INDEX(_imp!$I$4:$I$1503,_imp!$C$179))</f>
        <v/>
      </c>
      <c r="K177" s="47">
        <f>IF(_imp!$C$179="","",INDEX(_imp!$J$4:$J$1503,_imp!$C$179))</f>
        <v/>
      </c>
    </row>
    <row r="178">
      <c r="A178" s="47">
        <f>IF(_imp!$C$180="","",INDEX(_imp!$D$4:$D$1503,_imp!$C$180))</f>
        <v/>
      </c>
      <c r="B178" s="47">
        <f>IF(_imp!$C$180="","",INDEX(_imp!$E$4:$E$1503,_imp!$C$180))</f>
        <v/>
      </c>
      <c r="C178" s="47">
        <f>IF(_imp!$C$180="","",INDEX(_imp!$F$4:$F$1503,_imp!$C$180))</f>
        <v/>
      </c>
      <c r="E178" s="47">
        <f>IF(_imp!$C$180="","",INDEX(_imp!$G$4:$G$1503,_imp!$C$180))</f>
        <v/>
      </c>
      <c r="F178" s="47">
        <f>IF(_imp!$C$180="","",INDEX(_imp!$H$4:$H$1503,_imp!$C$180))</f>
        <v/>
      </c>
      <c r="G178" s="47">
        <f>IF(_imp!$C$180="","",INDEX(_imp!$I$4:$I$1503,_imp!$C$180))</f>
        <v/>
      </c>
      <c r="K178" s="47">
        <f>IF(_imp!$C$180="","",INDEX(_imp!$J$4:$J$1503,_imp!$C$180))</f>
        <v/>
      </c>
    </row>
    <row r="179">
      <c r="A179" s="47">
        <f>IF(_imp!$C$181="","",INDEX(_imp!$D$4:$D$1503,_imp!$C$181))</f>
        <v/>
      </c>
      <c r="B179" s="47">
        <f>IF(_imp!$C$181="","",INDEX(_imp!$E$4:$E$1503,_imp!$C$181))</f>
        <v/>
      </c>
      <c r="C179" s="47">
        <f>IF(_imp!$C$181="","",INDEX(_imp!$F$4:$F$1503,_imp!$C$181))</f>
        <v/>
      </c>
      <c r="E179" s="47">
        <f>IF(_imp!$C$181="","",INDEX(_imp!$G$4:$G$1503,_imp!$C$181))</f>
        <v/>
      </c>
      <c r="F179" s="47">
        <f>IF(_imp!$C$181="","",INDEX(_imp!$H$4:$H$1503,_imp!$C$181))</f>
        <v/>
      </c>
      <c r="G179" s="47">
        <f>IF(_imp!$C$181="","",INDEX(_imp!$I$4:$I$1503,_imp!$C$181))</f>
        <v/>
      </c>
      <c r="K179" s="47">
        <f>IF(_imp!$C$181="","",INDEX(_imp!$J$4:$J$1503,_imp!$C$181))</f>
        <v/>
      </c>
    </row>
    <row r="180">
      <c r="A180" s="47">
        <f>IF(_imp!$C$182="","",INDEX(_imp!$D$4:$D$1503,_imp!$C$182))</f>
        <v/>
      </c>
      <c r="B180" s="47">
        <f>IF(_imp!$C$182="","",INDEX(_imp!$E$4:$E$1503,_imp!$C$182))</f>
        <v/>
      </c>
      <c r="C180" s="47">
        <f>IF(_imp!$C$182="","",INDEX(_imp!$F$4:$F$1503,_imp!$C$182))</f>
        <v/>
      </c>
      <c r="E180" s="47">
        <f>IF(_imp!$C$182="","",INDEX(_imp!$G$4:$G$1503,_imp!$C$182))</f>
        <v/>
      </c>
      <c r="F180" s="47">
        <f>IF(_imp!$C$182="","",INDEX(_imp!$H$4:$H$1503,_imp!$C$182))</f>
        <v/>
      </c>
      <c r="G180" s="47">
        <f>IF(_imp!$C$182="","",INDEX(_imp!$I$4:$I$1503,_imp!$C$182))</f>
        <v/>
      </c>
      <c r="K180" s="47">
        <f>IF(_imp!$C$182="","",INDEX(_imp!$J$4:$J$1503,_imp!$C$182))</f>
        <v/>
      </c>
    </row>
    <row r="181">
      <c r="A181" s="47">
        <f>IF(_imp!$C$183="","",INDEX(_imp!$D$4:$D$1503,_imp!$C$183))</f>
        <v/>
      </c>
      <c r="B181" s="47">
        <f>IF(_imp!$C$183="","",INDEX(_imp!$E$4:$E$1503,_imp!$C$183))</f>
        <v/>
      </c>
      <c r="C181" s="47">
        <f>IF(_imp!$C$183="","",INDEX(_imp!$F$4:$F$1503,_imp!$C$183))</f>
        <v/>
      </c>
      <c r="E181" s="47">
        <f>IF(_imp!$C$183="","",INDEX(_imp!$G$4:$G$1503,_imp!$C$183))</f>
        <v/>
      </c>
      <c r="F181" s="47">
        <f>IF(_imp!$C$183="","",INDEX(_imp!$H$4:$H$1503,_imp!$C$183))</f>
        <v/>
      </c>
      <c r="G181" s="47">
        <f>IF(_imp!$C$183="","",INDEX(_imp!$I$4:$I$1503,_imp!$C$183))</f>
        <v/>
      </c>
      <c r="K181" s="47">
        <f>IF(_imp!$C$183="","",INDEX(_imp!$J$4:$J$1503,_imp!$C$183))</f>
        <v/>
      </c>
    </row>
    <row r="182">
      <c r="A182" s="47">
        <f>IF(_imp!$C$184="","",INDEX(_imp!$D$4:$D$1503,_imp!$C$184))</f>
        <v/>
      </c>
      <c r="B182" s="47">
        <f>IF(_imp!$C$184="","",INDEX(_imp!$E$4:$E$1503,_imp!$C$184))</f>
        <v/>
      </c>
      <c r="C182" s="47">
        <f>IF(_imp!$C$184="","",INDEX(_imp!$F$4:$F$1503,_imp!$C$184))</f>
        <v/>
      </c>
      <c r="E182" s="47">
        <f>IF(_imp!$C$184="","",INDEX(_imp!$G$4:$G$1503,_imp!$C$184))</f>
        <v/>
      </c>
      <c r="F182" s="47">
        <f>IF(_imp!$C$184="","",INDEX(_imp!$H$4:$H$1503,_imp!$C$184))</f>
        <v/>
      </c>
      <c r="G182" s="47">
        <f>IF(_imp!$C$184="","",INDEX(_imp!$I$4:$I$1503,_imp!$C$184))</f>
        <v/>
      </c>
      <c r="K182" s="47">
        <f>IF(_imp!$C$184="","",INDEX(_imp!$J$4:$J$1503,_imp!$C$184))</f>
        <v/>
      </c>
    </row>
    <row r="183">
      <c r="A183" s="47">
        <f>IF(_imp!$C$185="","",INDEX(_imp!$D$4:$D$1503,_imp!$C$185))</f>
        <v/>
      </c>
      <c r="B183" s="47">
        <f>IF(_imp!$C$185="","",INDEX(_imp!$E$4:$E$1503,_imp!$C$185))</f>
        <v/>
      </c>
      <c r="C183" s="47">
        <f>IF(_imp!$C$185="","",INDEX(_imp!$F$4:$F$1503,_imp!$C$185))</f>
        <v/>
      </c>
      <c r="E183" s="47">
        <f>IF(_imp!$C$185="","",INDEX(_imp!$G$4:$G$1503,_imp!$C$185))</f>
        <v/>
      </c>
      <c r="F183" s="47">
        <f>IF(_imp!$C$185="","",INDEX(_imp!$H$4:$H$1503,_imp!$C$185))</f>
        <v/>
      </c>
      <c r="G183" s="47">
        <f>IF(_imp!$C$185="","",INDEX(_imp!$I$4:$I$1503,_imp!$C$185))</f>
        <v/>
      </c>
      <c r="K183" s="47">
        <f>IF(_imp!$C$185="","",INDEX(_imp!$J$4:$J$1503,_imp!$C$185))</f>
        <v/>
      </c>
    </row>
    <row r="184">
      <c r="A184" s="47">
        <f>IF(_imp!$C$186="","",INDEX(_imp!$D$4:$D$1503,_imp!$C$186))</f>
        <v/>
      </c>
      <c r="B184" s="47">
        <f>IF(_imp!$C$186="","",INDEX(_imp!$E$4:$E$1503,_imp!$C$186))</f>
        <v/>
      </c>
      <c r="C184" s="47">
        <f>IF(_imp!$C$186="","",INDEX(_imp!$F$4:$F$1503,_imp!$C$186))</f>
        <v/>
      </c>
      <c r="E184" s="47">
        <f>IF(_imp!$C$186="","",INDEX(_imp!$G$4:$G$1503,_imp!$C$186))</f>
        <v/>
      </c>
      <c r="F184" s="47">
        <f>IF(_imp!$C$186="","",INDEX(_imp!$H$4:$H$1503,_imp!$C$186))</f>
        <v/>
      </c>
      <c r="G184" s="47">
        <f>IF(_imp!$C$186="","",INDEX(_imp!$I$4:$I$1503,_imp!$C$186))</f>
        <v/>
      </c>
      <c r="K184" s="47">
        <f>IF(_imp!$C$186="","",INDEX(_imp!$J$4:$J$1503,_imp!$C$186))</f>
        <v/>
      </c>
    </row>
    <row r="185">
      <c r="A185" s="47">
        <f>IF(_imp!$C$187="","",INDEX(_imp!$D$4:$D$1503,_imp!$C$187))</f>
        <v/>
      </c>
      <c r="B185" s="47">
        <f>IF(_imp!$C$187="","",INDEX(_imp!$E$4:$E$1503,_imp!$C$187))</f>
        <v/>
      </c>
      <c r="C185" s="47">
        <f>IF(_imp!$C$187="","",INDEX(_imp!$F$4:$F$1503,_imp!$C$187))</f>
        <v/>
      </c>
      <c r="E185" s="47">
        <f>IF(_imp!$C$187="","",INDEX(_imp!$G$4:$G$1503,_imp!$C$187))</f>
        <v/>
      </c>
      <c r="F185" s="47">
        <f>IF(_imp!$C$187="","",INDEX(_imp!$H$4:$H$1503,_imp!$C$187))</f>
        <v/>
      </c>
      <c r="G185" s="47">
        <f>IF(_imp!$C$187="","",INDEX(_imp!$I$4:$I$1503,_imp!$C$187))</f>
        <v/>
      </c>
      <c r="K185" s="47">
        <f>IF(_imp!$C$187="","",INDEX(_imp!$J$4:$J$1503,_imp!$C$187))</f>
        <v/>
      </c>
    </row>
    <row r="186">
      <c r="A186" s="47">
        <f>IF(_imp!$C$188="","",INDEX(_imp!$D$4:$D$1503,_imp!$C$188))</f>
        <v/>
      </c>
      <c r="B186" s="47">
        <f>IF(_imp!$C$188="","",INDEX(_imp!$E$4:$E$1503,_imp!$C$188))</f>
        <v/>
      </c>
      <c r="C186" s="47">
        <f>IF(_imp!$C$188="","",INDEX(_imp!$F$4:$F$1503,_imp!$C$188))</f>
        <v/>
      </c>
      <c r="E186" s="47">
        <f>IF(_imp!$C$188="","",INDEX(_imp!$G$4:$G$1503,_imp!$C$188))</f>
        <v/>
      </c>
      <c r="F186" s="47">
        <f>IF(_imp!$C$188="","",INDEX(_imp!$H$4:$H$1503,_imp!$C$188))</f>
        <v/>
      </c>
      <c r="G186" s="47">
        <f>IF(_imp!$C$188="","",INDEX(_imp!$I$4:$I$1503,_imp!$C$188))</f>
        <v/>
      </c>
      <c r="K186" s="47">
        <f>IF(_imp!$C$188="","",INDEX(_imp!$J$4:$J$1503,_imp!$C$188))</f>
        <v/>
      </c>
    </row>
    <row r="187">
      <c r="A187" s="47">
        <f>IF(_imp!$C$189="","",INDEX(_imp!$D$4:$D$1503,_imp!$C$189))</f>
        <v/>
      </c>
      <c r="B187" s="47">
        <f>IF(_imp!$C$189="","",INDEX(_imp!$E$4:$E$1503,_imp!$C$189))</f>
        <v/>
      </c>
      <c r="C187" s="47">
        <f>IF(_imp!$C$189="","",INDEX(_imp!$F$4:$F$1503,_imp!$C$189))</f>
        <v/>
      </c>
      <c r="E187" s="47">
        <f>IF(_imp!$C$189="","",INDEX(_imp!$G$4:$G$1503,_imp!$C$189))</f>
        <v/>
      </c>
      <c r="F187" s="47">
        <f>IF(_imp!$C$189="","",INDEX(_imp!$H$4:$H$1503,_imp!$C$189))</f>
        <v/>
      </c>
      <c r="G187" s="47">
        <f>IF(_imp!$C$189="","",INDEX(_imp!$I$4:$I$1503,_imp!$C$189))</f>
        <v/>
      </c>
      <c r="K187" s="47">
        <f>IF(_imp!$C$189="","",INDEX(_imp!$J$4:$J$1503,_imp!$C$189))</f>
        <v/>
      </c>
    </row>
    <row r="188">
      <c r="A188" s="47">
        <f>IF(_imp!$C$190="","",INDEX(_imp!$D$4:$D$1503,_imp!$C$190))</f>
        <v/>
      </c>
      <c r="B188" s="47">
        <f>IF(_imp!$C$190="","",INDEX(_imp!$E$4:$E$1503,_imp!$C$190))</f>
        <v/>
      </c>
      <c r="C188" s="47">
        <f>IF(_imp!$C$190="","",INDEX(_imp!$F$4:$F$1503,_imp!$C$190))</f>
        <v/>
      </c>
      <c r="E188" s="47">
        <f>IF(_imp!$C$190="","",INDEX(_imp!$G$4:$G$1503,_imp!$C$190))</f>
        <v/>
      </c>
      <c r="F188" s="47">
        <f>IF(_imp!$C$190="","",INDEX(_imp!$H$4:$H$1503,_imp!$C$190))</f>
        <v/>
      </c>
      <c r="G188" s="47">
        <f>IF(_imp!$C$190="","",INDEX(_imp!$I$4:$I$1503,_imp!$C$190))</f>
        <v/>
      </c>
      <c r="K188" s="47">
        <f>IF(_imp!$C$190="","",INDEX(_imp!$J$4:$J$1503,_imp!$C$190))</f>
        <v/>
      </c>
    </row>
    <row r="189">
      <c r="A189" s="47">
        <f>IF(_imp!$C$191="","",INDEX(_imp!$D$4:$D$1503,_imp!$C$191))</f>
        <v/>
      </c>
      <c r="B189" s="47">
        <f>IF(_imp!$C$191="","",INDEX(_imp!$E$4:$E$1503,_imp!$C$191))</f>
        <v/>
      </c>
      <c r="C189" s="47">
        <f>IF(_imp!$C$191="","",INDEX(_imp!$F$4:$F$1503,_imp!$C$191))</f>
        <v/>
      </c>
      <c r="E189" s="47">
        <f>IF(_imp!$C$191="","",INDEX(_imp!$G$4:$G$1503,_imp!$C$191))</f>
        <v/>
      </c>
      <c r="F189" s="47">
        <f>IF(_imp!$C$191="","",INDEX(_imp!$H$4:$H$1503,_imp!$C$191))</f>
        <v/>
      </c>
      <c r="G189" s="47">
        <f>IF(_imp!$C$191="","",INDEX(_imp!$I$4:$I$1503,_imp!$C$191))</f>
        <v/>
      </c>
      <c r="K189" s="47">
        <f>IF(_imp!$C$191="","",INDEX(_imp!$J$4:$J$1503,_imp!$C$191))</f>
        <v/>
      </c>
    </row>
    <row r="190">
      <c r="A190" s="47">
        <f>IF(_imp!$C$192="","",INDEX(_imp!$D$4:$D$1503,_imp!$C$192))</f>
        <v/>
      </c>
      <c r="B190" s="47">
        <f>IF(_imp!$C$192="","",INDEX(_imp!$E$4:$E$1503,_imp!$C$192))</f>
        <v/>
      </c>
      <c r="C190" s="47">
        <f>IF(_imp!$C$192="","",INDEX(_imp!$F$4:$F$1503,_imp!$C$192))</f>
        <v/>
      </c>
      <c r="E190" s="47">
        <f>IF(_imp!$C$192="","",INDEX(_imp!$G$4:$G$1503,_imp!$C$192))</f>
        <v/>
      </c>
      <c r="F190" s="47">
        <f>IF(_imp!$C$192="","",INDEX(_imp!$H$4:$H$1503,_imp!$C$192))</f>
        <v/>
      </c>
      <c r="G190" s="47">
        <f>IF(_imp!$C$192="","",INDEX(_imp!$I$4:$I$1503,_imp!$C$192))</f>
        <v/>
      </c>
      <c r="K190" s="47">
        <f>IF(_imp!$C$192="","",INDEX(_imp!$J$4:$J$1503,_imp!$C$192))</f>
        <v/>
      </c>
    </row>
    <row r="191">
      <c r="A191" s="47">
        <f>IF(_imp!$C$193="","",INDEX(_imp!$D$4:$D$1503,_imp!$C$193))</f>
        <v/>
      </c>
      <c r="B191" s="47">
        <f>IF(_imp!$C$193="","",INDEX(_imp!$E$4:$E$1503,_imp!$C$193))</f>
        <v/>
      </c>
      <c r="C191" s="47">
        <f>IF(_imp!$C$193="","",INDEX(_imp!$F$4:$F$1503,_imp!$C$193))</f>
        <v/>
      </c>
      <c r="E191" s="47">
        <f>IF(_imp!$C$193="","",INDEX(_imp!$G$4:$G$1503,_imp!$C$193))</f>
        <v/>
      </c>
      <c r="F191" s="47">
        <f>IF(_imp!$C$193="","",INDEX(_imp!$H$4:$H$1503,_imp!$C$193))</f>
        <v/>
      </c>
      <c r="G191" s="47">
        <f>IF(_imp!$C$193="","",INDEX(_imp!$I$4:$I$1503,_imp!$C$193))</f>
        <v/>
      </c>
      <c r="K191" s="47">
        <f>IF(_imp!$C$193="","",INDEX(_imp!$J$4:$J$1503,_imp!$C$193))</f>
        <v/>
      </c>
    </row>
    <row r="192">
      <c r="A192" s="47">
        <f>IF(_imp!$C$194="","",INDEX(_imp!$D$4:$D$1503,_imp!$C$194))</f>
        <v/>
      </c>
      <c r="B192" s="47">
        <f>IF(_imp!$C$194="","",INDEX(_imp!$E$4:$E$1503,_imp!$C$194))</f>
        <v/>
      </c>
      <c r="C192" s="47">
        <f>IF(_imp!$C$194="","",INDEX(_imp!$F$4:$F$1503,_imp!$C$194))</f>
        <v/>
      </c>
      <c r="E192" s="47">
        <f>IF(_imp!$C$194="","",INDEX(_imp!$G$4:$G$1503,_imp!$C$194))</f>
        <v/>
      </c>
      <c r="F192" s="47">
        <f>IF(_imp!$C$194="","",INDEX(_imp!$H$4:$H$1503,_imp!$C$194))</f>
        <v/>
      </c>
      <c r="G192" s="47">
        <f>IF(_imp!$C$194="","",INDEX(_imp!$I$4:$I$1503,_imp!$C$194))</f>
        <v/>
      </c>
      <c r="K192" s="47">
        <f>IF(_imp!$C$194="","",INDEX(_imp!$J$4:$J$1503,_imp!$C$194))</f>
        <v/>
      </c>
    </row>
    <row r="193">
      <c r="A193" s="47">
        <f>IF(_imp!$C$195="","",INDEX(_imp!$D$4:$D$1503,_imp!$C$195))</f>
        <v/>
      </c>
      <c r="B193" s="47">
        <f>IF(_imp!$C$195="","",INDEX(_imp!$E$4:$E$1503,_imp!$C$195))</f>
        <v/>
      </c>
      <c r="C193" s="47">
        <f>IF(_imp!$C$195="","",INDEX(_imp!$F$4:$F$1503,_imp!$C$195))</f>
        <v/>
      </c>
      <c r="E193" s="47">
        <f>IF(_imp!$C$195="","",INDEX(_imp!$G$4:$G$1503,_imp!$C$195))</f>
        <v/>
      </c>
      <c r="F193" s="47">
        <f>IF(_imp!$C$195="","",INDEX(_imp!$H$4:$H$1503,_imp!$C$195))</f>
        <v/>
      </c>
      <c r="G193" s="47">
        <f>IF(_imp!$C$195="","",INDEX(_imp!$I$4:$I$1503,_imp!$C$195))</f>
        <v/>
      </c>
      <c r="K193" s="47">
        <f>IF(_imp!$C$195="","",INDEX(_imp!$J$4:$J$1503,_imp!$C$195))</f>
        <v/>
      </c>
    </row>
    <row r="194">
      <c r="A194" s="47">
        <f>IF(_imp!$C$196="","",INDEX(_imp!$D$4:$D$1503,_imp!$C$196))</f>
        <v/>
      </c>
      <c r="B194" s="47">
        <f>IF(_imp!$C$196="","",INDEX(_imp!$E$4:$E$1503,_imp!$C$196))</f>
        <v/>
      </c>
      <c r="C194" s="47">
        <f>IF(_imp!$C$196="","",INDEX(_imp!$F$4:$F$1503,_imp!$C$196))</f>
        <v/>
      </c>
      <c r="E194" s="47">
        <f>IF(_imp!$C$196="","",INDEX(_imp!$G$4:$G$1503,_imp!$C$196))</f>
        <v/>
      </c>
      <c r="F194" s="47">
        <f>IF(_imp!$C$196="","",INDEX(_imp!$H$4:$H$1503,_imp!$C$196))</f>
        <v/>
      </c>
      <c r="G194" s="47">
        <f>IF(_imp!$C$196="","",INDEX(_imp!$I$4:$I$1503,_imp!$C$196))</f>
        <v/>
      </c>
      <c r="K194" s="47">
        <f>IF(_imp!$C$196="","",INDEX(_imp!$J$4:$J$1503,_imp!$C$196))</f>
        <v/>
      </c>
    </row>
    <row r="195">
      <c r="A195" s="47">
        <f>IF(_imp!$C$197="","",INDEX(_imp!$D$4:$D$1503,_imp!$C$197))</f>
        <v/>
      </c>
      <c r="B195" s="47">
        <f>IF(_imp!$C$197="","",INDEX(_imp!$E$4:$E$1503,_imp!$C$197))</f>
        <v/>
      </c>
      <c r="C195" s="47">
        <f>IF(_imp!$C$197="","",INDEX(_imp!$F$4:$F$1503,_imp!$C$197))</f>
        <v/>
      </c>
      <c r="E195" s="47">
        <f>IF(_imp!$C$197="","",INDEX(_imp!$G$4:$G$1503,_imp!$C$197))</f>
        <v/>
      </c>
      <c r="F195" s="47">
        <f>IF(_imp!$C$197="","",INDEX(_imp!$H$4:$H$1503,_imp!$C$197))</f>
        <v/>
      </c>
      <c r="G195" s="47">
        <f>IF(_imp!$C$197="","",INDEX(_imp!$I$4:$I$1503,_imp!$C$197))</f>
        <v/>
      </c>
      <c r="K195" s="47">
        <f>IF(_imp!$C$197="","",INDEX(_imp!$J$4:$J$1503,_imp!$C$197))</f>
        <v/>
      </c>
    </row>
    <row r="196">
      <c r="A196" s="47">
        <f>IF(_imp!$C$198="","",INDEX(_imp!$D$4:$D$1503,_imp!$C$198))</f>
        <v/>
      </c>
      <c r="B196" s="47">
        <f>IF(_imp!$C$198="","",INDEX(_imp!$E$4:$E$1503,_imp!$C$198))</f>
        <v/>
      </c>
      <c r="C196" s="47">
        <f>IF(_imp!$C$198="","",INDEX(_imp!$F$4:$F$1503,_imp!$C$198))</f>
        <v/>
      </c>
      <c r="E196" s="47">
        <f>IF(_imp!$C$198="","",INDEX(_imp!$G$4:$G$1503,_imp!$C$198))</f>
        <v/>
      </c>
      <c r="F196" s="47">
        <f>IF(_imp!$C$198="","",INDEX(_imp!$H$4:$H$1503,_imp!$C$198))</f>
        <v/>
      </c>
      <c r="G196" s="47">
        <f>IF(_imp!$C$198="","",INDEX(_imp!$I$4:$I$1503,_imp!$C$198))</f>
        <v/>
      </c>
      <c r="K196" s="47">
        <f>IF(_imp!$C$198="","",INDEX(_imp!$J$4:$J$1503,_imp!$C$198))</f>
        <v/>
      </c>
    </row>
    <row r="197">
      <c r="A197" s="47">
        <f>IF(_imp!$C$199="","",INDEX(_imp!$D$4:$D$1503,_imp!$C$199))</f>
        <v/>
      </c>
      <c r="B197" s="47">
        <f>IF(_imp!$C$199="","",INDEX(_imp!$E$4:$E$1503,_imp!$C$199))</f>
        <v/>
      </c>
      <c r="C197" s="47">
        <f>IF(_imp!$C$199="","",INDEX(_imp!$F$4:$F$1503,_imp!$C$199))</f>
        <v/>
      </c>
      <c r="E197" s="47">
        <f>IF(_imp!$C$199="","",INDEX(_imp!$G$4:$G$1503,_imp!$C$199))</f>
        <v/>
      </c>
      <c r="F197" s="47">
        <f>IF(_imp!$C$199="","",INDEX(_imp!$H$4:$H$1503,_imp!$C$199))</f>
        <v/>
      </c>
      <c r="G197" s="47">
        <f>IF(_imp!$C$199="","",INDEX(_imp!$I$4:$I$1503,_imp!$C$199))</f>
        <v/>
      </c>
      <c r="K197" s="47">
        <f>IF(_imp!$C$199="","",INDEX(_imp!$J$4:$J$1503,_imp!$C$199))</f>
        <v/>
      </c>
    </row>
    <row r="198">
      <c r="A198" s="47">
        <f>IF(_imp!$C$200="","",INDEX(_imp!$D$4:$D$1503,_imp!$C$200))</f>
        <v/>
      </c>
      <c r="B198" s="47">
        <f>IF(_imp!$C$200="","",INDEX(_imp!$E$4:$E$1503,_imp!$C$200))</f>
        <v/>
      </c>
      <c r="C198" s="47">
        <f>IF(_imp!$C$200="","",INDEX(_imp!$F$4:$F$1503,_imp!$C$200))</f>
        <v/>
      </c>
      <c r="E198" s="47">
        <f>IF(_imp!$C$200="","",INDEX(_imp!$G$4:$G$1503,_imp!$C$200))</f>
        <v/>
      </c>
      <c r="F198" s="47">
        <f>IF(_imp!$C$200="","",INDEX(_imp!$H$4:$H$1503,_imp!$C$200))</f>
        <v/>
      </c>
      <c r="G198" s="47">
        <f>IF(_imp!$C$200="","",INDEX(_imp!$I$4:$I$1503,_imp!$C$200))</f>
        <v/>
      </c>
      <c r="K198" s="47">
        <f>IF(_imp!$C$200="","",INDEX(_imp!$J$4:$J$1503,_imp!$C$200))</f>
        <v/>
      </c>
    </row>
    <row r="199">
      <c r="A199" s="47">
        <f>IF(_imp!$C$201="","",INDEX(_imp!$D$4:$D$1503,_imp!$C$201))</f>
        <v/>
      </c>
      <c r="B199" s="47">
        <f>IF(_imp!$C$201="","",INDEX(_imp!$E$4:$E$1503,_imp!$C$201))</f>
        <v/>
      </c>
      <c r="C199" s="47">
        <f>IF(_imp!$C$201="","",INDEX(_imp!$F$4:$F$1503,_imp!$C$201))</f>
        <v/>
      </c>
      <c r="E199" s="47">
        <f>IF(_imp!$C$201="","",INDEX(_imp!$G$4:$G$1503,_imp!$C$201))</f>
        <v/>
      </c>
      <c r="F199" s="47">
        <f>IF(_imp!$C$201="","",INDEX(_imp!$H$4:$H$1503,_imp!$C$201))</f>
        <v/>
      </c>
      <c r="G199" s="47">
        <f>IF(_imp!$C$201="","",INDEX(_imp!$I$4:$I$1503,_imp!$C$201))</f>
        <v/>
      </c>
      <c r="K199" s="47">
        <f>IF(_imp!$C$201="","",INDEX(_imp!$J$4:$J$1503,_imp!$C$201))</f>
        <v/>
      </c>
    </row>
    <row r="200">
      <c r="A200" s="47">
        <f>IF(_imp!$C$202="","",INDEX(_imp!$D$4:$D$1503,_imp!$C$202))</f>
        <v/>
      </c>
      <c r="B200" s="47">
        <f>IF(_imp!$C$202="","",INDEX(_imp!$E$4:$E$1503,_imp!$C$202))</f>
        <v/>
      </c>
      <c r="C200" s="47">
        <f>IF(_imp!$C$202="","",INDEX(_imp!$F$4:$F$1503,_imp!$C$202))</f>
        <v/>
      </c>
      <c r="E200" s="47">
        <f>IF(_imp!$C$202="","",INDEX(_imp!$G$4:$G$1503,_imp!$C$202))</f>
        <v/>
      </c>
      <c r="F200" s="47">
        <f>IF(_imp!$C$202="","",INDEX(_imp!$H$4:$H$1503,_imp!$C$202))</f>
        <v/>
      </c>
      <c r="G200" s="47">
        <f>IF(_imp!$C$202="","",INDEX(_imp!$I$4:$I$1503,_imp!$C$202))</f>
        <v/>
      </c>
      <c r="K200" s="47">
        <f>IF(_imp!$C$202="","",INDEX(_imp!$J$4:$J$1503,_imp!$C$202))</f>
        <v/>
      </c>
    </row>
    <row r="201">
      <c r="A201" s="47">
        <f>IF(_imp!$C$203="","",INDEX(_imp!$D$4:$D$1503,_imp!$C$203))</f>
        <v/>
      </c>
      <c r="B201" s="47">
        <f>IF(_imp!$C$203="","",INDEX(_imp!$E$4:$E$1503,_imp!$C$203))</f>
        <v/>
      </c>
      <c r="C201" s="47">
        <f>IF(_imp!$C$203="","",INDEX(_imp!$F$4:$F$1503,_imp!$C$203))</f>
        <v/>
      </c>
      <c r="E201" s="47">
        <f>IF(_imp!$C$203="","",INDEX(_imp!$G$4:$G$1503,_imp!$C$203))</f>
        <v/>
      </c>
      <c r="F201" s="47">
        <f>IF(_imp!$C$203="","",INDEX(_imp!$H$4:$H$1503,_imp!$C$203))</f>
        <v/>
      </c>
      <c r="G201" s="47">
        <f>IF(_imp!$C$203="","",INDEX(_imp!$I$4:$I$1503,_imp!$C$203))</f>
        <v/>
      </c>
      <c r="K201" s="47">
        <f>IF(_imp!$C$203="","",INDEX(_imp!$J$4:$J$1503,_imp!$C$203))</f>
        <v/>
      </c>
    </row>
    <row r="202">
      <c r="A202" s="47">
        <f>IF(_imp!$C$204="","",INDEX(_imp!$D$4:$D$1503,_imp!$C$204))</f>
        <v/>
      </c>
      <c r="B202" s="47">
        <f>IF(_imp!$C$204="","",INDEX(_imp!$E$4:$E$1503,_imp!$C$204))</f>
        <v/>
      </c>
      <c r="C202" s="47">
        <f>IF(_imp!$C$204="","",INDEX(_imp!$F$4:$F$1503,_imp!$C$204))</f>
        <v/>
      </c>
      <c r="E202" s="47">
        <f>IF(_imp!$C$204="","",INDEX(_imp!$G$4:$G$1503,_imp!$C$204))</f>
        <v/>
      </c>
      <c r="F202" s="47">
        <f>IF(_imp!$C$204="","",INDEX(_imp!$H$4:$H$1503,_imp!$C$204))</f>
        <v/>
      </c>
      <c r="G202" s="47">
        <f>IF(_imp!$C$204="","",INDEX(_imp!$I$4:$I$1503,_imp!$C$204))</f>
        <v/>
      </c>
      <c r="K202" s="47">
        <f>IF(_imp!$C$204="","",INDEX(_imp!$J$4:$J$1503,_imp!$C$204))</f>
        <v/>
      </c>
    </row>
    <row r="203">
      <c r="A203" s="47">
        <f>IF(_imp!$C$205="","",INDEX(_imp!$D$4:$D$1503,_imp!$C$205))</f>
        <v/>
      </c>
      <c r="B203" s="47">
        <f>IF(_imp!$C$205="","",INDEX(_imp!$E$4:$E$1503,_imp!$C$205))</f>
        <v/>
      </c>
      <c r="C203" s="47">
        <f>IF(_imp!$C$205="","",INDEX(_imp!$F$4:$F$1503,_imp!$C$205))</f>
        <v/>
      </c>
      <c r="E203" s="47">
        <f>IF(_imp!$C$205="","",INDEX(_imp!$G$4:$G$1503,_imp!$C$205))</f>
        <v/>
      </c>
      <c r="F203" s="47">
        <f>IF(_imp!$C$205="","",INDEX(_imp!$H$4:$H$1503,_imp!$C$205))</f>
        <v/>
      </c>
      <c r="G203" s="47">
        <f>IF(_imp!$C$205="","",INDEX(_imp!$I$4:$I$1503,_imp!$C$205))</f>
        <v/>
      </c>
      <c r="K203" s="47">
        <f>IF(_imp!$C$205="","",INDEX(_imp!$J$4:$J$1503,_imp!$C$205))</f>
        <v/>
      </c>
    </row>
    <row r="204">
      <c r="A204" s="47">
        <f>IF(_imp!$C$206="","",INDEX(_imp!$D$4:$D$1503,_imp!$C$206))</f>
        <v/>
      </c>
      <c r="B204" s="47">
        <f>IF(_imp!$C$206="","",INDEX(_imp!$E$4:$E$1503,_imp!$C$206))</f>
        <v/>
      </c>
      <c r="C204" s="47">
        <f>IF(_imp!$C$206="","",INDEX(_imp!$F$4:$F$1503,_imp!$C$206))</f>
        <v/>
      </c>
      <c r="E204" s="47">
        <f>IF(_imp!$C$206="","",INDEX(_imp!$G$4:$G$1503,_imp!$C$206))</f>
        <v/>
      </c>
      <c r="F204" s="47">
        <f>IF(_imp!$C$206="","",INDEX(_imp!$H$4:$H$1503,_imp!$C$206))</f>
        <v/>
      </c>
      <c r="G204" s="47">
        <f>IF(_imp!$C$206="","",INDEX(_imp!$I$4:$I$1503,_imp!$C$206))</f>
        <v/>
      </c>
      <c r="K204" s="47">
        <f>IF(_imp!$C$206="","",INDEX(_imp!$J$4:$J$1503,_imp!$C$206))</f>
        <v/>
      </c>
    </row>
    <row r="205">
      <c r="A205" s="47">
        <f>IF(_imp!$C$207="","",INDEX(_imp!$D$4:$D$1503,_imp!$C$207))</f>
        <v/>
      </c>
      <c r="B205" s="47">
        <f>IF(_imp!$C$207="","",INDEX(_imp!$E$4:$E$1503,_imp!$C$207))</f>
        <v/>
      </c>
      <c r="C205" s="47">
        <f>IF(_imp!$C$207="","",INDEX(_imp!$F$4:$F$1503,_imp!$C$207))</f>
        <v/>
      </c>
      <c r="E205" s="47">
        <f>IF(_imp!$C$207="","",INDEX(_imp!$G$4:$G$1503,_imp!$C$207))</f>
        <v/>
      </c>
      <c r="F205" s="47">
        <f>IF(_imp!$C$207="","",INDEX(_imp!$H$4:$H$1503,_imp!$C$207))</f>
        <v/>
      </c>
      <c r="G205" s="47">
        <f>IF(_imp!$C$207="","",INDEX(_imp!$I$4:$I$1503,_imp!$C$207))</f>
        <v/>
      </c>
      <c r="K205" s="47">
        <f>IF(_imp!$C$207="","",INDEX(_imp!$J$4:$J$1503,_imp!$C$207))</f>
        <v/>
      </c>
    </row>
    <row r="206">
      <c r="A206" s="47">
        <f>IF(_imp!$C$208="","",INDEX(_imp!$D$4:$D$1503,_imp!$C$208))</f>
        <v/>
      </c>
      <c r="B206" s="47">
        <f>IF(_imp!$C$208="","",INDEX(_imp!$E$4:$E$1503,_imp!$C$208))</f>
        <v/>
      </c>
      <c r="C206" s="47">
        <f>IF(_imp!$C$208="","",INDEX(_imp!$F$4:$F$1503,_imp!$C$208))</f>
        <v/>
      </c>
      <c r="E206" s="47">
        <f>IF(_imp!$C$208="","",INDEX(_imp!$G$4:$G$1503,_imp!$C$208))</f>
        <v/>
      </c>
      <c r="F206" s="47">
        <f>IF(_imp!$C$208="","",INDEX(_imp!$H$4:$H$1503,_imp!$C$208))</f>
        <v/>
      </c>
      <c r="G206" s="47">
        <f>IF(_imp!$C$208="","",INDEX(_imp!$I$4:$I$1503,_imp!$C$208))</f>
        <v/>
      </c>
      <c r="K206" s="47">
        <f>IF(_imp!$C$208="","",INDEX(_imp!$J$4:$J$1503,_imp!$C$208))</f>
        <v/>
      </c>
    </row>
    <row r="207">
      <c r="A207" s="47">
        <f>IF(_imp!$C$209="","",INDEX(_imp!$D$4:$D$1503,_imp!$C$209))</f>
        <v/>
      </c>
      <c r="B207" s="47">
        <f>IF(_imp!$C$209="","",INDEX(_imp!$E$4:$E$1503,_imp!$C$209))</f>
        <v/>
      </c>
      <c r="C207" s="47">
        <f>IF(_imp!$C$209="","",INDEX(_imp!$F$4:$F$1503,_imp!$C$209))</f>
        <v/>
      </c>
      <c r="E207" s="47">
        <f>IF(_imp!$C$209="","",INDEX(_imp!$G$4:$G$1503,_imp!$C$209))</f>
        <v/>
      </c>
      <c r="F207" s="47">
        <f>IF(_imp!$C$209="","",INDEX(_imp!$H$4:$H$1503,_imp!$C$209))</f>
        <v/>
      </c>
      <c r="G207" s="47">
        <f>IF(_imp!$C$209="","",INDEX(_imp!$I$4:$I$1503,_imp!$C$209))</f>
        <v/>
      </c>
      <c r="K207" s="47">
        <f>IF(_imp!$C$209="","",INDEX(_imp!$J$4:$J$1503,_imp!$C$209))</f>
        <v/>
      </c>
    </row>
    <row r="208">
      <c r="A208" s="47">
        <f>IF(_imp!$C$210="","",INDEX(_imp!$D$4:$D$1503,_imp!$C$210))</f>
        <v/>
      </c>
      <c r="B208" s="47">
        <f>IF(_imp!$C$210="","",INDEX(_imp!$E$4:$E$1503,_imp!$C$210))</f>
        <v/>
      </c>
      <c r="C208" s="47">
        <f>IF(_imp!$C$210="","",INDEX(_imp!$F$4:$F$1503,_imp!$C$210))</f>
        <v/>
      </c>
      <c r="E208" s="47">
        <f>IF(_imp!$C$210="","",INDEX(_imp!$G$4:$G$1503,_imp!$C$210))</f>
        <v/>
      </c>
      <c r="F208" s="47">
        <f>IF(_imp!$C$210="","",INDEX(_imp!$H$4:$H$1503,_imp!$C$210))</f>
        <v/>
      </c>
      <c r="G208" s="47">
        <f>IF(_imp!$C$210="","",INDEX(_imp!$I$4:$I$1503,_imp!$C$210))</f>
        <v/>
      </c>
      <c r="K208" s="47">
        <f>IF(_imp!$C$210="","",INDEX(_imp!$J$4:$J$1503,_imp!$C$210))</f>
        <v/>
      </c>
    </row>
    <row r="209">
      <c r="A209" s="47">
        <f>IF(_imp!$C$211="","",INDEX(_imp!$D$4:$D$1503,_imp!$C$211))</f>
        <v/>
      </c>
      <c r="B209" s="47">
        <f>IF(_imp!$C$211="","",INDEX(_imp!$E$4:$E$1503,_imp!$C$211))</f>
        <v/>
      </c>
      <c r="C209" s="47">
        <f>IF(_imp!$C$211="","",INDEX(_imp!$F$4:$F$1503,_imp!$C$211))</f>
        <v/>
      </c>
      <c r="E209" s="47">
        <f>IF(_imp!$C$211="","",INDEX(_imp!$G$4:$G$1503,_imp!$C$211))</f>
        <v/>
      </c>
      <c r="F209" s="47">
        <f>IF(_imp!$C$211="","",INDEX(_imp!$H$4:$H$1503,_imp!$C$211))</f>
        <v/>
      </c>
      <c r="G209" s="47">
        <f>IF(_imp!$C$211="","",INDEX(_imp!$I$4:$I$1503,_imp!$C$211))</f>
        <v/>
      </c>
      <c r="K209" s="47">
        <f>IF(_imp!$C$211="","",INDEX(_imp!$J$4:$J$1503,_imp!$C$211))</f>
        <v/>
      </c>
    </row>
    <row r="210">
      <c r="A210" s="47">
        <f>IF(_imp!$C$212="","",INDEX(_imp!$D$4:$D$1503,_imp!$C$212))</f>
        <v/>
      </c>
      <c r="B210" s="47">
        <f>IF(_imp!$C$212="","",INDEX(_imp!$E$4:$E$1503,_imp!$C$212))</f>
        <v/>
      </c>
      <c r="C210" s="47">
        <f>IF(_imp!$C$212="","",INDEX(_imp!$F$4:$F$1503,_imp!$C$212))</f>
        <v/>
      </c>
      <c r="E210" s="47">
        <f>IF(_imp!$C$212="","",INDEX(_imp!$G$4:$G$1503,_imp!$C$212))</f>
        <v/>
      </c>
      <c r="F210" s="47">
        <f>IF(_imp!$C$212="","",INDEX(_imp!$H$4:$H$1503,_imp!$C$212))</f>
        <v/>
      </c>
      <c r="G210" s="47">
        <f>IF(_imp!$C$212="","",INDEX(_imp!$I$4:$I$1503,_imp!$C$212))</f>
        <v/>
      </c>
      <c r="K210" s="47">
        <f>IF(_imp!$C$212="","",INDEX(_imp!$J$4:$J$1503,_imp!$C$212))</f>
        <v/>
      </c>
    </row>
    <row r="211">
      <c r="A211" s="47">
        <f>IF(_imp!$C$213="","",INDEX(_imp!$D$4:$D$1503,_imp!$C$213))</f>
        <v/>
      </c>
      <c r="B211" s="47">
        <f>IF(_imp!$C$213="","",INDEX(_imp!$E$4:$E$1503,_imp!$C$213))</f>
        <v/>
      </c>
      <c r="C211" s="47">
        <f>IF(_imp!$C$213="","",INDEX(_imp!$F$4:$F$1503,_imp!$C$213))</f>
        <v/>
      </c>
      <c r="E211" s="47">
        <f>IF(_imp!$C$213="","",INDEX(_imp!$G$4:$G$1503,_imp!$C$213))</f>
        <v/>
      </c>
      <c r="F211" s="47">
        <f>IF(_imp!$C$213="","",INDEX(_imp!$H$4:$H$1503,_imp!$C$213))</f>
        <v/>
      </c>
      <c r="G211" s="47">
        <f>IF(_imp!$C$213="","",INDEX(_imp!$I$4:$I$1503,_imp!$C$213))</f>
        <v/>
      </c>
      <c r="K211" s="47">
        <f>IF(_imp!$C$213="","",INDEX(_imp!$J$4:$J$1503,_imp!$C$213))</f>
        <v/>
      </c>
    </row>
    <row r="212">
      <c r="A212" s="47">
        <f>IF(_imp!$C$214="","",INDEX(_imp!$D$4:$D$1503,_imp!$C$214))</f>
        <v/>
      </c>
      <c r="B212" s="47">
        <f>IF(_imp!$C$214="","",INDEX(_imp!$E$4:$E$1503,_imp!$C$214))</f>
        <v/>
      </c>
      <c r="C212" s="47">
        <f>IF(_imp!$C$214="","",INDEX(_imp!$F$4:$F$1503,_imp!$C$214))</f>
        <v/>
      </c>
      <c r="E212" s="47">
        <f>IF(_imp!$C$214="","",INDEX(_imp!$G$4:$G$1503,_imp!$C$214))</f>
        <v/>
      </c>
      <c r="F212" s="47">
        <f>IF(_imp!$C$214="","",INDEX(_imp!$H$4:$H$1503,_imp!$C$214))</f>
        <v/>
      </c>
      <c r="G212" s="47">
        <f>IF(_imp!$C$214="","",INDEX(_imp!$I$4:$I$1503,_imp!$C$214))</f>
        <v/>
      </c>
      <c r="K212" s="47">
        <f>IF(_imp!$C$214="","",INDEX(_imp!$J$4:$J$1503,_imp!$C$214))</f>
        <v/>
      </c>
    </row>
    <row r="213">
      <c r="A213" s="47">
        <f>IF(_imp!$C$215="","",INDEX(_imp!$D$4:$D$1503,_imp!$C$215))</f>
        <v/>
      </c>
      <c r="B213" s="47">
        <f>IF(_imp!$C$215="","",INDEX(_imp!$E$4:$E$1503,_imp!$C$215))</f>
        <v/>
      </c>
      <c r="C213" s="47">
        <f>IF(_imp!$C$215="","",INDEX(_imp!$F$4:$F$1503,_imp!$C$215))</f>
        <v/>
      </c>
      <c r="E213" s="47">
        <f>IF(_imp!$C$215="","",INDEX(_imp!$G$4:$G$1503,_imp!$C$215))</f>
        <v/>
      </c>
      <c r="F213" s="47">
        <f>IF(_imp!$C$215="","",INDEX(_imp!$H$4:$H$1503,_imp!$C$215))</f>
        <v/>
      </c>
      <c r="G213" s="47">
        <f>IF(_imp!$C$215="","",INDEX(_imp!$I$4:$I$1503,_imp!$C$215))</f>
        <v/>
      </c>
      <c r="K213" s="47">
        <f>IF(_imp!$C$215="","",INDEX(_imp!$J$4:$J$1503,_imp!$C$215))</f>
        <v/>
      </c>
    </row>
    <row r="214">
      <c r="A214" s="47">
        <f>IF(_imp!$C$216="","",INDEX(_imp!$D$4:$D$1503,_imp!$C$216))</f>
        <v/>
      </c>
      <c r="B214" s="47">
        <f>IF(_imp!$C$216="","",INDEX(_imp!$E$4:$E$1503,_imp!$C$216))</f>
        <v/>
      </c>
      <c r="C214" s="47">
        <f>IF(_imp!$C$216="","",INDEX(_imp!$F$4:$F$1503,_imp!$C$216))</f>
        <v/>
      </c>
      <c r="E214" s="47">
        <f>IF(_imp!$C$216="","",INDEX(_imp!$G$4:$G$1503,_imp!$C$216))</f>
        <v/>
      </c>
      <c r="F214" s="47">
        <f>IF(_imp!$C$216="","",INDEX(_imp!$H$4:$H$1503,_imp!$C$216))</f>
        <v/>
      </c>
      <c r="G214" s="47">
        <f>IF(_imp!$C$216="","",INDEX(_imp!$I$4:$I$1503,_imp!$C$216))</f>
        <v/>
      </c>
      <c r="K214" s="47">
        <f>IF(_imp!$C$216="","",INDEX(_imp!$J$4:$J$1503,_imp!$C$216))</f>
        <v/>
      </c>
    </row>
    <row r="215">
      <c r="A215" s="47">
        <f>IF(_imp!$C$217="","",INDEX(_imp!$D$4:$D$1503,_imp!$C$217))</f>
        <v/>
      </c>
      <c r="B215" s="47">
        <f>IF(_imp!$C$217="","",INDEX(_imp!$E$4:$E$1503,_imp!$C$217))</f>
        <v/>
      </c>
      <c r="C215" s="47">
        <f>IF(_imp!$C$217="","",INDEX(_imp!$F$4:$F$1503,_imp!$C$217))</f>
        <v/>
      </c>
      <c r="E215" s="47">
        <f>IF(_imp!$C$217="","",INDEX(_imp!$G$4:$G$1503,_imp!$C$217))</f>
        <v/>
      </c>
      <c r="F215" s="47">
        <f>IF(_imp!$C$217="","",INDEX(_imp!$H$4:$H$1503,_imp!$C$217))</f>
        <v/>
      </c>
      <c r="G215" s="47">
        <f>IF(_imp!$C$217="","",INDEX(_imp!$I$4:$I$1503,_imp!$C$217))</f>
        <v/>
      </c>
      <c r="K215" s="47">
        <f>IF(_imp!$C$217="","",INDEX(_imp!$J$4:$J$1503,_imp!$C$217))</f>
        <v/>
      </c>
    </row>
    <row r="216">
      <c r="A216" s="47">
        <f>IF(_imp!$C$218="","",INDEX(_imp!$D$4:$D$1503,_imp!$C$218))</f>
        <v/>
      </c>
      <c r="B216" s="47">
        <f>IF(_imp!$C$218="","",INDEX(_imp!$E$4:$E$1503,_imp!$C$218))</f>
        <v/>
      </c>
      <c r="C216" s="47">
        <f>IF(_imp!$C$218="","",INDEX(_imp!$F$4:$F$1503,_imp!$C$218))</f>
        <v/>
      </c>
      <c r="E216" s="47">
        <f>IF(_imp!$C$218="","",INDEX(_imp!$G$4:$G$1503,_imp!$C$218))</f>
        <v/>
      </c>
      <c r="F216" s="47">
        <f>IF(_imp!$C$218="","",INDEX(_imp!$H$4:$H$1503,_imp!$C$218))</f>
        <v/>
      </c>
      <c r="G216" s="47">
        <f>IF(_imp!$C$218="","",INDEX(_imp!$I$4:$I$1503,_imp!$C$218))</f>
        <v/>
      </c>
      <c r="K216" s="47">
        <f>IF(_imp!$C$218="","",INDEX(_imp!$J$4:$J$1503,_imp!$C$218))</f>
        <v/>
      </c>
    </row>
    <row r="217">
      <c r="A217" s="47">
        <f>IF(_imp!$C$219="","",INDEX(_imp!$D$4:$D$1503,_imp!$C$219))</f>
        <v/>
      </c>
      <c r="B217" s="47">
        <f>IF(_imp!$C$219="","",INDEX(_imp!$E$4:$E$1503,_imp!$C$219))</f>
        <v/>
      </c>
      <c r="C217" s="47">
        <f>IF(_imp!$C$219="","",INDEX(_imp!$F$4:$F$1503,_imp!$C$219))</f>
        <v/>
      </c>
      <c r="E217" s="47">
        <f>IF(_imp!$C$219="","",INDEX(_imp!$G$4:$G$1503,_imp!$C$219))</f>
        <v/>
      </c>
      <c r="F217" s="47">
        <f>IF(_imp!$C$219="","",INDEX(_imp!$H$4:$H$1503,_imp!$C$219))</f>
        <v/>
      </c>
      <c r="G217" s="47">
        <f>IF(_imp!$C$219="","",INDEX(_imp!$I$4:$I$1503,_imp!$C$219))</f>
        <v/>
      </c>
      <c r="K217" s="47">
        <f>IF(_imp!$C$219="","",INDEX(_imp!$J$4:$J$1503,_imp!$C$219))</f>
        <v/>
      </c>
    </row>
    <row r="218">
      <c r="A218" s="47">
        <f>IF(_imp!$C$220="","",INDEX(_imp!$D$4:$D$1503,_imp!$C$220))</f>
        <v/>
      </c>
      <c r="B218" s="47">
        <f>IF(_imp!$C$220="","",INDEX(_imp!$E$4:$E$1503,_imp!$C$220))</f>
        <v/>
      </c>
      <c r="C218" s="47">
        <f>IF(_imp!$C$220="","",INDEX(_imp!$F$4:$F$1503,_imp!$C$220))</f>
        <v/>
      </c>
      <c r="E218" s="47">
        <f>IF(_imp!$C$220="","",INDEX(_imp!$G$4:$G$1503,_imp!$C$220))</f>
        <v/>
      </c>
      <c r="F218" s="47">
        <f>IF(_imp!$C$220="","",INDEX(_imp!$H$4:$H$1503,_imp!$C$220))</f>
        <v/>
      </c>
      <c r="G218" s="47">
        <f>IF(_imp!$C$220="","",INDEX(_imp!$I$4:$I$1503,_imp!$C$220))</f>
        <v/>
      </c>
      <c r="K218" s="47">
        <f>IF(_imp!$C$220="","",INDEX(_imp!$J$4:$J$1503,_imp!$C$220))</f>
        <v/>
      </c>
    </row>
    <row r="219">
      <c r="A219" s="47">
        <f>IF(_imp!$C$221="","",INDEX(_imp!$D$4:$D$1503,_imp!$C$221))</f>
        <v/>
      </c>
      <c r="B219" s="47">
        <f>IF(_imp!$C$221="","",INDEX(_imp!$E$4:$E$1503,_imp!$C$221))</f>
        <v/>
      </c>
      <c r="C219" s="47">
        <f>IF(_imp!$C$221="","",INDEX(_imp!$F$4:$F$1503,_imp!$C$221))</f>
        <v/>
      </c>
      <c r="E219" s="47">
        <f>IF(_imp!$C$221="","",INDEX(_imp!$G$4:$G$1503,_imp!$C$221))</f>
        <v/>
      </c>
      <c r="F219" s="47">
        <f>IF(_imp!$C$221="","",INDEX(_imp!$H$4:$H$1503,_imp!$C$221))</f>
        <v/>
      </c>
      <c r="G219" s="47">
        <f>IF(_imp!$C$221="","",INDEX(_imp!$I$4:$I$1503,_imp!$C$221))</f>
        <v/>
      </c>
      <c r="K219" s="47">
        <f>IF(_imp!$C$221="","",INDEX(_imp!$J$4:$J$1503,_imp!$C$221))</f>
        <v/>
      </c>
    </row>
    <row r="220">
      <c r="A220" s="47">
        <f>IF(_imp!$C$222="","",INDEX(_imp!$D$4:$D$1503,_imp!$C$222))</f>
        <v/>
      </c>
      <c r="B220" s="47">
        <f>IF(_imp!$C$222="","",INDEX(_imp!$E$4:$E$1503,_imp!$C$222))</f>
        <v/>
      </c>
      <c r="C220" s="47">
        <f>IF(_imp!$C$222="","",INDEX(_imp!$F$4:$F$1503,_imp!$C$222))</f>
        <v/>
      </c>
      <c r="E220" s="47">
        <f>IF(_imp!$C$222="","",INDEX(_imp!$G$4:$G$1503,_imp!$C$222))</f>
        <v/>
      </c>
      <c r="F220" s="47">
        <f>IF(_imp!$C$222="","",INDEX(_imp!$H$4:$H$1503,_imp!$C$222))</f>
        <v/>
      </c>
      <c r="G220" s="47">
        <f>IF(_imp!$C$222="","",INDEX(_imp!$I$4:$I$1503,_imp!$C$222))</f>
        <v/>
      </c>
      <c r="K220" s="47">
        <f>IF(_imp!$C$222="","",INDEX(_imp!$J$4:$J$1503,_imp!$C$222))</f>
        <v/>
      </c>
    </row>
    <row r="221">
      <c r="A221" s="47">
        <f>IF(_imp!$C$223="","",INDEX(_imp!$D$4:$D$1503,_imp!$C$223))</f>
        <v/>
      </c>
      <c r="B221" s="47">
        <f>IF(_imp!$C$223="","",INDEX(_imp!$E$4:$E$1503,_imp!$C$223))</f>
        <v/>
      </c>
      <c r="C221" s="47">
        <f>IF(_imp!$C$223="","",INDEX(_imp!$F$4:$F$1503,_imp!$C$223))</f>
        <v/>
      </c>
      <c r="E221" s="47">
        <f>IF(_imp!$C$223="","",INDEX(_imp!$G$4:$G$1503,_imp!$C$223))</f>
        <v/>
      </c>
      <c r="F221" s="47">
        <f>IF(_imp!$C$223="","",INDEX(_imp!$H$4:$H$1503,_imp!$C$223))</f>
        <v/>
      </c>
      <c r="G221" s="47">
        <f>IF(_imp!$C$223="","",INDEX(_imp!$I$4:$I$1503,_imp!$C$223))</f>
        <v/>
      </c>
      <c r="K221" s="47">
        <f>IF(_imp!$C$223="","",INDEX(_imp!$J$4:$J$1503,_imp!$C$223))</f>
        <v/>
      </c>
    </row>
    <row r="222">
      <c r="A222" s="47">
        <f>IF(_imp!$C$224="","",INDEX(_imp!$D$4:$D$1503,_imp!$C$224))</f>
        <v/>
      </c>
      <c r="B222" s="47">
        <f>IF(_imp!$C$224="","",INDEX(_imp!$E$4:$E$1503,_imp!$C$224))</f>
        <v/>
      </c>
      <c r="C222" s="47">
        <f>IF(_imp!$C$224="","",INDEX(_imp!$F$4:$F$1503,_imp!$C$224))</f>
        <v/>
      </c>
      <c r="E222" s="47">
        <f>IF(_imp!$C$224="","",INDEX(_imp!$G$4:$G$1503,_imp!$C$224))</f>
        <v/>
      </c>
      <c r="F222" s="47">
        <f>IF(_imp!$C$224="","",INDEX(_imp!$H$4:$H$1503,_imp!$C$224))</f>
        <v/>
      </c>
      <c r="G222" s="47">
        <f>IF(_imp!$C$224="","",INDEX(_imp!$I$4:$I$1503,_imp!$C$224))</f>
        <v/>
      </c>
      <c r="K222" s="47">
        <f>IF(_imp!$C$224="","",INDEX(_imp!$J$4:$J$1503,_imp!$C$224))</f>
        <v/>
      </c>
    </row>
    <row r="223">
      <c r="A223" s="47">
        <f>IF(_imp!$C$225="","",INDEX(_imp!$D$4:$D$1503,_imp!$C$225))</f>
        <v/>
      </c>
      <c r="B223" s="47">
        <f>IF(_imp!$C$225="","",INDEX(_imp!$E$4:$E$1503,_imp!$C$225))</f>
        <v/>
      </c>
      <c r="C223" s="47">
        <f>IF(_imp!$C$225="","",INDEX(_imp!$F$4:$F$1503,_imp!$C$225))</f>
        <v/>
      </c>
      <c r="E223" s="47">
        <f>IF(_imp!$C$225="","",INDEX(_imp!$G$4:$G$1503,_imp!$C$225))</f>
        <v/>
      </c>
      <c r="F223" s="47">
        <f>IF(_imp!$C$225="","",INDEX(_imp!$H$4:$H$1503,_imp!$C$225))</f>
        <v/>
      </c>
      <c r="G223" s="47">
        <f>IF(_imp!$C$225="","",INDEX(_imp!$I$4:$I$1503,_imp!$C$225))</f>
        <v/>
      </c>
      <c r="K223" s="47">
        <f>IF(_imp!$C$225="","",INDEX(_imp!$J$4:$J$1503,_imp!$C$225))</f>
        <v/>
      </c>
    </row>
    <row r="224">
      <c r="A224" s="47">
        <f>IF(_imp!$C$226="","",INDEX(_imp!$D$4:$D$1503,_imp!$C$226))</f>
        <v/>
      </c>
      <c r="B224" s="47">
        <f>IF(_imp!$C$226="","",INDEX(_imp!$E$4:$E$1503,_imp!$C$226))</f>
        <v/>
      </c>
      <c r="C224" s="47">
        <f>IF(_imp!$C$226="","",INDEX(_imp!$F$4:$F$1503,_imp!$C$226))</f>
        <v/>
      </c>
      <c r="E224" s="47">
        <f>IF(_imp!$C$226="","",INDEX(_imp!$G$4:$G$1503,_imp!$C$226))</f>
        <v/>
      </c>
      <c r="F224" s="47">
        <f>IF(_imp!$C$226="","",INDEX(_imp!$H$4:$H$1503,_imp!$C$226))</f>
        <v/>
      </c>
      <c r="G224" s="47">
        <f>IF(_imp!$C$226="","",INDEX(_imp!$I$4:$I$1503,_imp!$C$226))</f>
        <v/>
      </c>
      <c r="K224" s="47">
        <f>IF(_imp!$C$226="","",INDEX(_imp!$J$4:$J$1503,_imp!$C$226))</f>
        <v/>
      </c>
    </row>
    <row r="225">
      <c r="A225" s="47">
        <f>IF(_imp!$C$227="","",INDEX(_imp!$D$4:$D$1503,_imp!$C$227))</f>
        <v/>
      </c>
      <c r="B225" s="47">
        <f>IF(_imp!$C$227="","",INDEX(_imp!$E$4:$E$1503,_imp!$C$227))</f>
        <v/>
      </c>
      <c r="C225" s="47">
        <f>IF(_imp!$C$227="","",INDEX(_imp!$F$4:$F$1503,_imp!$C$227))</f>
        <v/>
      </c>
      <c r="E225" s="47">
        <f>IF(_imp!$C$227="","",INDEX(_imp!$G$4:$G$1503,_imp!$C$227))</f>
        <v/>
      </c>
      <c r="F225" s="47">
        <f>IF(_imp!$C$227="","",INDEX(_imp!$H$4:$H$1503,_imp!$C$227))</f>
        <v/>
      </c>
      <c r="G225" s="47">
        <f>IF(_imp!$C$227="","",INDEX(_imp!$I$4:$I$1503,_imp!$C$227))</f>
        <v/>
      </c>
      <c r="K225" s="47">
        <f>IF(_imp!$C$227="","",INDEX(_imp!$J$4:$J$1503,_imp!$C$227))</f>
        <v/>
      </c>
    </row>
    <row r="226">
      <c r="A226" s="47">
        <f>IF(_imp!$C$228="","",INDEX(_imp!$D$4:$D$1503,_imp!$C$228))</f>
        <v/>
      </c>
      <c r="B226" s="47">
        <f>IF(_imp!$C$228="","",INDEX(_imp!$E$4:$E$1503,_imp!$C$228))</f>
        <v/>
      </c>
      <c r="C226" s="47">
        <f>IF(_imp!$C$228="","",INDEX(_imp!$F$4:$F$1503,_imp!$C$228))</f>
        <v/>
      </c>
      <c r="E226" s="47">
        <f>IF(_imp!$C$228="","",INDEX(_imp!$G$4:$G$1503,_imp!$C$228))</f>
        <v/>
      </c>
      <c r="F226" s="47">
        <f>IF(_imp!$C$228="","",INDEX(_imp!$H$4:$H$1503,_imp!$C$228))</f>
        <v/>
      </c>
      <c r="G226" s="47">
        <f>IF(_imp!$C$228="","",INDEX(_imp!$I$4:$I$1503,_imp!$C$228))</f>
        <v/>
      </c>
      <c r="K226" s="47">
        <f>IF(_imp!$C$228="","",INDEX(_imp!$J$4:$J$1503,_imp!$C$228))</f>
        <v/>
      </c>
    </row>
    <row r="227">
      <c r="A227" s="47">
        <f>IF(_imp!$C$229="","",INDEX(_imp!$D$4:$D$1503,_imp!$C$229))</f>
        <v/>
      </c>
      <c r="B227" s="47">
        <f>IF(_imp!$C$229="","",INDEX(_imp!$E$4:$E$1503,_imp!$C$229))</f>
        <v/>
      </c>
      <c r="C227" s="47">
        <f>IF(_imp!$C$229="","",INDEX(_imp!$F$4:$F$1503,_imp!$C$229))</f>
        <v/>
      </c>
      <c r="E227" s="47">
        <f>IF(_imp!$C$229="","",INDEX(_imp!$G$4:$G$1503,_imp!$C$229))</f>
        <v/>
      </c>
      <c r="F227" s="47">
        <f>IF(_imp!$C$229="","",INDEX(_imp!$H$4:$H$1503,_imp!$C$229))</f>
        <v/>
      </c>
      <c r="G227" s="47">
        <f>IF(_imp!$C$229="","",INDEX(_imp!$I$4:$I$1503,_imp!$C$229))</f>
        <v/>
      </c>
      <c r="K227" s="47">
        <f>IF(_imp!$C$229="","",INDEX(_imp!$J$4:$J$1503,_imp!$C$229))</f>
        <v/>
      </c>
    </row>
    <row r="228">
      <c r="A228" s="47">
        <f>IF(_imp!$C$230="","",INDEX(_imp!$D$4:$D$1503,_imp!$C$230))</f>
        <v/>
      </c>
      <c r="B228" s="47">
        <f>IF(_imp!$C$230="","",INDEX(_imp!$E$4:$E$1503,_imp!$C$230))</f>
        <v/>
      </c>
      <c r="C228" s="47">
        <f>IF(_imp!$C$230="","",INDEX(_imp!$F$4:$F$1503,_imp!$C$230))</f>
        <v/>
      </c>
      <c r="E228" s="47">
        <f>IF(_imp!$C$230="","",INDEX(_imp!$G$4:$G$1503,_imp!$C$230))</f>
        <v/>
      </c>
      <c r="F228" s="47">
        <f>IF(_imp!$C$230="","",INDEX(_imp!$H$4:$H$1503,_imp!$C$230))</f>
        <v/>
      </c>
      <c r="G228" s="47">
        <f>IF(_imp!$C$230="","",INDEX(_imp!$I$4:$I$1503,_imp!$C$230))</f>
        <v/>
      </c>
      <c r="K228" s="47">
        <f>IF(_imp!$C$230="","",INDEX(_imp!$J$4:$J$1503,_imp!$C$230))</f>
        <v/>
      </c>
    </row>
    <row r="229">
      <c r="A229" s="47">
        <f>IF(_imp!$C$231="","",INDEX(_imp!$D$4:$D$1503,_imp!$C$231))</f>
        <v/>
      </c>
      <c r="B229" s="47">
        <f>IF(_imp!$C$231="","",INDEX(_imp!$E$4:$E$1503,_imp!$C$231))</f>
        <v/>
      </c>
      <c r="C229" s="47">
        <f>IF(_imp!$C$231="","",INDEX(_imp!$F$4:$F$1503,_imp!$C$231))</f>
        <v/>
      </c>
      <c r="E229" s="47">
        <f>IF(_imp!$C$231="","",INDEX(_imp!$G$4:$G$1503,_imp!$C$231))</f>
        <v/>
      </c>
      <c r="F229" s="47">
        <f>IF(_imp!$C$231="","",INDEX(_imp!$H$4:$H$1503,_imp!$C$231))</f>
        <v/>
      </c>
      <c r="G229" s="47">
        <f>IF(_imp!$C$231="","",INDEX(_imp!$I$4:$I$1503,_imp!$C$231))</f>
        <v/>
      </c>
      <c r="K229" s="47">
        <f>IF(_imp!$C$231="","",INDEX(_imp!$J$4:$J$1503,_imp!$C$231))</f>
        <v/>
      </c>
    </row>
    <row r="230">
      <c r="A230" s="47">
        <f>IF(_imp!$C$232="","",INDEX(_imp!$D$4:$D$1503,_imp!$C$232))</f>
        <v/>
      </c>
      <c r="B230" s="47">
        <f>IF(_imp!$C$232="","",INDEX(_imp!$E$4:$E$1503,_imp!$C$232))</f>
        <v/>
      </c>
      <c r="C230" s="47">
        <f>IF(_imp!$C$232="","",INDEX(_imp!$F$4:$F$1503,_imp!$C$232))</f>
        <v/>
      </c>
      <c r="E230" s="47">
        <f>IF(_imp!$C$232="","",INDEX(_imp!$G$4:$G$1503,_imp!$C$232))</f>
        <v/>
      </c>
      <c r="F230" s="47">
        <f>IF(_imp!$C$232="","",INDEX(_imp!$H$4:$H$1503,_imp!$C$232))</f>
        <v/>
      </c>
      <c r="G230" s="47">
        <f>IF(_imp!$C$232="","",INDEX(_imp!$I$4:$I$1503,_imp!$C$232))</f>
        <v/>
      </c>
      <c r="K230" s="47">
        <f>IF(_imp!$C$232="","",INDEX(_imp!$J$4:$J$1503,_imp!$C$232))</f>
        <v/>
      </c>
    </row>
    <row r="231">
      <c r="A231" s="47">
        <f>IF(_imp!$C$233="","",INDEX(_imp!$D$4:$D$1503,_imp!$C$233))</f>
        <v/>
      </c>
      <c r="B231" s="47">
        <f>IF(_imp!$C$233="","",INDEX(_imp!$E$4:$E$1503,_imp!$C$233))</f>
        <v/>
      </c>
      <c r="C231" s="47">
        <f>IF(_imp!$C$233="","",INDEX(_imp!$F$4:$F$1503,_imp!$C$233))</f>
        <v/>
      </c>
      <c r="E231" s="47">
        <f>IF(_imp!$C$233="","",INDEX(_imp!$G$4:$G$1503,_imp!$C$233))</f>
        <v/>
      </c>
      <c r="F231" s="47">
        <f>IF(_imp!$C$233="","",INDEX(_imp!$H$4:$H$1503,_imp!$C$233))</f>
        <v/>
      </c>
      <c r="G231" s="47">
        <f>IF(_imp!$C$233="","",INDEX(_imp!$I$4:$I$1503,_imp!$C$233))</f>
        <v/>
      </c>
      <c r="K231" s="47">
        <f>IF(_imp!$C$233="","",INDEX(_imp!$J$4:$J$1503,_imp!$C$233))</f>
        <v/>
      </c>
    </row>
    <row r="232">
      <c r="A232" s="47">
        <f>IF(_imp!$C$234="","",INDEX(_imp!$D$4:$D$1503,_imp!$C$234))</f>
        <v/>
      </c>
      <c r="B232" s="47">
        <f>IF(_imp!$C$234="","",INDEX(_imp!$E$4:$E$1503,_imp!$C$234))</f>
        <v/>
      </c>
      <c r="C232" s="47">
        <f>IF(_imp!$C$234="","",INDEX(_imp!$F$4:$F$1503,_imp!$C$234))</f>
        <v/>
      </c>
      <c r="E232" s="47">
        <f>IF(_imp!$C$234="","",INDEX(_imp!$G$4:$G$1503,_imp!$C$234))</f>
        <v/>
      </c>
      <c r="F232" s="47">
        <f>IF(_imp!$C$234="","",INDEX(_imp!$H$4:$H$1503,_imp!$C$234))</f>
        <v/>
      </c>
      <c r="G232" s="47">
        <f>IF(_imp!$C$234="","",INDEX(_imp!$I$4:$I$1503,_imp!$C$234))</f>
        <v/>
      </c>
      <c r="K232" s="47">
        <f>IF(_imp!$C$234="","",INDEX(_imp!$J$4:$J$1503,_imp!$C$234))</f>
        <v/>
      </c>
    </row>
    <row r="233">
      <c r="A233" s="47">
        <f>IF(_imp!$C$235="","",INDEX(_imp!$D$4:$D$1503,_imp!$C$235))</f>
        <v/>
      </c>
      <c r="B233" s="47">
        <f>IF(_imp!$C$235="","",INDEX(_imp!$E$4:$E$1503,_imp!$C$235))</f>
        <v/>
      </c>
      <c r="C233" s="47">
        <f>IF(_imp!$C$235="","",INDEX(_imp!$F$4:$F$1503,_imp!$C$235))</f>
        <v/>
      </c>
      <c r="E233" s="47">
        <f>IF(_imp!$C$235="","",INDEX(_imp!$G$4:$G$1503,_imp!$C$235))</f>
        <v/>
      </c>
      <c r="F233" s="47">
        <f>IF(_imp!$C$235="","",INDEX(_imp!$H$4:$H$1503,_imp!$C$235))</f>
        <v/>
      </c>
      <c r="G233" s="47">
        <f>IF(_imp!$C$235="","",INDEX(_imp!$I$4:$I$1503,_imp!$C$235))</f>
        <v/>
      </c>
      <c r="K233" s="47">
        <f>IF(_imp!$C$235="","",INDEX(_imp!$J$4:$J$1503,_imp!$C$235))</f>
        <v/>
      </c>
    </row>
    <row r="234">
      <c r="A234" s="47">
        <f>IF(_imp!$C$236="","",INDEX(_imp!$D$4:$D$1503,_imp!$C$236))</f>
        <v/>
      </c>
      <c r="B234" s="47">
        <f>IF(_imp!$C$236="","",INDEX(_imp!$E$4:$E$1503,_imp!$C$236))</f>
        <v/>
      </c>
      <c r="C234" s="47">
        <f>IF(_imp!$C$236="","",INDEX(_imp!$F$4:$F$1503,_imp!$C$236))</f>
        <v/>
      </c>
      <c r="E234" s="47">
        <f>IF(_imp!$C$236="","",INDEX(_imp!$G$4:$G$1503,_imp!$C$236))</f>
        <v/>
      </c>
      <c r="F234" s="47">
        <f>IF(_imp!$C$236="","",INDEX(_imp!$H$4:$H$1503,_imp!$C$236))</f>
        <v/>
      </c>
      <c r="G234" s="47">
        <f>IF(_imp!$C$236="","",INDEX(_imp!$I$4:$I$1503,_imp!$C$236))</f>
        <v/>
      </c>
      <c r="K234" s="47">
        <f>IF(_imp!$C$236="","",INDEX(_imp!$J$4:$J$1503,_imp!$C$236))</f>
        <v/>
      </c>
    </row>
    <row r="235">
      <c r="A235" s="47">
        <f>IF(_imp!$C$237="","",INDEX(_imp!$D$4:$D$1503,_imp!$C$237))</f>
        <v/>
      </c>
      <c r="B235" s="47">
        <f>IF(_imp!$C$237="","",INDEX(_imp!$E$4:$E$1503,_imp!$C$237))</f>
        <v/>
      </c>
      <c r="C235" s="47">
        <f>IF(_imp!$C$237="","",INDEX(_imp!$F$4:$F$1503,_imp!$C$237))</f>
        <v/>
      </c>
      <c r="E235" s="47">
        <f>IF(_imp!$C$237="","",INDEX(_imp!$G$4:$G$1503,_imp!$C$237))</f>
        <v/>
      </c>
      <c r="F235" s="47">
        <f>IF(_imp!$C$237="","",INDEX(_imp!$H$4:$H$1503,_imp!$C$237))</f>
        <v/>
      </c>
      <c r="G235" s="47">
        <f>IF(_imp!$C$237="","",INDEX(_imp!$I$4:$I$1503,_imp!$C$237))</f>
        <v/>
      </c>
      <c r="K235" s="47">
        <f>IF(_imp!$C$237="","",INDEX(_imp!$J$4:$J$1503,_imp!$C$237))</f>
        <v/>
      </c>
    </row>
    <row r="236">
      <c r="A236" s="47">
        <f>IF(_imp!$C$238="","",INDEX(_imp!$D$4:$D$1503,_imp!$C$238))</f>
        <v/>
      </c>
      <c r="B236" s="47">
        <f>IF(_imp!$C$238="","",INDEX(_imp!$E$4:$E$1503,_imp!$C$238))</f>
        <v/>
      </c>
      <c r="C236" s="47">
        <f>IF(_imp!$C$238="","",INDEX(_imp!$F$4:$F$1503,_imp!$C$238))</f>
        <v/>
      </c>
      <c r="E236" s="47">
        <f>IF(_imp!$C$238="","",INDEX(_imp!$G$4:$G$1503,_imp!$C$238))</f>
        <v/>
      </c>
      <c r="F236" s="47">
        <f>IF(_imp!$C$238="","",INDEX(_imp!$H$4:$H$1503,_imp!$C$238))</f>
        <v/>
      </c>
      <c r="G236" s="47">
        <f>IF(_imp!$C$238="","",INDEX(_imp!$I$4:$I$1503,_imp!$C$238))</f>
        <v/>
      </c>
      <c r="K236" s="47">
        <f>IF(_imp!$C$238="","",INDEX(_imp!$J$4:$J$1503,_imp!$C$238))</f>
        <v/>
      </c>
    </row>
    <row r="237">
      <c r="A237" s="47">
        <f>IF(_imp!$C$239="","",INDEX(_imp!$D$4:$D$1503,_imp!$C$239))</f>
        <v/>
      </c>
      <c r="B237" s="47">
        <f>IF(_imp!$C$239="","",INDEX(_imp!$E$4:$E$1503,_imp!$C$239))</f>
        <v/>
      </c>
      <c r="C237" s="47">
        <f>IF(_imp!$C$239="","",INDEX(_imp!$F$4:$F$1503,_imp!$C$239))</f>
        <v/>
      </c>
      <c r="E237" s="47">
        <f>IF(_imp!$C$239="","",INDEX(_imp!$G$4:$G$1503,_imp!$C$239))</f>
        <v/>
      </c>
      <c r="F237" s="47">
        <f>IF(_imp!$C$239="","",INDEX(_imp!$H$4:$H$1503,_imp!$C$239))</f>
        <v/>
      </c>
      <c r="G237" s="47">
        <f>IF(_imp!$C$239="","",INDEX(_imp!$I$4:$I$1503,_imp!$C$239))</f>
        <v/>
      </c>
      <c r="K237" s="47">
        <f>IF(_imp!$C$239="","",INDEX(_imp!$J$4:$J$1503,_imp!$C$239))</f>
        <v/>
      </c>
    </row>
    <row r="238">
      <c r="A238" s="47">
        <f>IF(_imp!$C$240="","",INDEX(_imp!$D$4:$D$1503,_imp!$C$240))</f>
        <v/>
      </c>
      <c r="B238" s="47">
        <f>IF(_imp!$C$240="","",INDEX(_imp!$E$4:$E$1503,_imp!$C$240))</f>
        <v/>
      </c>
      <c r="C238" s="47">
        <f>IF(_imp!$C$240="","",INDEX(_imp!$F$4:$F$1503,_imp!$C$240))</f>
        <v/>
      </c>
      <c r="E238" s="47">
        <f>IF(_imp!$C$240="","",INDEX(_imp!$G$4:$G$1503,_imp!$C$240))</f>
        <v/>
      </c>
      <c r="F238" s="47">
        <f>IF(_imp!$C$240="","",INDEX(_imp!$H$4:$H$1503,_imp!$C$240))</f>
        <v/>
      </c>
      <c r="G238" s="47">
        <f>IF(_imp!$C$240="","",INDEX(_imp!$I$4:$I$1503,_imp!$C$240))</f>
        <v/>
      </c>
      <c r="K238" s="47">
        <f>IF(_imp!$C$240="","",INDEX(_imp!$J$4:$J$1503,_imp!$C$240))</f>
        <v/>
      </c>
    </row>
    <row r="239">
      <c r="A239" s="47">
        <f>IF(_imp!$C$241="","",INDEX(_imp!$D$4:$D$1503,_imp!$C$241))</f>
        <v/>
      </c>
      <c r="B239" s="47">
        <f>IF(_imp!$C$241="","",INDEX(_imp!$E$4:$E$1503,_imp!$C$241))</f>
        <v/>
      </c>
      <c r="C239" s="47">
        <f>IF(_imp!$C$241="","",INDEX(_imp!$F$4:$F$1503,_imp!$C$241))</f>
        <v/>
      </c>
      <c r="E239" s="47">
        <f>IF(_imp!$C$241="","",INDEX(_imp!$G$4:$G$1503,_imp!$C$241))</f>
        <v/>
      </c>
      <c r="F239" s="47">
        <f>IF(_imp!$C$241="","",INDEX(_imp!$H$4:$H$1503,_imp!$C$241))</f>
        <v/>
      </c>
      <c r="G239" s="47">
        <f>IF(_imp!$C$241="","",INDEX(_imp!$I$4:$I$1503,_imp!$C$241))</f>
        <v/>
      </c>
      <c r="K239" s="47">
        <f>IF(_imp!$C$241="","",INDEX(_imp!$J$4:$J$1503,_imp!$C$241))</f>
        <v/>
      </c>
    </row>
    <row r="240">
      <c r="A240" s="47">
        <f>IF(_imp!$C$242="","",INDEX(_imp!$D$4:$D$1503,_imp!$C$242))</f>
        <v/>
      </c>
      <c r="B240" s="47">
        <f>IF(_imp!$C$242="","",INDEX(_imp!$E$4:$E$1503,_imp!$C$242))</f>
        <v/>
      </c>
      <c r="C240" s="47">
        <f>IF(_imp!$C$242="","",INDEX(_imp!$F$4:$F$1503,_imp!$C$242))</f>
        <v/>
      </c>
      <c r="E240" s="47">
        <f>IF(_imp!$C$242="","",INDEX(_imp!$G$4:$G$1503,_imp!$C$242))</f>
        <v/>
      </c>
      <c r="F240" s="47">
        <f>IF(_imp!$C$242="","",INDEX(_imp!$H$4:$H$1503,_imp!$C$242))</f>
        <v/>
      </c>
      <c r="G240" s="47">
        <f>IF(_imp!$C$242="","",INDEX(_imp!$I$4:$I$1503,_imp!$C$242))</f>
        <v/>
      </c>
      <c r="K240" s="47">
        <f>IF(_imp!$C$242="","",INDEX(_imp!$J$4:$J$1503,_imp!$C$242))</f>
        <v/>
      </c>
    </row>
    <row r="241">
      <c r="A241" s="47">
        <f>IF(_imp!$C$243="","",INDEX(_imp!$D$4:$D$1503,_imp!$C$243))</f>
        <v/>
      </c>
      <c r="B241" s="47">
        <f>IF(_imp!$C$243="","",INDEX(_imp!$E$4:$E$1503,_imp!$C$243))</f>
        <v/>
      </c>
      <c r="C241" s="47">
        <f>IF(_imp!$C$243="","",INDEX(_imp!$F$4:$F$1503,_imp!$C$243))</f>
        <v/>
      </c>
      <c r="E241" s="47">
        <f>IF(_imp!$C$243="","",INDEX(_imp!$G$4:$G$1503,_imp!$C$243))</f>
        <v/>
      </c>
      <c r="F241" s="47">
        <f>IF(_imp!$C$243="","",INDEX(_imp!$H$4:$H$1503,_imp!$C$243))</f>
        <v/>
      </c>
      <c r="G241" s="47">
        <f>IF(_imp!$C$243="","",INDEX(_imp!$I$4:$I$1503,_imp!$C$243))</f>
        <v/>
      </c>
      <c r="K241" s="47">
        <f>IF(_imp!$C$243="","",INDEX(_imp!$J$4:$J$1503,_imp!$C$243))</f>
        <v/>
      </c>
    </row>
    <row r="242">
      <c r="A242" s="47">
        <f>IF(_imp!$C$244="","",INDEX(_imp!$D$4:$D$1503,_imp!$C$244))</f>
        <v/>
      </c>
      <c r="B242" s="47">
        <f>IF(_imp!$C$244="","",INDEX(_imp!$E$4:$E$1503,_imp!$C$244))</f>
        <v/>
      </c>
      <c r="C242" s="47">
        <f>IF(_imp!$C$244="","",INDEX(_imp!$F$4:$F$1503,_imp!$C$244))</f>
        <v/>
      </c>
      <c r="E242" s="47">
        <f>IF(_imp!$C$244="","",INDEX(_imp!$G$4:$G$1503,_imp!$C$244))</f>
        <v/>
      </c>
      <c r="F242" s="47">
        <f>IF(_imp!$C$244="","",INDEX(_imp!$H$4:$H$1503,_imp!$C$244))</f>
        <v/>
      </c>
      <c r="G242" s="47">
        <f>IF(_imp!$C$244="","",INDEX(_imp!$I$4:$I$1503,_imp!$C$244))</f>
        <v/>
      </c>
      <c r="K242" s="47">
        <f>IF(_imp!$C$244="","",INDEX(_imp!$J$4:$J$1503,_imp!$C$244))</f>
        <v/>
      </c>
    </row>
    <row r="243">
      <c r="A243" s="47">
        <f>IF(_imp!$C$245="","",INDEX(_imp!$D$4:$D$1503,_imp!$C$245))</f>
        <v/>
      </c>
      <c r="B243" s="47">
        <f>IF(_imp!$C$245="","",INDEX(_imp!$E$4:$E$1503,_imp!$C$245))</f>
        <v/>
      </c>
      <c r="C243" s="47">
        <f>IF(_imp!$C$245="","",INDEX(_imp!$F$4:$F$1503,_imp!$C$245))</f>
        <v/>
      </c>
      <c r="E243" s="47">
        <f>IF(_imp!$C$245="","",INDEX(_imp!$G$4:$G$1503,_imp!$C$245))</f>
        <v/>
      </c>
      <c r="F243" s="47">
        <f>IF(_imp!$C$245="","",INDEX(_imp!$H$4:$H$1503,_imp!$C$245))</f>
        <v/>
      </c>
      <c r="G243" s="47">
        <f>IF(_imp!$C$245="","",INDEX(_imp!$I$4:$I$1503,_imp!$C$245))</f>
        <v/>
      </c>
      <c r="K243" s="47">
        <f>IF(_imp!$C$245="","",INDEX(_imp!$J$4:$J$1503,_imp!$C$245))</f>
        <v/>
      </c>
    </row>
    <row r="244">
      <c r="A244" s="47">
        <f>IF(_imp!$C$246="","",INDEX(_imp!$D$4:$D$1503,_imp!$C$246))</f>
        <v/>
      </c>
      <c r="B244" s="47">
        <f>IF(_imp!$C$246="","",INDEX(_imp!$E$4:$E$1503,_imp!$C$246))</f>
        <v/>
      </c>
      <c r="C244" s="47">
        <f>IF(_imp!$C$246="","",INDEX(_imp!$F$4:$F$1503,_imp!$C$246))</f>
        <v/>
      </c>
      <c r="E244" s="47">
        <f>IF(_imp!$C$246="","",INDEX(_imp!$G$4:$G$1503,_imp!$C$246))</f>
        <v/>
      </c>
      <c r="F244" s="47">
        <f>IF(_imp!$C$246="","",INDEX(_imp!$H$4:$H$1503,_imp!$C$246))</f>
        <v/>
      </c>
      <c r="G244" s="47">
        <f>IF(_imp!$C$246="","",INDEX(_imp!$I$4:$I$1503,_imp!$C$246))</f>
        <v/>
      </c>
      <c r="K244" s="47">
        <f>IF(_imp!$C$246="","",INDEX(_imp!$J$4:$J$1503,_imp!$C$246))</f>
        <v/>
      </c>
    </row>
    <row r="245">
      <c r="A245" s="47">
        <f>IF(_imp!$C$247="","",INDEX(_imp!$D$4:$D$1503,_imp!$C$247))</f>
        <v/>
      </c>
      <c r="B245" s="47">
        <f>IF(_imp!$C$247="","",INDEX(_imp!$E$4:$E$1503,_imp!$C$247))</f>
        <v/>
      </c>
      <c r="C245" s="47">
        <f>IF(_imp!$C$247="","",INDEX(_imp!$F$4:$F$1503,_imp!$C$247))</f>
        <v/>
      </c>
      <c r="E245" s="47">
        <f>IF(_imp!$C$247="","",INDEX(_imp!$G$4:$G$1503,_imp!$C$247))</f>
        <v/>
      </c>
      <c r="F245" s="47">
        <f>IF(_imp!$C$247="","",INDEX(_imp!$H$4:$H$1503,_imp!$C$247))</f>
        <v/>
      </c>
      <c r="G245" s="47">
        <f>IF(_imp!$C$247="","",INDEX(_imp!$I$4:$I$1503,_imp!$C$247))</f>
        <v/>
      </c>
      <c r="K245" s="47">
        <f>IF(_imp!$C$247="","",INDEX(_imp!$J$4:$J$1503,_imp!$C$247))</f>
        <v/>
      </c>
    </row>
    <row r="246">
      <c r="A246" s="47">
        <f>IF(_imp!$C$248="","",INDEX(_imp!$D$4:$D$1503,_imp!$C$248))</f>
        <v/>
      </c>
      <c r="B246" s="47">
        <f>IF(_imp!$C$248="","",INDEX(_imp!$E$4:$E$1503,_imp!$C$248))</f>
        <v/>
      </c>
      <c r="C246" s="47">
        <f>IF(_imp!$C$248="","",INDEX(_imp!$F$4:$F$1503,_imp!$C$248))</f>
        <v/>
      </c>
      <c r="E246" s="47">
        <f>IF(_imp!$C$248="","",INDEX(_imp!$G$4:$G$1503,_imp!$C$248))</f>
        <v/>
      </c>
      <c r="F246" s="47">
        <f>IF(_imp!$C$248="","",INDEX(_imp!$H$4:$H$1503,_imp!$C$248))</f>
        <v/>
      </c>
      <c r="G246" s="47">
        <f>IF(_imp!$C$248="","",INDEX(_imp!$I$4:$I$1503,_imp!$C$248))</f>
        <v/>
      </c>
      <c r="K246" s="47">
        <f>IF(_imp!$C$248="","",INDEX(_imp!$J$4:$J$1503,_imp!$C$248))</f>
        <v/>
      </c>
    </row>
    <row r="247">
      <c r="A247" s="47">
        <f>IF(_imp!$C$249="","",INDEX(_imp!$D$4:$D$1503,_imp!$C$249))</f>
        <v/>
      </c>
      <c r="B247" s="47">
        <f>IF(_imp!$C$249="","",INDEX(_imp!$E$4:$E$1503,_imp!$C$249))</f>
        <v/>
      </c>
      <c r="C247" s="47">
        <f>IF(_imp!$C$249="","",INDEX(_imp!$F$4:$F$1503,_imp!$C$249))</f>
        <v/>
      </c>
      <c r="E247" s="47">
        <f>IF(_imp!$C$249="","",INDEX(_imp!$G$4:$G$1503,_imp!$C$249))</f>
        <v/>
      </c>
      <c r="F247" s="47">
        <f>IF(_imp!$C$249="","",INDEX(_imp!$H$4:$H$1503,_imp!$C$249))</f>
        <v/>
      </c>
      <c r="G247" s="47">
        <f>IF(_imp!$C$249="","",INDEX(_imp!$I$4:$I$1503,_imp!$C$249))</f>
        <v/>
      </c>
      <c r="K247" s="47">
        <f>IF(_imp!$C$249="","",INDEX(_imp!$J$4:$J$1503,_imp!$C$249))</f>
        <v/>
      </c>
    </row>
    <row r="248">
      <c r="A248" s="47">
        <f>IF(_imp!$C$250="","",INDEX(_imp!$D$4:$D$1503,_imp!$C$250))</f>
        <v/>
      </c>
      <c r="B248" s="47">
        <f>IF(_imp!$C$250="","",INDEX(_imp!$E$4:$E$1503,_imp!$C$250))</f>
        <v/>
      </c>
      <c r="C248" s="47">
        <f>IF(_imp!$C$250="","",INDEX(_imp!$F$4:$F$1503,_imp!$C$250))</f>
        <v/>
      </c>
      <c r="E248" s="47">
        <f>IF(_imp!$C$250="","",INDEX(_imp!$G$4:$G$1503,_imp!$C$250))</f>
        <v/>
      </c>
      <c r="F248" s="47">
        <f>IF(_imp!$C$250="","",INDEX(_imp!$H$4:$H$1503,_imp!$C$250))</f>
        <v/>
      </c>
      <c r="G248" s="47">
        <f>IF(_imp!$C$250="","",INDEX(_imp!$I$4:$I$1503,_imp!$C$250))</f>
        <v/>
      </c>
      <c r="K248" s="47">
        <f>IF(_imp!$C$250="","",INDEX(_imp!$J$4:$J$1503,_imp!$C$250))</f>
        <v/>
      </c>
    </row>
    <row r="249">
      <c r="A249" s="47">
        <f>IF(_imp!$C$251="","",INDEX(_imp!$D$4:$D$1503,_imp!$C$251))</f>
        <v/>
      </c>
      <c r="B249" s="47">
        <f>IF(_imp!$C$251="","",INDEX(_imp!$E$4:$E$1503,_imp!$C$251))</f>
        <v/>
      </c>
      <c r="C249" s="47">
        <f>IF(_imp!$C$251="","",INDEX(_imp!$F$4:$F$1503,_imp!$C$251))</f>
        <v/>
      </c>
      <c r="E249" s="47">
        <f>IF(_imp!$C$251="","",INDEX(_imp!$G$4:$G$1503,_imp!$C$251))</f>
        <v/>
      </c>
      <c r="F249" s="47">
        <f>IF(_imp!$C$251="","",INDEX(_imp!$H$4:$H$1503,_imp!$C$251))</f>
        <v/>
      </c>
      <c r="G249" s="47">
        <f>IF(_imp!$C$251="","",INDEX(_imp!$I$4:$I$1503,_imp!$C$251))</f>
        <v/>
      </c>
      <c r="K249" s="47">
        <f>IF(_imp!$C$251="","",INDEX(_imp!$J$4:$J$1503,_imp!$C$251))</f>
        <v/>
      </c>
    </row>
    <row r="250">
      <c r="A250" s="47">
        <f>IF(_imp!$C$252="","",INDEX(_imp!$D$4:$D$1503,_imp!$C$252))</f>
        <v/>
      </c>
      <c r="B250" s="47">
        <f>IF(_imp!$C$252="","",INDEX(_imp!$E$4:$E$1503,_imp!$C$252))</f>
        <v/>
      </c>
      <c r="C250" s="47">
        <f>IF(_imp!$C$252="","",INDEX(_imp!$F$4:$F$1503,_imp!$C$252))</f>
        <v/>
      </c>
      <c r="E250" s="47">
        <f>IF(_imp!$C$252="","",INDEX(_imp!$G$4:$G$1503,_imp!$C$252))</f>
        <v/>
      </c>
      <c r="F250" s="47">
        <f>IF(_imp!$C$252="","",INDEX(_imp!$H$4:$H$1503,_imp!$C$252))</f>
        <v/>
      </c>
      <c r="G250" s="47">
        <f>IF(_imp!$C$252="","",INDEX(_imp!$I$4:$I$1503,_imp!$C$252))</f>
        <v/>
      </c>
      <c r="K250" s="47">
        <f>IF(_imp!$C$252="","",INDEX(_imp!$J$4:$J$1503,_imp!$C$252))</f>
        <v/>
      </c>
    </row>
    <row r="251">
      <c r="A251" s="47">
        <f>IF(_imp!$C$253="","",INDEX(_imp!$D$4:$D$1503,_imp!$C$253))</f>
        <v/>
      </c>
      <c r="B251" s="47">
        <f>IF(_imp!$C$253="","",INDEX(_imp!$E$4:$E$1503,_imp!$C$253))</f>
        <v/>
      </c>
      <c r="C251" s="47">
        <f>IF(_imp!$C$253="","",INDEX(_imp!$F$4:$F$1503,_imp!$C$253))</f>
        <v/>
      </c>
      <c r="E251" s="47">
        <f>IF(_imp!$C$253="","",INDEX(_imp!$G$4:$G$1503,_imp!$C$253))</f>
        <v/>
      </c>
      <c r="F251" s="47">
        <f>IF(_imp!$C$253="","",INDEX(_imp!$H$4:$H$1503,_imp!$C$253))</f>
        <v/>
      </c>
      <c r="G251" s="47">
        <f>IF(_imp!$C$253="","",INDEX(_imp!$I$4:$I$1503,_imp!$C$253))</f>
        <v/>
      </c>
      <c r="K251" s="47">
        <f>IF(_imp!$C$253="","",INDEX(_imp!$J$4:$J$1503,_imp!$C$253))</f>
        <v/>
      </c>
    </row>
    <row r="252">
      <c r="A252" s="47">
        <f>IF(_imp!$C$254="","",INDEX(_imp!$D$4:$D$1503,_imp!$C$254))</f>
        <v/>
      </c>
      <c r="B252" s="47">
        <f>IF(_imp!$C$254="","",INDEX(_imp!$E$4:$E$1503,_imp!$C$254))</f>
        <v/>
      </c>
      <c r="C252" s="47">
        <f>IF(_imp!$C$254="","",INDEX(_imp!$F$4:$F$1503,_imp!$C$254))</f>
        <v/>
      </c>
      <c r="E252" s="47">
        <f>IF(_imp!$C$254="","",INDEX(_imp!$G$4:$G$1503,_imp!$C$254))</f>
        <v/>
      </c>
      <c r="F252" s="47">
        <f>IF(_imp!$C$254="","",INDEX(_imp!$H$4:$H$1503,_imp!$C$254))</f>
        <v/>
      </c>
      <c r="G252" s="47">
        <f>IF(_imp!$C$254="","",INDEX(_imp!$I$4:$I$1503,_imp!$C$254))</f>
        <v/>
      </c>
      <c r="K252" s="47">
        <f>IF(_imp!$C$254="","",INDEX(_imp!$J$4:$J$1503,_imp!$C$254))</f>
        <v/>
      </c>
    </row>
    <row r="253">
      <c r="A253" s="47">
        <f>IF(_imp!$C$255="","",INDEX(_imp!$D$4:$D$1503,_imp!$C$255))</f>
        <v/>
      </c>
      <c r="B253" s="47">
        <f>IF(_imp!$C$255="","",INDEX(_imp!$E$4:$E$1503,_imp!$C$255))</f>
        <v/>
      </c>
      <c r="C253" s="47">
        <f>IF(_imp!$C$255="","",INDEX(_imp!$F$4:$F$1503,_imp!$C$255))</f>
        <v/>
      </c>
      <c r="E253" s="47">
        <f>IF(_imp!$C$255="","",INDEX(_imp!$G$4:$G$1503,_imp!$C$255))</f>
        <v/>
      </c>
      <c r="F253" s="47">
        <f>IF(_imp!$C$255="","",INDEX(_imp!$H$4:$H$1503,_imp!$C$255))</f>
        <v/>
      </c>
      <c r="G253" s="47">
        <f>IF(_imp!$C$255="","",INDEX(_imp!$I$4:$I$1503,_imp!$C$255))</f>
        <v/>
      </c>
      <c r="K253" s="47">
        <f>IF(_imp!$C$255="","",INDEX(_imp!$J$4:$J$1503,_imp!$C$255))</f>
        <v/>
      </c>
    </row>
    <row r="254">
      <c r="A254" s="47">
        <f>IF(_imp!$C$256="","",INDEX(_imp!$D$4:$D$1503,_imp!$C$256))</f>
        <v/>
      </c>
      <c r="B254" s="47">
        <f>IF(_imp!$C$256="","",INDEX(_imp!$E$4:$E$1503,_imp!$C$256))</f>
        <v/>
      </c>
      <c r="C254" s="47">
        <f>IF(_imp!$C$256="","",INDEX(_imp!$F$4:$F$1503,_imp!$C$256))</f>
        <v/>
      </c>
      <c r="E254" s="47">
        <f>IF(_imp!$C$256="","",INDEX(_imp!$G$4:$G$1503,_imp!$C$256))</f>
        <v/>
      </c>
      <c r="F254" s="47">
        <f>IF(_imp!$C$256="","",INDEX(_imp!$H$4:$H$1503,_imp!$C$256))</f>
        <v/>
      </c>
      <c r="G254" s="47">
        <f>IF(_imp!$C$256="","",INDEX(_imp!$I$4:$I$1503,_imp!$C$256))</f>
        <v/>
      </c>
      <c r="K254" s="47">
        <f>IF(_imp!$C$256="","",INDEX(_imp!$J$4:$J$1503,_imp!$C$256))</f>
        <v/>
      </c>
    </row>
    <row r="255">
      <c r="A255" s="47">
        <f>IF(_imp!$C$257="","",INDEX(_imp!$D$4:$D$1503,_imp!$C$257))</f>
        <v/>
      </c>
      <c r="B255" s="47">
        <f>IF(_imp!$C$257="","",INDEX(_imp!$E$4:$E$1503,_imp!$C$257))</f>
        <v/>
      </c>
      <c r="C255" s="47">
        <f>IF(_imp!$C$257="","",INDEX(_imp!$F$4:$F$1503,_imp!$C$257))</f>
        <v/>
      </c>
      <c r="E255" s="47">
        <f>IF(_imp!$C$257="","",INDEX(_imp!$G$4:$G$1503,_imp!$C$257))</f>
        <v/>
      </c>
      <c r="F255" s="47">
        <f>IF(_imp!$C$257="","",INDEX(_imp!$H$4:$H$1503,_imp!$C$257))</f>
        <v/>
      </c>
      <c r="G255" s="47">
        <f>IF(_imp!$C$257="","",INDEX(_imp!$I$4:$I$1503,_imp!$C$257))</f>
        <v/>
      </c>
      <c r="K255" s="47">
        <f>IF(_imp!$C$257="","",INDEX(_imp!$J$4:$J$1503,_imp!$C$257))</f>
        <v/>
      </c>
    </row>
    <row r="256">
      <c r="A256" s="47">
        <f>IF(_imp!$C$258="","",INDEX(_imp!$D$4:$D$1503,_imp!$C$258))</f>
        <v/>
      </c>
      <c r="B256" s="47">
        <f>IF(_imp!$C$258="","",INDEX(_imp!$E$4:$E$1503,_imp!$C$258))</f>
        <v/>
      </c>
      <c r="C256" s="47">
        <f>IF(_imp!$C$258="","",INDEX(_imp!$F$4:$F$1503,_imp!$C$258))</f>
        <v/>
      </c>
      <c r="E256" s="47">
        <f>IF(_imp!$C$258="","",INDEX(_imp!$G$4:$G$1503,_imp!$C$258))</f>
        <v/>
      </c>
      <c r="F256" s="47">
        <f>IF(_imp!$C$258="","",INDEX(_imp!$H$4:$H$1503,_imp!$C$258))</f>
        <v/>
      </c>
      <c r="G256" s="47">
        <f>IF(_imp!$C$258="","",INDEX(_imp!$I$4:$I$1503,_imp!$C$258))</f>
        <v/>
      </c>
      <c r="K256" s="47">
        <f>IF(_imp!$C$258="","",INDEX(_imp!$J$4:$J$1503,_imp!$C$258))</f>
        <v/>
      </c>
    </row>
    <row r="257">
      <c r="A257" s="47">
        <f>IF(_imp!$C$259="","",INDEX(_imp!$D$4:$D$1503,_imp!$C$259))</f>
        <v/>
      </c>
      <c r="B257" s="47">
        <f>IF(_imp!$C$259="","",INDEX(_imp!$E$4:$E$1503,_imp!$C$259))</f>
        <v/>
      </c>
      <c r="C257" s="47">
        <f>IF(_imp!$C$259="","",INDEX(_imp!$F$4:$F$1503,_imp!$C$259))</f>
        <v/>
      </c>
      <c r="E257" s="47">
        <f>IF(_imp!$C$259="","",INDEX(_imp!$G$4:$G$1503,_imp!$C$259))</f>
        <v/>
      </c>
      <c r="F257" s="47">
        <f>IF(_imp!$C$259="","",INDEX(_imp!$H$4:$H$1503,_imp!$C$259))</f>
        <v/>
      </c>
      <c r="G257" s="47">
        <f>IF(_imp!$C$259="","",INDEX(_imp!$I$4:$I$1503,_imp!$C$259))</f>
        <v/>
      </c>
      <c r="K257" s="47">
        <f>IF(_imp!$C$259="","",INDEX(_imp!$J$4:$J$1503,_imp!$C$259))</f>
        <v/>
      </c>
    </row>
    <row r="258">
      <c r="A258" s="47">
        <f>IF(_imp!$C$260="","",INDEX(_imp!$D$4:$D$1503,_imp!$C$260))</f>
        <v/>
      </c>
      <c r="B258" s="47">
        <f>IF(_imp!$C$260="","",INDEX(_imp!$E$4:$E$1503,_imp!$C$260))</f>
        <v/>
      </c>
      <c r="C258" s="47">
        <f>IF(_imp!$C$260="","",INDEX(_imp!$F$4:$F$1503,_imp!$C$260))</f>
        <v/>
      </c>
      <c r="E258" s="47">
        <f>IF(_imp!$C$260="","",INDEX(_imp!$G$4:$G$1503,_imp!$C$260))</f>
        <v/>
      </c>
      <c r="F258" s="47">
        <f>IF(_imp!$C$260="","",INDEX(_imp!$H$4:$H$1503,_imp!$C$260))</f>
        <v/>
      </c>
      <c r="G258" s="47">
        <f>IF(_imp!$C$260="","",INDEX(_imp!$I$4:$I$1503,_imp!$C$260))</f>
        <v/>
      </c>
      <c r="K258" s="47">
        <f>IF(_imp!$C$260="","",INDEX(_imp!$J$4:$J$1503,_imp!$C$260))</f>
        <v/>
      </c>
    </row>
    <row r="259">
      <c r="A259" s="47">
        <f>IF(_imp!$C$261="","",INDEX(_imp!$D$4:$D$1503,_imp!$C$261))</f>
        <v/>
      </c>
      <c r="B259" s="47">
        <f>IF(_imp!$C$261="","",INDEX(_imp!$E$4:$E$1503,_imp!$C$261))</f>
        <v/>
      </c>
      <c r="C259" s="47">
        <f>IF(_imp!$C$261="","",INDEX(_imp!$F$4:$F$1503,_imp!$C$261))</f>
        <v/>
      </c>
      <c r="E259" s="47">
        <f>IF(_imp!$C$261="","",INDEX(_imp!$G$4:$G$1503,_imp!$C$261))</f>
        <v/>
      </c>
      <c r="F259" s="47">
        <f>IF(_imp!$C$261="","",INDEX(_imp!$H$4:$H$1503,_imp!$C$261))</f>
        <v/>
      </c>
      <c r="G259" s="47">
        <f>IF(_imp!$C$261="","",INDEX(_imp!$I$4:$I$1503,_imp!$C$261))</f>
        <v/>
      </c>
      <c r="K259" s="47">
        <f>IF(_imp!$C$261="","",INDEX(_imp!$J$4:$J$1503,_imp!$C$261))</f>
        <v/>
      </c>
    </row>
    <row r="260">
      <c r="A260" s="47">
        <f>IF(_imp!$C$262="","",INDEX(_imp!$D$4:$D$1503,_imp!$C$262))</f>
        <v/>
      </c>
      <c r="B260" s="47">
        <f>IF(_imp!$C$262="","",INDEX(_imp!$E$4:$E$1503,_imp!$C$262))</f>
        <v/>
      </c>
      <c r="C260" s="47">
        <f>IF(_imp!$C$262="","",INDEX(_imp!$F$4:$F$1503,_imp!$C$262))</f>
        <v/>
      </c>
      <c r="E260" s="47">
        <f>IF(_imp!$C$262="","",INDEX(_imp!$G$4:$G$1503,_imp!$C$262))</f>
        <v/>
      </c>
      <c r="F260" s="47">
        <f>IF(_imp!$C$262="","",INDEX(_imp!$H$4:$H$1503,_imp!$C$262))</f>
        <v/>
      </c>
      <c r="G260" s="47">
        <f>IF(_imp!$C$262="","",INDEX(_imp!$I$4:$I$1503,_imp!$C$262))</f>
        <v/>
      </c>
      <c r="K260" s="47">
        <f>IF(_imp!$C$262="","",INDEX(_imp!$J$4:$J$1503,_imp!$C$262))</f>
        <v/>
      </c>
    </row>
    <row r="261">
      <c r="A261" s="47">
        <f>IF(_imp!$C$263="","",INDEX(_imp!$D$4:$D$1503,_imp!$C$263))</f>
        <v/>
      </c>
      <c r="B261" s="47">
        <f>IF(_imp!$C$263="","",INDEX(_imp!$E$4:$E$1503,_imp!$C$263))</f>
        <v/>
      </c>
      <c r="C261" s="47">
        <f>IF(_imp!$C$263="","",INDEX(_imp!$F$4:$F$1503,_imp!$C$263))</f>
        <v/>
      </c>
      <c r="E261" s="47">
        <f>IF(_imp!$C$263="","",INDEX(_imp!$G$4:$G$1503,_imp!$C$263))</f>
        <v/>
      </c>
      <c r="F261" s="47">
        <f>IF(_imp!$C$263="","",INDEX(_imp!$H$4:$H$1503,_imp!$C$263))</f>
        <v/>
      </c>
      <c r="G261" s="47">
        <f>IF(_imp!$C$263="","",INDEX(_imp!$I$4:$I$1503,_imp!$C$263))</f>
        <v/>
      </c>
      <c r="K261" s="47">
        <f>IF(_imp!$C$263="","",INDEX(_imp!$J$4:$J$1503,_imp!$C$263))</f>
        <v/>
      </c>
    </row>
    <row r="262">
      <c r="A262" s="47">
        <f>IF(_imp!$C$264="","",INDEX(_imp!$D$4:$D$1503,_imp!$C$264))</f>
        <v/>
      </c>
      <c r="B262" s="47">
        <f>IF(_imp!$C$264="","",INDEX(_imp!$E$4:$E$1503,_imp!$C$264))</f>
        <v/>
      </c>
      <c r="C262" s="47">
        <f>IF(_imp!$C$264="","",INDEX(_imp!$F$4:$F$1503,_imp!$C$264))</f>
        <v/>
      </c>
      <c r="E262" s="47">
        <f>IF(_imp!$C$264="","",INDEX(_imp!$G$4:$G$1503,_imp!$C$264))</f>
        <v/>
      </c>
      <c r="F262" s="47">
        <f>IF(_imp!$C$264="","",INDEX(_imp!$H$4:$H$1503,_imp!$C$264))</f>
        <v/>
      </c>
      <c r="G262" s="47">
        <f>IF(_imp!$C$264="","",INDEX(_imp!$I$4:$I$1503,_imp!$C$264))</f>
        <v/>
      </c>
      <c r="K262" s="47">
        <f>IF(_imp!$C$264="","",INDEX(_imp!$J$4:$J$1503,_imp!$C$264))</f>
        <v/>
      </c>
    </row>
    <row r="263">
      <c r="A263" s="47">
        <f>IF(_imp!$C$265="","",INDEX(_imp!$D$4:$D$1503,_imp!$C$265))</f>
        <v/>
      </c>
      <c r="B263" s="47">
        <f>IF(_imp!$C$265="","",INDEX(_imp!$E$4:$E$1503,_imp!$C$265))</f>
        <v/>
      </c>
      <c r="C263" s="47">
        <f>IF(_imp!$C$265="","",INDEX(_imp!$F$4:$F$1503,_imp!$C$265))</f>
        <v/>
      </c>
      <c r="E263" s="47">
        <f>IF(_imp!$C$265="","",INDEX(_imp!$G$4:$G$1503,_imp!$C$265))</f>
        <v/>
      </c>
      <c r="F263" s="47">
        <f>IF(_imp!$C$265="","",INDEX(_imp!$H$4:$H$1503,_imp!$C$265))</f>
        <v/>
      </c>
      <c r="G263" s="47">
        <f>IF(_imp!$C$265="","",INDEX(_imp!$I$4:$I$1503,_imp!$C$265))</f>
        <v/>
      </c>
      <c r="K263" s="47">
        <f>IF(_imp!$C$265="","",INDEX(_imp!$J$4:$J$1503,_imp!$C$265))</f>
        <v/>
      </c>
    </row>
    <row r="264">
      <c r="A264" s="47">
        <f>IF(_imp!$C$266="","",INDEX(_imp!$D$4:$D$1503,_imp!$C$266))</f>
        <v/>
      </c>
      <c r="B264" s="47">
        <f>IF(_imp!$C$266="","",INDEX(_imp!$E$4:$E$1503,_imp!$C$266))</f>
        <v/>
      </c>
      <c r="C264" s="47">
        <f>IF(_imp!$C$266="","",INDEX(_imp!$F$4:$F$1503,_imp!$C$266))</f>
        <v/>
      </c>
      <c r="E264" s="47">
        <f>IF(_imp!$C$266="","",INDEX(_imp!$G$4:$G$1503,_imp!$C$266))</f>
        <v/>
      </c>
      <c r="F264" s="47">
        <f>IF(_imp!$C$266="","",INDEX(_imp!$H$4:$H$1503,_imp!$C$266))</f>
        <v/>
      </c>
      <c r="G264" s="47">
        <f>IF(_imp!$C$266="","",INDEX(_imp!$I$4:$I$1503,_imp!$C$266))</f>
        <v/>
      </c>
      <c r="K264" s="47">
        <f>IF(_imp!$C$266="","",INDEX(_imp!$J$4:$J$1503,_imp!$C$266))</f>
        <v/>
      </c>
    </row>
    <row r="265">
      <c r="A265" s="47">
        <f>IF(_imp!$C$267="","",INDEX(_imp!$D$4:$D$1503,_imp!$C$267))</f>
        <v/>
      </c>
      <c r="B265" s="47">
        <f>IF(_imp!$C$267="","",INDEX(_imp!$E$4:$E$1503,_imp!$C$267))</f>
        <v/>
      </c>
      <c r="C265" s="47">
        <f>IF(_imp!$C$267="","",INDEX(_imp!$F$4:$F$1503,_imp!$C$267))</f>
        <v/>
      </c>
      <c r="E265" s="47">
        <f>IF(_imp!$C$267="","",INDEX(_imp!$G$4:$G$1503,_imp!$C$267))</f>
        <v/>
      </c>
      <c r="F265" s="47">
        <f>IF(_imp!$C$267="","",INDEX(_imp!$H$4:$H$1503,_imp!$C$267))</f>
        <v/>
      </c>
      <c r="G265" s="47">
        <f>IF(_imp!$C$267="","",INDEX(_imp!$I$4:$I$1503,_imp!$C$267))</f>
        <v/>
      </c>
      <c r="K265" s="47">
        <f>IF(_imp!$C$267="","",INDEX(_imp!$J$4:$J$1503,_imp!$C$267))</f>
        <v/>
      </c>
    </row>
    <row r="266">
      <c r="A266" s="47">
        <f>IF(_imp!$C$268="","",INDEX(_imp!$D$4:$D$1503,_imp!$C$268))</f>
        <v/>
      </c>
      <c r="B266" s="47">
        <f>IF(_imp!$C$268="","",INDEX(_imp!$E$4:$E$1503,_imp!$C$268))</f>
        <v/>
      </c>
      <c r="C266" s="47">
        <f>IF(_imp!$C$268="","",INDEX(_imp!$F$4:$F$1503,_imp!$C$268))</f>
        <v/>
      </c>
      <c r="E266" s="47">
        <f>IF(_imp!$C$268="","",INDEX(_imp!$G$4:$G$1503,_imp!$C$268))</f>
        <v/>
      </c>
      <c r="F266" s="47">
        <f>IF(_imp!$C$268="","",INDEX(_imp!$H$4:$H$1503,_imp!$C$268))</f>
        <v/>
      </c>
      <c r="G266" s="47">
        <f>IF(_imp!$C$268="","",INDEX(_imp!$I$4:$I$1503,_imp!$C$268))</f>
        <v/>
      </c>
      <c r="K266" s="47">
        <f>IF(_imp!$C$268="","",INDEX(_imp!$J$4:$J$1503,_imp!$C$268))</f>
        <v/>
      </c>
    </row>
    <row r="267">
      <c r="A267" s="47">
        <f>IF(_imp!$C$269="","",INDEX(_imp!$D$4:$D$1503,_imp!$C$269))</f>
        <v/>
      </c>
      <c r="B267" s="47">
        <f>IF(_imp!$C$269="","",INDEX(_imp!$E$4:$E$1503,_imp!$C$269))</f>
        <v/>
      </c>
      <c r="C267" s="47">
        <f>IF(_imp!$C$269="","",INDEX(_imp!$F$4:$F$1503,_imp!$C$269))</f>
        <v/>
      </c>
      <c r="E267" s="47">
        <f>IF(_imp!$C$269="","",INDEX(_imp!$G$4:$G$1503,_imp!$C$269))</f>
        <v/>
      </c>
      <c r="F267" s="47">
        <f>IF(_imp!$C$269="","",INDEX(_imp!$H$4:$H$1503,_imp!$C$269))</f>
        <v/>
      </c>
      <c r="G267" s="47">
        <f>IF(_imp!$C$269="","",INDEX(_imp!$I$4:$I$1503,_imp!$C$269))</f>
        <v/>
      </c>
      <c r="K267" s="47">
        <f>IF(_imp!$C$269="","",INDEX(_imp!$J$4:$J$1503,_imp!$C$269))</f>
        <v/>
      </c>
    </row>
    <row r="268">
      <c r="A268" s="47">
        <f>IF(_imp!$C$270="","",INDEX(_imp!$D$4:$D$1503,_imp!$C$270))</f>
        <v/>
      </c>
      <c r="B268" s="47">
        <f>IF(_imp!$C$270="","",INDEX(_imp!$E$4:$E$1503,_imp!$C$270))</f>
        <v/>
      </c>
      <c r="C268" s="47">
        <f>IF(_imp!$C$270="","",INDEX(_imp!$F$4:$F$1503,_imp!$C$270))</f>
        <v/>
      </c>
      <c r="E268" s="47">
        <f>IF(_imp!$C$270="","",INDEX(_imp!$G$4:$G$1503,_imp!$C$270))</f>
        <v/>
      </c>
      <c r="F268" s="47">
        <f>IF(_imp!$C$270="","",INDEX(_imp!$H$4:$H$1503,_imp!$C$270))</f>
        <v/>
      </c>
      <c r="G268" s="47">
        <f>IF(_imp!$C$270="","",INDEX(_imp!$I$4:$I$1503,_imp!$C$270))</f>
        <v/>
      </c>
      <c r="K268" s="47">
        <f>IF(_imp!$C$270="","",INDEX(_imp!$J$4:$J$1503,_imp!$C$270))</f>
        <v/>
      </c>
    </row>
    <row r="269">
      <c r="A269" s="47">
        <f>IF(_imp!$C$271="","",INDEX(_imp!$D$4:$D$1503,_imp!$C$271))</f>
        <v/>
      </c>
      <c r="B269" s="47">
        <f>IF(_imp!$C$271="","",INDEX(_imp!$E$4:$E$1503,_imp!$C$271))</f>
        <v/>
      </c>
      <c r="C269" s="47">
        <f>IF(_imp!$C$271="","",INDEX(_imp!$F$4:$F$1503,_imp!$C$271))</f>
        <v/>
      </c>
      <c r="E269" s="47">
        <f>IF(_imp!$C$271="","",INDEX(_imp!$G$4:$G$1503,_imp!$C$271))</f>
        <v/>
      </c>
      <c r="F269" s="47">
        <f>IF(_imp!$C$271="","",INDEX(_imp!$H$4:$H$1503,_imp!$C$271))</f>
        <v/>
      </c>
      <c r="G269" s="47">
        <f>IF(_imp!$C$271="","",INDEX(_imp!$I$4:$I$1503,_imp!$C$271))</f>
        <v/>
      </c>
      <c r="K269" s="47">
        <f>IF(_imp!$C$271="","",INDEX(_imp!$J$4:$J$1503,_imp!$C$271))</f>
        <v/>
      </c>
    </row>
    <row r="270">
      <c r="A270" s="47">
        <f>IF(_imp!$C$272="","",INDEX(_imp!$D$4:$D$1503,_imp!$C$272))</f>
        <v/>
      </c>
      <c r="B270" s="47">
        <f>IF(_imp!$C$272="","",INDEX(_imp!$E$4:$E$1503,_imp!$C$272))</f>
        <v/>
      </c>
      <c r="C270" s="47">
        <f>IF(_imp!$C$272="","",INDEX(_imp!$F$4:$F$1503,_imp!$C$272))</f>
        <v/>
      </c>
      <c r="E270" s="47">
        <f>IF(_imp!$C$272="","",INDEX(_imp!$G$4:$G$1503,_imp!$C$272))</f>
        <v/>
      </c>
      <c r="F270" s="47">
        <f>IF(_imp!$C$272="","",INDEX(_imp!$H$4:$H$1503,_imp!$C$272))</f>
        <v/>
      </c>
      <c r="G270" s="47">
        <f>IF(_imp!$C$272="","",INDEX(_imp!$I$4:$I$1503,_imp!$C$272))</f>
        <v/>
      </c>
      <c r="K270" s="47">
        <f>IF(_imp!$C$272="","",INDEX(_imp!$J$4:$J$1503,_imp!$C$272))</f>
        <v/>
      </c>
    </row>
    <row r="271">
      <c r="A271" s="47">
        <f>IF(_imp!$C$273="","",INDEX(_imp!$D$4:$D$1503,_imp!$C$273))</f>
        <v/>
      </c>
      <c r="B271" s="47">
        <f>IF(_imp!$C$273="","",INDEX(_imp!$E$4:$E$1503,_imp!$C$273))</f>
        <v/>
      </c>
      <c r="C271" s="47">
        <f>IF(_imp!$C$273="","",INDEX(_imp!$F$4:$F$1503,_imp!$C$273))</f>
        <v/>
      </c>
      <c r="E271" s="47">
        <f>IF(_imp!$C$273="","",INDEX(_imp!$G$4:$G$1503,_imp!$C$273))</f>
        <v/>
      </c>
      <c r="F271" s="47">
        <f>IF(_imp!$C$273="","",INDEX(_imp!$H$4:$H$1503,_imp!$C$273))</f>
        <v/>
      </c>
      <c r="G271" s="47">
        <f>IF(_imp!$C$273="","",INDEX(_imp!$I$4:$I$1503,_imp!$C$273))</f>
        <v/>
      </c>
      <c r="K271" s="47">
        <f>IF(_imp!$C$273="","",INDEX(_imp!$J$4:$J$1503,_imp!$C$273))</f>
        <v/>
      </c>
    </row>
    <row r="272">
      <c r="A272" s="47">
        <f>IF(_imp!$C$274="","",INDEX(_imp!$D$4:$D$1503,_imp!$C$274))</f>
        <v/>
      </c>
      <c r="B272" s="47">
        <f>IF(_imp!$C$274="","",INDEX(_imp!$E$4:$E$1503,_imp!$C$274))</f>
        <v/>
      </c>
      <c r="C272" s="47">
        <f>IF(_imp!$C$274="","",INDEX(_imp!$F$4:$F$1503,_imp!$C$274))</f>
        <v/>
      </c>
      <c r="E272" s="47">
        <f>IF(_imp!$C$274="","",INDEX(_imp!$G$4:$G$1503,_imp!$C$274))</f>
        <v/>
      </c>
      <c r="F272" s="47">
        <f>IF(_imp!$C$274="","",INDEX(_imp!$H$4:$H$1503,_imp!$C$274))</f>
        <v/>
      </c>
      <c r="G272" s="47">
        <f>IF(_imp!$C$274="","",INDEX(_imp!$I$4:$I$1503,_imp!$C$274))</f>
        <v/>
      </c>
      <c r="K272" s="47">
        <f>IF(_imp!$C$274="","",INDEX(_imp!$J$4:$J$1503,_imp!$C$274))</f>
        <v/>
      </c>
    </row>
    <row r="273">
      <c r="A273" s="47">
        <f>IF(_imp!$C$275="","",INDEX(_imp!$D$4:$D$1503,_imp!$C$275))</f>
        <v/>
      </c>
      <c r="B273" s="47">
        <f>IF(_imp!$C$275="","",INDEX(_imp!$E$4:$E$1503,_imp!$C$275))</f>
        <v/>
      </c>
      <c r="C273" s="47">
        <f>IF(_imp!$C$275="","",INDEX(_imp!$F$4:$F$1503,_imp!$C$275))</f>
        <v/>
      </c>
      <c r="E273" s="47">
        <f>IF(_imp!$C$275="","",INDEX(_imp!$G$4:$G$1503,_imp!$C$275))</f>
        <v/>
      </c>
      <c r="F273" s="47">
        <f>IF(_imp!$C$275="","",INDEX(_imp!$H$4:$H$1503,_imp!$C$275))</f>
        <v/>
      </c>
      <c r="G273" s="47">
        <f>IF(_imp!$C$275="","",INDEX(_imp!$I$4:$I$1503,_imp!$C$275))</f>
        <v/>
      </c>
      <c r="K273" s="47">
        <f>IF(_imp!$C$275="","",INDEX(_imp!$J$4:$J$1503,_imp!$C$275))</f>
        <v/>
      </c>
    </row>
    <row r="274">
      <c r="A274" s="47">
        <f>IF(_imp!$C$276="","",INDEX(_imp!$D$4:$D$1503,_imp!$C$276))</f>
        <v/>
      </c>
      <c r="B274" s="47">
        <f>IF(_imp!$C$276="","",INDEX(_imp!$E$4:$E$1503,_imp!$C$276))</f>
        <v/>
      </c>
      <c r="C274" s="47">
        <f>IF(_imp!$C$276="","",INDEX(_imp!$F$4:$F$1503,_imp!$C$276))</f>
        <v/>
      </c>
      <c r="E274" s="47">
        <f>IF(_imp!$C$276="","",INDEX(_imp!$G$4:$G$1503,_imp!$C$276))</f>
        <v/>
      </c>
      <c r="F274" s="47">
        <f>IF(_imp!$C$276="","",INDEX(_imp!$H$4:$H$1503,_imp!$C$276))</f>
        <v/>
      </c>
      <c r="G274" s="47">
        <f>IF(_imp!$C$276="","",INDEX(_imp!$I$4:$I$1503,_imp!$C$276))</f>
        <v/>
      </c>
      <c r="K274" s="47">
        <f>IF(_imp!$C$276="","",INDEX(_imp!$J$4:$J$1503,_imp!$C$276))</f>
        <v/>
      </c>
    </row>
    <row r="275">
      <c r="A275" s="47">
        <f>IF(_imp!$C$277="","",INDEX(_imp!$D$4:$D$1503,_imp!$C$277))</f>
        <v/>
      </c>
      <c r="B275" s="47">
        <f>IF(_imp!$C$277="","",INDEX(_imp!$E$4:$E$1503,_imp!$C$277))</f>
        <v/>
      </c>
      <c r="C275" s="47">
        <f>IF(_imp!$C$277="","",INDEX(_imp!$F$4:$F$1503,_imp!$C$277))</f>
        <v/>
      </c>
      <c r="E275" s="47">
        <f>IF(_imp!$C$277="","",INDEX(_imp!$G$4:$G$1503,_imp!$C$277))</f>
        <v/>
      </c>
      <c r="F275" s="47">
        <f>IF(_imp!$C$277="","",INDEX(_imp!$H$4:$H$1503,_imp!$C$277))</f>
        <v/>
      </c>
      <c r="G275" s="47">
        <f>IF(_imp!$C$277="","",INDEX(_imp!$I$4:$I$1503,_imp!$C$277))</f>
        <v/>
      </c>
      <c r="K275" s="47">
        <f>IF(_imp!$C$277="","",INDEX(_imp!$J$4:$J$1503,_imp!$C$277))</f>
        <v/>
      </c>
    </row>
    <row r="276">
      <c r="A276" s="47">
        <f>IF(_imp!$C$278="","",INDEX(_imp!$D$4:$D$1503,_imp!$C$278))</f>
        <v/>
      </c>
      <c r="B276" s="47">
        <f>IF(_imp!$C$278="","",INDEX(_imp!$E$4:$E$1503,_imp!$C$278))</f>
        <v/>
      </c>
      <c r="C276" s="47">
        <f>IF(_imp!$C$278="","",INDEX(_imp!$F$4:$F$1503,_imp!$C$278))</f>
        <v/>
      </c>
      <c r="E276" s="47">
        <f>IF(_imp!$C$278="","",INDEX(_imp!$G$4:$G$1503,_imp!$C$278))</f>
        <v/>
      </c>
      <c r="F276" s="47">
        <f>IF(_imp!$C$278="","",INDEX(_imp!$H$4:$H$1503,_imp!$C$278))</f>
        <v/>
      </c>
      <c r="G276" s="47">
        <f>IF(_imp!$C$278="","",INDEX(_imp!$I$4:$I$1503,_imp!$C$278))</f>
        <v/>
      </c>
      <c r="K276" s="47">
        <f>IF(_imp!$C$278="","",INDEX(_imp!$J$4:$J$1503,_imp!$C$278))</f>
        <v/>
      </c>
    </row>
    <row r="277">
      <c r="A277" s="47">
        <f>IF(_imp!$C$279="","",INDEX(_imp!$D$4:$D$1503,_imp!$C$279))</f>
        <v/>
      </c>
      <c r="B277" s="47">
        <f>IF(_imp!$C$279="","",INDEX(_imp!$E$4:$E$1503,_imp!$C$279))</f>
        <v/>
      </c>
      <c r="C277" s="47">
        <f>IF(_imp!$C$279="","",INDEX(_imp!$F$4:$F$1503,_imp!$C$279))</f>
        <v/>
      </c>
      <c r="E277" s="47">
        <f>IF(_imp!$C$279="","",INDEX(_imp!$G$4:$G$1503,_imp!$C$279))</f>
        <v/>
      </c>
      <c r="F277" s="47">
        <f>IF(_imp!$C$279="","",INDEX(_imp!$H$4:$H$1503,_imp!$C$279))</f>
        <v/>
      </c>
      <c r="G277" s="47">
        <f>IF(_imp!$C$279="","",INDEX(_imp!$I$4:$I$1503,_imp!$C$279))</f>
        <v/>
      </c>
      <c r="K277" s="47">
        <f>IF(_imp!$C$279="","",INDEX(_imp!$J$4:$J$1503,_imp!$C$279))</f>
        <v/>
      </c>
    </row>
    <row r="278">
      <c r="A278" s="47">
        <f>IF(_imp!$C$280="","",INDEX(_imp!$D$4:$D$1503,_imp!$C$280))</f>
        <v/>
      </c>
      <c r="B278" s="47">
        <f>IF(_imp!$C$280="","",INDEX(_imp!$E$4:$E$1503,_imp!$C$280))</f>
        <v/>
      </c>
      <c r="C278" s="47">
        <f>IF(_imp!$C$280="","",INDEX(_imp!$F$4:$F$1503,_imp!$C$280))</f>
        <v/>
      </c>
      <c r="E278" s="47">
        <f>IF(_imp!$C$280="","",INDEX(_imp!$G$4:$G$1503,_imp!$C$280))</f>
        <v/>
      </c>
      <c r="F278" s="47">
        <f>IF(_imp!$C$280="","",INDEX(_imp!$H$4:$H$1503,_imp!$C$280))</f>
        <v/>
      </c>
      <c r="G278" s="47">
        <f>IF(_imp!$C$280="","",INDEX(_imp!$I$4:$I$1503,_imp!$C$280))</f>
        <v/>
      </c>
      <c r="K278" s="47">
        <f>IF(_imp!$C$280="","",INDEX(_imp!$J$4:$J$1503,_imp!$C$280))</f>
        <v/>
      </c>
    </row>
    <row r="279">
      <c r="A279" s="47">
        <f>IF(_imp!$C$281="","",INDEX(_imp!$D$4:$D$1503,_imp!$C$281))</f>
        <v/>
      </c>
      <c r="B279" s="47">
        <f>IF(_imp!$C$281="","",INDEX(_imp!$E$4:$E$1503,_imp!$C$281))</f>
        <v/>
      </c>
      <c r="C279" s="47">
        <f>IF(_imp!$C$281="","",INDEX(_imp!$F$4:$F$1503,_imp!$C$281))</f>
        <v/>
      </c>
      <c r="E279" s="47">
        <f>IF(_imp!$C$281="","",INDEX(_imp!$G$4:$G$1503,_imp!$C$281))</f>
        <v/>
      </c>
      <c r="F279" s="47">
        <f>IF(_imp!$C$281="","",INDEX(_imp!$H$4:$H$1503,_imp!$C$281))</f>
        <v/>
      </c>
      <c r="G279" s="47">
        <f>IF(_imp!$C$281="","",INDEX(_imp!$I$4:$I$1503,_imp!$C$281))</f>
        <v/>
      </c>
      <c r="K279" s="47">
        <f>IF(_imp!$C$281="","",INDEX(_imp!$J$4:$J$1503,_imp!$C$281))</f>
        <v/>
      </c>
    </row>
    <row r="280">
      <c r="A280" s="47">
        <f>IF(_imp!$C$282="","",INDEX(_imp!$D$4:$D$1503,_imp!$C$282))</f>
        <v/>
      </c>
      <c r="B280" s="47">
        <f>IF(_imp!$C$282="","",INDEX(_imp!$E$4:$E$1503,_imp!$C$282))</f>
        <v/>
      </c>
      <c r="C280" s="47">
        <f>IF(_imp!$C$282="","",INDEX(_imp!$F$4:$F$1503,_imp!$C$282))</f>
        <v/>
      </c>
      <c r="E280" s="47">
        <f>IF(_imp!$C$282="","",INDEX(_imp!$G$4:$G$1503,_imp!$C$282))</f>
        <v/>
      </c>
      <c r="F280" s="47">
        <f>IF(_imp!$C$282="","",INDEX(_imp!$H$4:$H$1503,_imp!$C$282))</f>
        <v/>
      </c>
      <c r="G280" s="47">
        <f>IF(_imp!$C$282="","",INDEX(_imp!$I$4:$I$1503,_imp!$C$282))</f>
        <v/>
      </c>
      <c r="K280" s="47">
        <f>IF(_imp!$C$282="","",INDEX(_imp!$J$4:$J$1503,_imp!$C$282))</f>
        <v/>
      </c>
    </row>
    <row r="281">
      <c r="A281" s="47">
        <f>IF(_imp!$C$283="","",INDEX(_imp!$D$4:$D$1503,_imp!$C$283))</f>
        <v/>
      </c>
      <c r="B281" s="47">
        <f>IF(_imp!$C$283="","",INDEX(_imp!$E$4:$E$1503,_imp!$C$283))</f>
        <v/>
      </c>
      <c r="C281" s="47">
        <f>IF(_imp!$C$283="","",INDEX(_imp!$F$4:$F$1503,_imp!$C$283))</f>
        <v/>
      </c>
      <c r="E281" s="47">
        <f>IF(_imp!$C$283="","",INDEX(_imp!$G$4:$G$1503,_imp!$C$283))</f>
        <v/>
      </c>
      <c r="F281" s="47">
        <f>IF(_imp!$C$283="","",INDEX(_imp!$H$4:$H$1503,_imp!$C$283))</f>
        <v/>
      </c>
      <c r="G281" s="47">
        <f>IF(_imp!$C$283="","",INDEX(_imp!$I$4:$I$1503,_imp!$C$283))</f>
        <v/>
      </c>
      <c r="K281" s="47">
        <f>IF(_imp!$C$283="","",INDEX(_imp!$J$4:$J$1503,_imp!$C$283))</f>
        <v/>
      </c>
    </row>
    <row r="282">
      <c r="A282" s="47">
        <f>IF(_imp!$C$284="","",INDEX(_imp!$D$4:$D$1503,_imp!$C$284))</f>
        <v/>
      </c>
      <c r="B282" s="47">
        <f>IF(_imp!$C$284="","",INDEX(_imp!$E$4:$E$1503,_imp!$C$284))</f>
        <v/>
      </c>
      <c r="C282" s="47">
        <f>IF(_imp!$C$284="","",INDEX(_imp!$F$4:$F$1503,_imp!$C$284))</f>
        <v/>
      </c>
      <c r="E282" s="47">
        <f>IF(_imp!$C$284="","",INDEX(_imp!$G$4:$G$1503,_imp!$C$284))</f>
        <v/>
      </c>
      <c r="F282" s="47">
        <f>IF(_imp!$C$284="","",INDEX(_imp!$H$4:$H$1503,_imp!$C$284))</f>
        <v/>
      </c>
      <c r="G282" s="47">
        <f>IF(_imp!$C$284="","",INDEX(_imp!$I$4:$I$1503,_imp!$C$284))</f>
        <v/>
      </c>
      <c r="K282" s="47">
        <f>IF(_imp!$C$284="","",INDEX(_imp!$J$4:$J$1503,_imp!$C$284))</f>
        <v/>
      </c>
    </row>
    <row r="283">
      <c r="A283" s="47">
        <f>IF(_imp!$C$285="","",INDEX(_imp!$D$4:$D$1503,_imp!$C$285))</f>
        <v/>
      </c>
      <c r="B283" s="47">
        <f>IF(_imp!$C$285="","",INDEX(_imp!$E$4:$E$1503,_imp!$C$285))</f>
        <v/>
      </c>
      <c r="C283" s="47">
        <f>IF(_imp!$C$285="","",INDEX(_imp!$F$4:$F$1503,_imp!$C$285))</f>
        <v/>
      </c>
      <c r="E283" s="47">
        <f>IF(_imp!$C$285="","",INDEX(_imp!$G$4:$G$1503,_imp!$C$285))</f>
        <v/>
      </c>
      <c r="F283" s="47">
        <f>IF(_imp!$C$285="","",INDEX(_imp!$H$4:$H$1503,_imp!$C$285))</f>
        <v/>
      </c>
      <c r="G283" s="47">
        <f>IF(_imp!$C$285="","",INDEX(_imp!$I$4:$I$1503,_imp!$C$285))</f>
        <v/>
      </c>
      <c r="K283" s="47">
        <f>IF(_imp!$C$285="","",INDEX(_imp!$J$4:$J$1503,_imp!$C$285))</f>
        <v/>
      </c>
    </row>
    <row r="284">
      <c r="A284" s="47">
        <f>IF(_imp!$C$286="","",INDEX(_imp!$D$4:$D$1503,_imp!$C$286))</f>
        <v/>
      </c>
      <c r="B284" s="47">
        <f>IF(_imp!$C$286="","",INDEX(_imp!$E$4:$E$1503,_imp!$C$286))</f>
        <v/>
      </c>
      <c r="C284" s="47">
        <f>IF(_imp!$C$286="","",INDEX(_imp!$F$4:$F$1503,_imp!$C$286))</f>
        <v/>
      </c>
      <c r="E284" s="47">
        <f>IF(_imp!$C$286="","",INDEX(_imp!$G$4:$G$1503,_imp!$C$286))</f>
        <v/>
      </c>
      <c r="F284" s="47">
        <f>IF(_imp!$C$286="","",INDEX(_imp!$H$4:$H$1503,_imp!$C$286))</f>
        <v/>
      </c>
      <c r="G284" s="47">
        <f>IF(_imp!$C$286="","",INDEX(_imp!$I$4:$I$1503,_imp!$C$286))</f>
        <v/>
      </c>
      <c r="K284" s="47">
        <f>IF(_imp!$C$286="","",INDEX(_imp!$J$4:$J$1503,_imp!$C$286))</f>
        <v/>
      </c>
    </row>
    <row r="285">
      <c r="A285" s="47">
        <f>IF(_imp!$C$287="","",INDEX(_imp!$D$4:$D$1503,_imp!$C$287))</f>
        <v/>
      </c>
      <c r="B285" s="47">
        <f>IF(_imp!$C$287="","",INDEX(_imp!$E$4:$E$1503,_imp!$C$287))</f>
        <v/>
      </c>
      <c r="C285" s="47">
        <f>IF(_imp!$C$287="","",INDEX(_imp!$F$4:$F$1503,_imp!$C$287))</f>
        <v/>
      </c>
      <c r="E285" s="47">
        <f>IF(_imp!$C$287="","",INDEX(_imp!$G$4:$G$1503,_imp!$C$287))</f>
        <v/>
      </c>
      <c r="F285" s="47">
        <f>IF(_imp!$C$287="","",INDEX(_imp!$H$4:$H$1503,_imp!$C$287))</f>
        <v/>
      </c>
      <c r="G285" s="47">
        <f>IF(_imp!$C$287="","",INDEX(_imp!$I$4:$I$1503,_imp!$C$287))</f>
        <v/>
      </c>
      <c r="K285" s="47">
        <f>IF(_imp!$C$287="","",INDEX(_imp!$J$4:$J$1503,_imp!$C$287))</f>
        <v/>
      </c>
    </row>
    <row r="286">
      <c r="A286" s="47">
        <f>IF(_imp!$C$288="","",INDEX(_imp!$D$4:$D$1503,_imp!$C$288))</f>
        <v/>
      </c>
      <c r="B286" s="47">
        <f>IF(_imp!$C$288="","",INDEX(_imp!$E$4:$E$1503,_imp!$C$288))</f>
        <v/>
      </c>
      <c r="C286" s="47">
        <f>IF(_imp!$C$288="","",INDEX(_imp!$F$4:$F$1503,_imp!$C$288))</f>
        <v/>
      </c>
      <c r="E286" s="47">
        <f>IF(_imp!$C$288="","",INDEX(_imp!$G$4:$G$1503,_imp!$C$288))</f>
        <v/>
      </c>
      <c r="F286" s="47">
        <f>IF(_imp!$C$288="","",INDEX(_imp!$H$4:$H$1503,_imp!$C$288))</f>
        <v/>
      </c>
      <c r="G286" s="47">
        <f>IF(_imp!$C$288="","",INDEX(_imp!$I$4:$I$1503,_imp!$C$288))</f>
        <v/>
      </c>
      <c r="K286" s="47">
        <f>IF(_imp!$C$288="","",INDEX(_imp!$J$4:$J$1503,_imp!$C$288))</f>
        <v/>
      </c>
    </row>
    <row r="287">
      <c r="A287" s="47">
        <f>IF(_imp!$C$289="","",INDEX(_imp!$D$4:$D$1503,_imp!$C$289))</f>
        <v/>
      </c>
      <c r="B287" s="47">
        <f>IF(_imp!$C$289="","",INDEX(_imp!$E$4:$E$1503,_imp!$C$289))</f>
        <v/>
      </c>
      <c r="C287" s="47">
        <f>IF(_imp!$C$289="","",INDEX(_imp!$F$4:$F$1503,_imp!$C$289))</f>
        <v/>
      </c>
      <c r="E287" s="47">
        <f>IF(_imp!$C$289="","",INDEX(_imp!$G$4:$G$1503,_imp!$C$289))</f>
        <v/>
      </c>
      <c r="F287" s="47">
        <f>IF(_imp!$C$289="","",INDEX(_imp!$H$4:$H$1503,_imp!$C$289))</f>
        <v/>
      </c>
      <c r="G287" s="47">
        <f>IF(_imp!$C$289="","",INDEX(_imp!$I$4:$I$1503,_imp!$C$289))</f>
        <v/>
      </c>
      <c r="K287" s="47">
        <f>IF(_imp!$C$289="","",INDEX(_imp!$J$4:$J$1503,_imp!$C$289))</f>
        <v/>
      </c>
    </row>
    <row r="288">
      <c r="A288" s="47">
        <f>IF(_imp!$C$290="","",INDEX(_imp!$D$4:$D$1503,_imp!$C$290))</f>
        <v/>
      </c>
      <c r="B288" s="47">
        <f>IF(_imp!$C$290="","",INDEX(_imp!$E$4:$E$1503,_imp!$C$290))</f>
        <v/>
      </c>
      <c r="C288" s="47">
        <f>IF(_imp!$C$290="","",INDEX(_imp!$F$4:$F$1503,_imp!$C$290))</f>
        <v/>
      </c>
      <c r="E288" s="47">
        <f>IF(_imp!$C$290="","",INDEX(_imp!$G$4:$G$1503,_imp!$C$290))</f>
        <v/>
      </c>
      <c r="F288" s="47">
        <f>IF(_imp!$C$290="","",INDEX(_imp!$H$4:$H$1503,_imp!$C$290))</f>
        <v/>
      </c>
      <c r="G288" s="47">
        <f>IF(_imp!$C$290="","",INDEX(_imp!$I$4:$I$1503,_imp!$C$290))</f>
        <v/>
      </c>
      <c r="K288" s="47">
        <f>IF(_imp!$C$290="","",INDEX(_imp!$J$4:$J$1503,_imp!$C$290))</f>
        <v/>
      </c>
    </row>
    <row r="289">
      <c r="A289" s="47">
        <f>IF(_imp!$C$291="","",INDEX(_imp!$D$4:$D$1503,_imp!$C$291))</f>
        <v/>
      </c>
      <c r="B289" s="47">
        <f>IF(_imp!$C$291="","",INDEX(_imp!$E$4:$E$1503,_imp!$C$291))</f>
        <v/>
      </c>
      <c r="C289" s="47">
        <f>IF(_imp!$C$291="","",INDEX(_imp!$F$4:$F$1503,_imp!$C$291))</f>
        <v/>
      </c>
      <c r="E289" s="47">
        <f>IF(_imp!$C$291="","",INDEX(_imp!$G$4:$G$1503,_imp!$C$291))</f>
        <v/>
      </c>
      <c r="F289" s="47">
        <f>IF(_imp!$C$291="","",INDEX(_imp!$H$4:$H$1503,_imp!$C$291))</f>
        <v/>
      </c>
      <c r="G289" s="47">
        <f>IF(_imp!$C$291="","",INDEX(_imp!$I$4:$I$1503,_imp!$C$291))</f>
        <v/>
      </c>
      <c r="K289" s="47">
        <f>IF(_imp!$C$291="","",INDEX(_imp!$J$4:$J$1503,_imp!$C$291))</f>
        <v/>
      </c>
    </row>
    <row r="290">
      <c r="A290" s="47">
        <f>IF(_imp!$C$292="","",INDEX(_imp!$D$4:$D$1503,_imp!$C$292))</f>
        <v/>
      </c>
      <c r="B290" s="47">
        <f>IF(_imp!$C$292="","",INDEX(_imp!$E$4:$E$1503,_imp!$C$292))</f>
        <v/>
      </c>
      <c r="C290" s="47">
        <f>IF(_imp!$C$292="","",INDEX(_imp!$F$4:$F$1503,_imp!$C$292))</f>
        <v/>
      </c>
      <c r="E290" s="47">
        <f>IF(_imp!$C$292="","",INDEX(_imp!$G$4:$G$1503,_imp!$C$292))</f>
        <v/>
      </c>
      <c r="F290" s="47">
        <f>IF(_imp!$C$292="","",INDEX(_imp!$H$4:$H$1503,_imp!$C$292))</f>
        <v/>
      </c>
      <c r="G290" s="47">
        <f>IF(_imp!$C$292="","",INDEX(_imp!$I$4:$I$1503,_imp!$C$292))</f>
        <v/>
      </c>
      <c r="K290" s="47">
        <f>IF(_imp!$C$292="","",INDEX(_imp!$J$4:$J$1503,_imp!$C$292))</f>
        <v/>
      </c>
    </row>
    <row r="291">
      <c r="A291" s="47">
        <f>IF(_imp!$C$293="","",INDEX(_imp!$D$4:$D$1503,_imp!$C$293))</f>
        <v/>
      </c>
      <c r="B291" s="47">
        <f>IF(_imp!$C$293="","",INDEX(_imp!$E$4:$E$1503,_imp!$C$293))</f>
        <v/>
      </c>
      <c r="C291" s="47">
        <f>IF(_imp!$C$293="","",INDEX(_imp!$F$4:$F$1503,_imp!$C$293))</f>
        <v/>
      </c>
      <c r="E291" s="47">
        <f>IF(_imp!$C$293="","",INDEX(_imp!$G$4:$G$1503,_imp!$C$293))</f>
        <v/>
      </c>
      <c r="F291" s="47">
        <f>IF(_imp!$C$293="","",INDEX(_imp!$H$4:$H$1503,_imp!$C$293))</f>
        <v/>
      </c>
      <c r="G291" s="47">
        <f>IF(_imp!$C$293="","",INDEX(_imp!$I$4:$I$1503,_imp!$C$293))</f>
        <v/>
      </c>
      <c r="K291" s="47">
        <f>IF(_imp!$C$293="","",INDEX(_imp!$J$4:$J$1503,_imp!$C$293))</f>
        <v/>
      </c>
    </row>
    <row r="292">
      <c r="A292" s="47">
        <f>IF(_imp!$C$294="","",INDEX(_imp!$D$4:$D$1503,_imp!$C$294))</f>
        <v/>
      </c>
      <c r="B292" s="47">
        <f>IF(_imp!$C$294="","",INDEX(_imp!$E$4:$E$1503,_imp!$C$294))</f>
        <v/>
      </c>
      <c r="C292" s="47">
        <f>IF(_imp!$C$294="","",INDEX(_imp!$F$4:$F$1503,_imp!$C$294))</f>
        <v/>
      </c>
      <c r="E292" s="47">
        <f>IF(_imp!$C$294="","",INDEX(_imp!$G$4:$G$1503,_imp!$C$294))</f>
        <v/>
      </c>
      <c r="F292" s="47">
        <f>IF(_imp!$C$294="","",INDEX(_imp!$H$4:$H$1503,_imp!$C$294))</f>
        <v/>
      </c>
      <c r="G292" s="47">
        <f>IF(_imp!$C$294="","",INDEX(_imp!$I$4:$I$1503,_imp!$C$294))</f>
        <v/>
      </c>
      <c r="K292" s="47">
        <f>IF(_imp!$C$294="","",INDEX(_imp!$J$4:$J$1503,_imp!$C$294))</f>
        <v/>
      </c>
    </row>
    <row r="293">
      <c r="A293" s="47">
        <f>IF(_imp!$C$295="","",INDEX(_imp!$D$4:$D$1503,_imp!$C$295))</f>
        <v/>
      </c>
      <c r="B293" s="47">
        <f>IF(_imp!$C$295="","",INDEX(_imp!$E$4:$E$1503,_imp!$C$295))</f>
        <v/>
      </c>
      <c r="C293" s="47">
        <f>IF(_imp!$C$295="","",INDEX(_imp!$F$4:$F$1503,_imp!$C$295))</f>
        <v/>
      </c>
      <c r="E293" s="47">
        <f>IF(_imp!$C$295="","",INDEX(_imp!$G$4:$G$1503,_imp!$C$295))</f>
        <v/>
      </c>
      <c r="F293" s="47">
        <f>IF(_imp!$C$295="","",INDEX(_imp!$H$4:$H$1503,_imp!$C$295))</f>
        <v/>
      </c>
      <c r="G293" s="47">
        <f>IF(_imp!$C$295="","",INDEX(_imp!$I$4:$I$1503,_imp!$C$295))</f>
        <v/>
      </c>
      <c r="K293" s="47">
        <f>IF(_imp!$C$295="","",INDEX(_imp!$J$4:$J$1503,_imp!$C$295))</f>
        <v/>
      </c>
    </row>
    <row r="294">
      <c r="A294" s="47">
        <f>IF(_imp!$C$296="","",INDEX(_imp!$D$4:$D$1503,_imp!$C$296))</f>
        <v/>
      </c>
      <c r="B294" s="47">
        <f>IF(_imp!$C$296="","",INDEX(_imp!$E$4:$E$1503,_imp!$C$296))</f>
        <v/>
      </c>
      <c r="C294" s="47">
        <f>IF(_imp!$C$296="","",INDEX(_imp!$F$4:$F$1503,_imp!$C$296))</f>
        <v/>
      </c>
      <c r="E294" s="47">
        <f>IF(_imp!$C$296="","",INDEX(_imp!$G$4:$G$1503,_imp!$C$296))</f>
        <v/>
      </c>
      <c r="F294" s="47">
        <f>IF(_imp!$C$296="","",INDEX(_imp!$H$4:$H$1503,_imp!$C$296))</f>
        <v/>
      </c>
      <c r="G294" s="47">
        <f>IF(_imp!$C$296="","",INDEX(_imp!$I$4:$I$1503,_imp!$C$296))</f>
        <v/>
      </c>
      <c r="K294" s="47">
        <f>IF(_imp!$C$296="","",INDEX(_imp!$J$4:$J$1503,_imp!$C$296))</f>
        <v/>
      </c>
    </row>
    <row r="295">
      <c r="A295" s="47">
        <f>IF(_imp!$C$297="","",INDEX(_imp!$D$4:$D$1503,_imp!$C$297))</f>
        <v/>
      </c>
      <c r="B295" s="47">
        <f>IF(_imp!$C$297="","",INDEX(_imp!$E$4:$E$1503,_imp!$C$297))</f>
        <v/>
      </c>
      <c r="C295" s="47">
        <f>IF(_imp!$C$297="","",INDEX(_imp!$F$4:$F$1503,_imp!$C$297))</f>
        <v/>
      </c>
      <c r="E295" s="47">
        <f>IF(_imp!$C$297="","",INDEX(_imp!$G$4:$G$1503,_imp!$C$297))</f>
        <v/>
      </c>
      <c r="F295" s="47">
        <f>IF(_imp!$C$297="","",INDEX(_imp!$H$4:$H$1503,_imp!$C$297))</f>
        <v/>
      </c>
      <c r="G295" s="47">
        <f>IF(_imp!$C$297="","",INDEX(_imp!$I$4:$I$1503,_imp!$C$297))</f>
        <v/>
      </c>
      <c r="K295" s="47">
        <f>IF(_imp!$C$297="","",INDEX(_imp!$J$4:$J$1503,_imp!$C$297))</f>
        <v/>
      </c>
    </row>
    <row r="296">
      <c r="A296" s="47">
        <f>IF(_imp!$C$298="","",INDEX(_imp!$D$4:$D$1503,_imp!$C$298))</f>
        <v/>
      </c>
      <c r="B296" s="47">
        <f>IF(_imp!$C$298="","",INDEX(_imp!$E$4:$E$1503,_imp!$C$298))</f>
        <v/>
      </c>
      <c r="C296" s="47">
        <f>IF(_imp!$C$298="","",INDEX(_imp!$F$4:$F$1503,_imp!$C$298))</f>
        <v/>
      </c>
      <c r="E296" s="47">
        <f>IF(_imp!$C$298="","",INDEX(_imp!$G$4:$G$1503,_imp!$C$298))</f>
        <v/>
      </c>
      <c r="F296" s="47">
        <f>IF(_imp!$C$298="","",INDEX(_imp!$H$4:$H$1503,_imp!$C$298))</f>
        <v/>
      </c>
      <c r="G296" s="47">
        <f>IF(_imp!$C$298="","",INDEX(_imp!$I$4:$I$1503,_imp!$C$298))</f>
        <v/>
      </c>
      <c r="K296" s="47">
        <f>IF(_imp!$C$298="","",INDEX(_imp!$J$4:$J$1503,_imp!$C$298))</f>
        <v/>
      </c>
    </row>
    <row r="297">
      <c r="A297" s="47">
        <f>IF(_imp!$C$299="","",INDEX(_imp!$D$4:$D$1503,_imp!$C$299))</f>
        <v/>
      </c>
      <c r="B297" s="47">
        <f>IF(_imp!$C$299="","",INDEX(_imp!$E$4:$E$1503,_imp!$C$299))</f>
        <v/>
      </c>
      <c r="C297" s="47">
        <f>IF(_imp!$C$299="","",INDEX(_imp!$F$4:$F$1503,_imp!$C$299))</f>
        <v/>
      </c>
      <c r="E297" s="47">
        <f>IF(_imp!$C$299="","",INDEX(_imp!$G$4:$G$1503,_imp!$C$299))</f>
        <v/>
      </c>
      <c r="F297" s="47">
        <f>IF(_imp!$C$299="","",INDEX(_imp!$H$4:$H$1503,_imp!$C$299))</f>
        <v/>
      </c>
      <c r="G297" s="47">
        <f>IF(_imp!$C$299="","",INDEX(_imp!$I$4:$I$1503,_imp!$C$299))</f>
        <v/>
      </c>
      <c r="K297" s="47">
        <f>IF(_imp!$C$299="","",INDEX(_imp!$J$4:$J$1503,_imp!$C$299))</f>
        <v/>
      </c>
    </row>
    <row r="298">
      <c r="A298" s="47">
        <f>IF(_imp!$C$300="","",INDEX(_imp!$D$4:$D$1503,_imp!$C$300))</f>
        <v/>
      </c>
      <c r="B298" s="47">
        <f>IF(_imp!$C$300="","",INDEX(_imp!$E$4:$E$1503,_imp!$C$300))</f>
        <v/>
      </c>
      <c r="C298" s="47">
        <f>IF(_imp!$C$300="","",INDEX(_imp!$F$4:$F$1503,_imp!$C$300))</f>
        <v/>
      </c>
      <c r="E298" s="47">
        <f>IF(_imp!$C$300="","",INDEX(_imp!$G$4:$G$1503,_imp!$C$300))</f>
        <v/>
      </c>
      <c r="F298" s="47">
        <f>IF(_imp!$C$300="","",INDEX(_imp!$H$4:$H$1503,_imp!$C$300))</f>
        <v/>
      </c>
      <c r="G298" s="47">
        <f>IF(_imp!$C$300="","",INDEX(_imp!$I$4:$I$1503,_imp!$C$300))</f>
        <v/>
      </c>
      <c r="K298" s="47">
        <f>IF(_imp!$C$300="","",INDEX(_imp!$J$4:$J$1503,_imp!$C$300))</f>
        <v/>
      </c>
    </row>
    <row r="299">
      <c r="A299" s="47">
        <f>IF(_imp!$C$301="","",INDEX(_imp!$D$4:$D$1503,_imp!$C$301))</f>
        <v/>
      </c>
      <c r="B299" s="47">
        <f>IF(_imp!$C$301="","",INDEX(_imp!$E$4:$E$1503,_imp!$C$301))</f>
        <v/>
      </c>
      <c r="C299" s="47">
        <f>IF(_imp!$C$301="","",INDEX(_imp!$F$4:$F$1503,_imp!$C$301))</f>
        <v/>
      </c>
      <c r="E299" s="47">
        <f>IF(_imp!$C$301="","",INDEX(_imp!$G$4:$G$1503,_imp!$C$301))</f>
        <v/>
      </c>
      <c r="F299" s="47">
        <f>IF(_imp!$C$301="","",INDEX(_imp!$H$4:$H$1503,_imp!$C$301))</f>
        <v/>
      </c>
      <c r="G299" s="47">
        <f>IF(_imp!$C$301="","",INDEX(_imp!$I$4:$I$1503,_imp!$C$301))</f>
        <v/>
      </c>
      <c r="K299" s="47">
        <f>IF(_imp!$C$301="","",INDEX(_imp!$J$4:$J$1503,_imp!$C$301))</f>
        <v/>
      </c>
    </row>
    <row r="300">
      <c r="A300" s="47">
        <f>IF(_imp!$C$302="","",INDEX(_imp!$D$4:$D$1503,_imp!$C$302))</f>
        <v/>
      </c>
      <c r="B300" s="47">
        <f>IF(_imp!$C$302="","",INDEX(_imp!$E$4:$E$1503,_imp!$C$302))</f>
        <v/>
      </c>
      <c r="C300" s="47">
        <f>IF(_imp!$C$302="","",INDEX(_imp!$F$4:$F$1503,_imp!$C$302))</f>
        <v/>
      </c>
      <c r="E300" s="47">
        <f>IF(_imp!$C$302="","",INDEX(_imp!$G$4:$G$1503,_imp!$C$302))</f>
        <v/>
      </c>
      <c r="F300" s="47">
        <f>IF(_imp!$C$302="","",INDEX(_imp!$H$4:$H$1503,_imp!$C$302))</f>
        <v/>
      </c>
      <c r="G300" s="47">
        <f>IF(_imp!$C$302="","",INDEX(_imp!$I$4:$I$1503,_imp!$C$302))</f>
        <v/>
      </c>
      <c r="K300" s="47">
        <f>IF(_imp!$C$302="","",INDEX(_imp!$J$4:$J$1503,_imp!$C$302))</f>
        <v/>
      </c>
    </row>
    <row r="301">
      <c r="A301" s="47">
        <f>IF(_imp!$C$303="","",INDEX(_imp!$D$4:$D$1503,_imp!$C$303))</f>
        <v/>
      </c>
      <c r="B301" s="47">
        <f>IF(_imp!$C$303="","",INDEX(_imp!$E$4:$E$1503,_imp!$C$303))</f>
        <v/>
      </c>
      <c r="C301" s="47">
        <f>IF(_imp!$C$303="","",INDEX(_imp!$F$4:$F$1503,_imp!$C$303))</f>
        <v/>
      </c>
      <c r="E301" s="47">
        <f>IF(_imp!$C$303="","",INDEX(_imp!$G$4:$G$1503,_imp!$C$303))</f>
        <v/>
      </c>
      <c r="F301" s="47">
        <f>IF(_imp!$C$303="","",INDEX(_imp!$H$4:$H$1503,_imp!$C$303))</f>
        <v/>
      </c>
      <c r="G301" s="47">
        <f>IF(_imp!$C$303="","",INDEX(_imp!$I$4:$I$1503,_imp!$C$303))</f>
        <v/>
      </c>
      <c r="K301" s="47">
        <f>IF(_imp!$C$303="","",INDEX(_imp!$J$4:$J$1503,_imp!$C$303))</f>
        <v/>
      </c>
    </row>
    <row r="302">
      <c r="A302" s="47">
        <f>IF(_imp!$C$304="","",INDEX(_imp!$D$4:$D$1503,_imp!$C$304))</f>
        <v/>
      </c>
      <c r="B302" s="47">
        <f>IF(_imp!$C$304="","",INDEX(_imp!$E$4:$E$1503,_imp!$C$304))</f>
        <v/>
      </c>
      <c r="C302" s="47">
        <f>IF(_imp!$C$304="","",INDEX(_imp!$F$4:$F$1503,_imp!$C$304))</f>
        <v/>
      </c>
      <c r="E302" s="47">
        <f>IF(_imp!$C$304="","",INDEX(_imp!$G$4:$G$1503,_imp!$C$304))</f>
        <v/>
      </c>
      <c r="F302" s="47">
        <f>IF(_imp!$C$304="","",INDEX(_imp!$H$4:$H$1503,_imp!$C$304))</f>
        <v/>
      </c>
      <c r="G302" s="47">
        <f>IF(_imp!$C$304="","",INDEX(_imp!$I$4:$I$1503,_imp!$C$304))</f>
        <v/>
      </c>
      <c r="K302" s="47">
        <f>IF(_imp!$C$304="","",INDEX(_imp!$J$4:$J$1503,_imp!$C$304))</f>
        <v/>
      </c>
    </row>
    <row r="303">
      <c r="A303" s="47">
        <f>IF(_imp!$C$305="","",INDEX(_imp!$D$4:$D$1503,_imp!$C$305))</f>
        <v/>
      </c>
      <c r="B303" s="47">
        <f>IF(_imp!$C$305="","",INDEX(_imp!$E$4:$E$1503,_imp!$C$305))</f>
        <v/>
      </c>
      <c r="C303" s="47">
        <f>IF(_imp!$C$305="","",INDEX(_imp!$F$4:$F$1503,_imp!$C$305))</f>
        <v/>
      </c>
      <c r="E303" s="47">
        <f>IF(_imp!$C$305="","",INDEX(_imp!$G$4:$G$1503,_imp!$C$305))</f>
        <v/>
      </c>
      <c r="F303" s="47">
        <f>IF(_imp!$C$305="","",INDEX(_imp!$H$4:$H$1503,_imp!$C$305))</f>
        <v/>
      </c>
      <c r="G303" s="47">
        <f>IF(_imp!$C$305="","",INDEX(_imp!$I$4:$I$1503,_imp!$C$305))</f>
        <v/>
      </c>
      <c r="K303" s="47">
        <f>IF(_imp!$C$305="","",INDEX(_imp!$J$4:$J$1503,_imp!$C$305))</f>
        <v/>
      </c>
    </row>
    <row r="304">
      <c r="A304" s="47">
        <f>IF(_imp!$C$306="","",INDEX(_imp!$D$4:$D$1503,_imp!$C$306))</f>
        <v/>
      </c>
      <c r="B304" s="47">
        <f>IF(_imp!$C$306="","",INDEX(_imp!$E$4:$E$1503,_imp!$C$306))</f>
        <v/>
      </c>
      <c r="C304" s="47">
        <f>IF(_imp!$C$306="","",INDEX(_imp!$F$4:$F$1503,_imp!$C$306))</f>
        <v/>
      </c>
      <c r="E304" s="47">
        <f>IF(_imp!$C$306="","",INDEX(_imp!$G$4:$G$1503,_imp!$C$306))</f>
        <v/>
      </c>
      <c r="F304" s="47">
        <f>IF(_imp!$C$306="","",INDEX(_imp!$H$4:$H$1503,_imp!$C$306))</f>
        <v/>
      </c>
      <c r="G304" s="47">
        <f>IF(_imp!$C$306="","",INDEX(_imp!$I$4:$I$1503,_imp!$C$306))</f>
        <v/>
      </c>
      <c r="K304" s="47">
        <f>IF(_imp!$C$306="","",INDEX(_imp!$J$4:$J$1503,_imp!$C$306))</f>
        <v/>
      </c>
    </row>
    <row r="305">
      <c r="A305" s="47">
        <f>IF(_imp!$C$307="","",INDEX(_imp!$D$4:$D$1503,_imp!$C$307))</f>
        <v/>
      </c>
      <c r="B305" s="47">
        <f>IF(_imp!$C$307="","",INDEX(_imp!$E$4:$E$1503,_imp!$C$307))</f>
        <v/>
      </c>
      <c r="C305" s="47">
        <f>IF(_imp!$C$307="","",INDEX(_imp!$F$4:$F$1503,_imp!$C$307))</f>
        <v/>
      </c>
      <c r="E305" s="47">
        <f>IF(_imp!$C$307="","",INDEX(_imp!$G$4:$G$1503,_imp!$C$307))</f>
        <v/>
      </c>
      <c r="F305" s="47">
        <f>IF(_imp!$C$307="","",INDEX(_imp!$H$4:$H$1503,_imp!$C$307))</f>
        <v/>
      </c>
      <c r="G305" s="47">
        <f>IF(_imp!$C$307="","",INDEX(_imp!$I$4:$I$1503,_imp!$C$307))</f>
        <v/>
      </c>
      <c r="K305" s="47">
        <f>IF(_imp!$C$307="","",INDEX(_imp!$J$4:$J$1503,_imp!$C$307))</f>
        <v/>
      </c>
    </row>
    <row r="306">
      <c r="A306" s="47">
        <f>IF(_imp!$C$308="","",INDEX(_imp!$D$4:$D$1503,_imp!$C$308))</f>
        <v/>
      </c>
      <c r="B306" s="47">
        <f>IF(_imp!$C$308="","",INDEX(_imp!$E$4:$E$1503,_imp!$C$308))</f>
        <v/>
      </c>
      <c r="C306" s="47">
        <f>IF(_imp!$C$308="","",INDEX(_imp!$F$4:$F$1503,_imp!$C$308))</f>
        <v/>
      </c>
      <c r="E306" s="47">
        <f>IF(_imp!$C$308="","",INDEX(_imp!$G$4:$G$1503,_imp!$C$308))</f>
        <v/>
      </c>
      <c r="F306" s="47">
        <f>IF(_imp!$C$308="","",INDEX(_imp!$H$4:$H$1503,_imp!$C$308))</f>
        <v/>
      </c>
      <c r="G306" s="47">
        <f>IF(_imp!$C$308="","",INDEX(_imp!$I$4:$I$1503,_imp!$C$308))</f>
        <v/>
      </c>
      <c r="K306" s="47">
        <f>IF(_imp!$C$308="","",INDEX(_imp!$J$4:$J$1503,_imp!$C$308))</f>
        <v/>
      </c>
    </row>
    <row r="307">
      <c r="A307" s="47">
        <f>IF(_imp!$C$309="","",INDEX(_imp!$D$4:$D$1503,_imp!$C$309))</f>
        <v/>
      </c>
      <c r="B307" s="47">
        <f>IF(_imp!$C$309="","",INDEX(_imp!$E$4:$E$1503,_imp!$C$309))</f>
        <v/>
      </c>
      <c r="C307" s="47">
        <f>IF(_imp!$C$309="","",INDEX(_imp!$F$4:$F$1503,_imp!$C$309))</f>
        <v/>
      </c>
      <c r="E307" s="47">
        <f>IF(_imp!$C$309="","",INDEX(_imp!$G$4:$G$1503,_imp!$C$309))</f>
        <v/>
      </c>
      <c r="F307" s="47">
        <f>IF(_imp!$C$309="","",INDEX(_imp!$H$4:$H$1503,_imp!$C$309))</f>
        <v/>
      </c>
      <c r="G307" s="47">
        <f>IF(_imp!$C$309="","",INDEX(_imp!$I$4:$I$1503,_imp!$C$309))</f>
        <v/>
      </c>
      <c r="K307" s="47">
        <f>IF(_imp!$C$309="","",INDEX(_imp!$J$4:$J$1503,_imp!$C$309))</f>
        <v/>
      </c>
    </row>
    <row r="308">
      <c r="A308" s="47">
        <f>IF(_imp!$C$310="","",INDEX(_imp!$D$4:$D$1503,_imp!$C$310))</f>
        <v/>
      </c>
      <c r="B308" s="47">
        <f>IF(_imp!$C$310="","",INDEX(_imp!$E$4:$E$1503,_imp!$C$310))</f>
        <v/>
      </c>
      <c r="C308" s="47">
        <f>IF(_imp!$C$310="","",INDEX(_imp!$F$4:$F$1503,_imp!$C$310))</f>
        <v/>
      </c>
      <c r="E308" s="47">
        <f>IF(_imp!$C$310="","",INDEX(_imp!$G$4:$G$1503,_imp!$C$310))</f>
        <v/>
      </c>
      <c r="F308" s="47">
        <f>IF(_imp!$C$310="","",INDEX(_imp!$H$4:$H$1503,_imp!$C$310))</f>
        <v/>
      </c>
      <c r="G308" s="47">
        <f>IF(_imp!$C$310="","",INDEX(_imp!$I$4:$I$1503,_imp!$C$310))</f>
        <v/>
      </c>
      <c r="K308" s="47">
        <f>IF(_imp!$C$310="","",INDEX(_imp!$J$4:$J$1503,_imp!$C$310))</f>
        <v/>
      </c>
    </row>
    <row r="309">
      <c r="A309" s="47">
        <f>IF(_imp!$C$311="","",INDEX(_imp!$D$4:$D$1503,_imp!$C$311))</f>
        <v/>
      </c>
      <c r="B309" s="47">
        <f>IF(_imp!$C$311="","",INDEX(_imp!$E$4:$E$1503,_imp!$C$311))</f>
        <v/>
      </c>
      <c r="C309" s="47">
        <f>IF(_imp!$C$311="","",INDEX(_imp!$F$4:$F$1503,_imp!$C$311))</f>
        <v/>
      </c>
      <c r="E309" s="47">
        <f>IF(_imp!$C$311="","",INDEX(_imp!$G$4:$G$1503,_imp!$C$311))</f>
        <v/>
      </c>
      <c r="F309" s="47">
        <f>IF(_imp!$C$311="","",INDEX(_imp!$H$4:$H$1503,_imp!$C$311))</f>
        <v/>
      </c>
      <c r="G309" s="47">
        <f>IF(_imp!$C$311="","",INDEX(_imp!$I$4:$I$1503,_imp!$C$311))</f>
        <v/>
      </c>
      <c r="K309" s="47">
        <f>IF(_imp!$C$311="","",INDEX(_imp!$J$4:$J$1503,_imp!$C$311))</f>
        <v/>
      </c>
    </row>
    <row r="310">
      <c r="A310" s="47">
        <f>IF(_imp!$C$312="","",INDEX(_imp!$D$4:$D$1503,_imp!$C$312))</f>
        <v/>
      </c>
      <c r="B310" s="47">
        <f>IF(_imp!$C$312="","",INDEX(_imp!$E$4:$E$1503,_imp!$C$312))</f>
        <v/>
      </c>
      <c r="C310" s="47">
        <f>IF(_imp!$C$312="","",INDEX(_imp!$F$4:$F$1503,_imp!$C$312))</f>
        <v/>
      </c>
      <c r="E310" s="47">
        <f>IF(_imp!$C$312="","",INDEX(_imp!$G$4:$G$1503,_imp!$C$312))</f>
        <v/>
      </c>
      <c r="F310" s="47">
        <f>IF(_imp!$C$312="","",INDEX(_imp!$H$4:$H$1503,_imp!$C$312))</f>
        <v/>
      </c>
      <c r="G310" s="47">
        <f>IF(_imp!$C$312="","",INDEX(_imp!$I$4:$I$1503,_imp!$C$312))</f>
        <v/>
      </c>
      <c r="K310" s="47">
        <f>IF(_imp!$C$312="","",INDEX(_imp!$J$4:$J$1503,_imp!$C$312))</f>
        <v/>
      </c>
    </row>
    <row r="311">
      <c r="A311" s="47">
        <f>IF(_imp!$C$313="","",INDEX(_imp!$D$4:$D$1503,_imp!$C$313))</f>
        <v/>
      </c>
      <c r="B311" s="47">
        <f>IF(_imp!$C$313="","",INDEX(_imp!$E$4:$E$1503,_imp!$C$313))</f>
        <v/>
      </c>
      <c r="C311" s="47">
        <f>IF(_imp!$C$313="","",INDEX(_imp!$F$4:$F$1503,_imp!$C$313))</f>
        <v/>
      </c>
      <c r="E311" s="47">
        <f>IF(_imp!$C$313="","",INDEX(_imp!$G$4:$G$1503,_imp!$C$313))</f>
        <v/>
      </c>
      <c r="F311" s="47">
        <f>IF(_imp!$C$313="","",INDEX(_imp!$H$4:$H$1503,_imp!$C$313))</f>
        <v/>
      </c>
      <c r="G311" s="47">
        <f>IF(_imp!$C$313="","",INDEX(_imp!$I$4:$I$1503,_imp!$C$313))</f>
        <v/>
      </c>
      <c r="K311" s="47">
        <f>IF(_imp!$C$313="","",INDEX(_imp!$J$4:$J$1503,_imp!$C$313))</f>
        <v/>
      </c>
    </row>
    <row r="312">
      <c r="A312" s="47">
        <f>IF(_imp!$C$314="","",INDEX(_imp!$D$4:$D$1503,_imp!$C$314))</f>
        <v/>
      </c>
      <c r="B312" s="47">
        <f>IF(_imp!$C$314="","",INDEX(_imp!$E$4:$E$1503,_imp!$C$314))</f>
        <v/>
      </c>
      <c r="C312" s="47">
        <f>IF(_imp!$C$314="","",INDEX(_imp!$F$4:$F$1503,_imp!$C$314))</f>
        <v/>
      </c>
      <c r="E312" s="47">
        <f>IF(_imp!$C$314="","",INDEX(_imp!$G$4:$G$1503,_imp!$C$314))</f>
        <v/>
      </c>
      <c r="F312" s="47">
        <f>IF(_imp!$C$314="","",INDEX(_imp!$H$4:$H$1503,_imp!$C$314))</f>
        <v/>
      </c>
      <c r="G312" s="47">
        <f>IF(_imp!$C$314="","",INDEX(_imp!$I$4:$I$1503,_imp!$C$314))</f>
        <v/>
      </c>
      <c r="K312" s="47">
        <f>IF(_imp!$C$314="","",INDEX(_imp!$J$4:$J$1503,_imp!$C$314))</f>
        <v/>
      </c>
    </row>
    <row r="313">
      <c r="A313" s="47">
        <f>IF(_imp!$C$315="","",INDEX(_imp!$D$4:$D$1503,_imp!$C$315))</f>
        <v/>
      </c>
      <c r="B313" s="47">
        <f>IF(_imp!$C$315="","",INDEX(_imp!$E$4:$E$1503,_imp!$C$315))</f>
        <v/>
      </c>
      <c r="C313" s="47">
        <f>IF(_imp!$C$315="","",INDEX(_imp!$F$4:$F$1503,_imp!$C$315))</f>
        <v/>
      </c>
      <c r="E313" s="47">
        <f>IF(_imp!$C$315="","",INDEX(_imp!$G$4:$G$1503,_imp!$C$315))</f>
        <v/>
      </c>
      <c r="F313" s="47">
        <f>IF(_imp!$C$315="","",INDEX(_imp!$H$4:$H$1503,_imp!$C$315))</f>
        <v/>
      </c>
      <c r="G313" s="47">
        <f>IF(_imp!$C$315="","",INDEX(_imp!$I$4:$I$1503,_imp!$C$315))</f>
        <v/>
      </c>
      <c r="K313" s="47">
        <f>IF(_imp!$C$315="","",INDEX(_imp!$J$4:$J$1503,_imp!$C$315))</f>
        <v/>
      </c>
    </row>
    <row r="314">
      <c r="A314" s="47">
        <f>IF(_imp!$C$316="","",INDEX(_imp!$D$4:$D$1503,_imp!$C$316))</f>
        <v/>
      </c>
      <c r="B314" s="47">
        <f>IF(_imp!$C$316="","",INDEX(_imp!$E$4:$E$1503,_imp!$C$316))</f>
        <v/>
      </c>
      <c r="C314" s="47">
        <f>IF(_imp!$C$316="","",INDEX(_imp!$F$4:$F$1503,_imp!$C$316))</f>
        <v/>
      </c>
      <c r="E314" s="47">
        <f>IF(_imp!$C$316="","",INDEX(_imp!$G$4:$G$1503,_imp!$C$316))</f>
        <v/>
      </c>
      <c r="F314" s="47">
        <f>IF(_imp!$C$316="","",INDEX(_imp!$H$4:$H$1503,_imp!$C$316))</f>
        <v/>
      </c>
      <c r="G314" s="47">
        <f>IF(_imp!$C$316="","",INDEX(_imp!$I$4:$I$1503,_imp!$C$316))</f>
        <v/>
      </c>
      <c r="K314" s="47">
        <f>IF(_imp!$C$316="","",INDEX(_imp!$J$4:$J$1503,_imp!$C$316))</f>
        <v/>
      </c>
    </row>
    <row r="315">
      <c r="A315" s="47">
        <f>IF(_imp!$C$317="","",INDEX(_imp!$D$4:$D$1503,_imp!$C$317))</f>
        <v/>
      </c>
      <c r="B315" s="47">
        <f>IF(_imp!$C$317="","",INDEX(_imp!$E$4:$E$1503,_imp!$C$317))</f>
        <v/>
      </c>
      <c r="C315" s="47">
        <f>IF(_imp!$C$317="","",INDEX(_imp!$F$4:$F$1503,_imp!$C$317))</f>
        <v/>
      </c>
      <c r="E315" s="47">
        <f>IF(_imp!$C$317="","",INDEX(_imp!$G$4:$G$1503,_imp!$C$317))</f>
        <v/>
      </c>
      <c r="F315" s="47">
        <f>IF(_imp!$C$317="","",INDEX(_imp!$H$4:$H$1503,_imp!$C$317))</f>
        <v/>
      </c>
      <c r="G315" s="47">
        <f>IF(_imp!$C$317="","",INDEX(_imp!$I$4:$I$1503,_imp!$C$317))</f>
        <v/>
      </c>
      <c r="K315" s="47">
        <f>IF(_imp!$C$317="","",INDEX(_imp!$J$4:$J$1503,_imp!$C$317))</f>
        <v/>
      </c>
    </row>
    <row r="316">
      <c r="A316" s="47">
        <f>IF(_imp!$C$318="","",INDEX(_imp!$D$4:$D$1503,_imp!$C$318))</f>
        <v/>
      </c>
      <c r="B316" s="47">
        <f>IF(_imp!$C$318="","",INDEX(_imp!$E$4:$E$1503,_imp!$C$318))</f>
        <v/>
      </c>
      <c r="C316" s="47">
        <f>IF(_imp!$C$318="","",INDEX(_imp!$F$4:$F$1503,_imp!$C$318))</f>
        <v/>
      </c>
      <c r="E316" s="47">
        <f>IF(_imp!$C$318="","",INDEX(_imp!$G$4:$G$1503,_imp!$C$318))</f>
        <v/>
      </c>
      <c r="F316" s="47">
        <f>IF(_imp!$C$318="","",INDEX(_imp!$H$4:$H$1503,_imp!$C$318))</f>
        <v/>
      </c>
      <c r="G316" s="47">
        <f>IF(_imp!$C$318="","",INDEX(_imp!$I$4:$I$1503,_imp!$C$318))</f>
        <v/>
      </c>
      <c r="K316" s="47">
        <f>IF(_imp!$C$318="","",INDEX(_imp!$J$4:$J$1503,_imp!$C$318))</f>
        <v/>
      </c>
    </row>
    <row r="317">
      <c r="A317" s="47">
        <f>IF(_imp!$C$319="","",INDEX(_imp!$D$4:$D$1503,_imp!$C$319))</f>
        <v/>
      </c>
      <c r="B317" s="47">
        <f>IF(_imp!$C$319="","",INDEX(_imp!$E$4:$E$1503,_imp!$C$319))</f>
        <v/>
      </c>
      <c r="C317" s="47">
        <f>IF(_imp!$C$319="","",INDEX(_imp!$F$4:$F$1503,_imp!$C$319))</f>
        <v/>
      </c>
      <c r="E317" s="47">
        <f>IF(_imp!$C$319="","",INDEX(_imp!$G$4:$G$1503,_imp!$C$319))</f>
        <v/>
      </c>
      <c r="F317" s="47">
        <f>IF(_imp!$C$319="","",INDEX(_imp!$H$4:$H$1503,_imp!$C$319))</f>
        <v/>
      </c>
      <c r="G317" s="47">
        <f>IF(_imp!$C$319="","",INDEX(_imp!$I$4:$I$1503,_imp!$C$319))</f>
        <v/>
      </c>
      <c r="K317" s="47">
        <f>IF(_imp!$C$319="","",INDEX(_imp!$J$4:$J$1503,_imp!$C$319))</f>
        <v/>
      </c>
    </row>
    <row r="318">
      <c r="A318" s="47">
        <f>IF(_imp!$C$320="","",INDEX(_imp!$D$4:$D$1503,_imp!$C$320))</f>
        <v/>
      </c>
      <c r="B318" s="47">
        <f>IF(_imp!$C$320="","",INDEX(_imp!$E$4:$E$1503,_imp!$C$320))</f>
        <v/>
      </c>
      <c r="C318" s="47">
        <f>IF(_imp!$C$320="","",INDEX(_imp!$F$4:$F$1503,_imp!$C$320))</f>
        <v/>
      </c>
      <c r="E318" s="47">
        <f>IF(_imp!$C$320="","",INDEX(_imp!$G$4:$G$1503,_imp!$C$320))</f>
        <v/>
      </c>
      <c r="F318" s="47">
        <f>IF(_imp!$C$320="","",INDEX(_imp!$H$4:$H$1503,_imp!$C$320))</f>
        <v/>
      </c>
      <c r="G318" s="47">
        <f>IF(_imp!$C$320="","",INDEX(_imp!$I$4:$I$1503,_imp!$C$320))</f>
        <v/>
      </c>
      <c r="K318" s="47">
        <f>IF(_imp!$C$320="","",INDEX(_imp!$J$4:$J$1503,_imp!$C$320))</f>
        <v/>
      </c>
    </row>
    <row r="319">
      <c r="A319" s="47">
        <f>IF(_imp!$C$321="","",INDEX(_imp!$D$4:$D$1503,_imp!$C$321))</f>
        <v/>
      </c>
      <c r="B319" s="47">
        <f>IF(_imp!$C$321="","",INDEX(_imp!$E$4:$E$1503,_imp!$C$321))</f>
        <v/>
      </c>
      <c r="C319" s="47">
        <f>IF(_imp!$C$321="","",INDEX(_imp!$F$4:$F$1503,_imp!$C$321))</f>
        <v/>
      </c>
      <c r="E319" s="47">
        <f>IF(_imp!$C$321="","",INDEX(_imp!$G$4:$G$1503,_imp!$C$321))</f>
        <v/>
      </c>
      <c r="F319" s="47">
        <f>IF(_imp!$C$321="","",INDEX(_imp!$H$4:$H$1503,_imp!$C$321))</f>
        <v/>
      </c>
      <c r="G319" s="47">
        <f>IF(_imp!$C$321="","",INDEX(_imp!$I$4:$I$1503,_imp!$C$321))</f>
        <v/>
      </c>
      <c r="K319" s="47">
        <f>IF(_imp!$C$321="","",INDEX(_imp!$J$4:$J$1503,_imp!$C$321))</f>
        <v/>
      </c>
    </row>
    <row r="320">
      <c r="A320" s="47">
        <f>IF(_imp!$C$322="","",INDEX(_imp!$D$4:$D$1503,_imp!$C$322))</f>
        <v/>
      </c>
      <c r="B320" s="47">
        <f>IF(_imp!$C$322="","",INDEX(_imp!$E$4:$E$1503,_imp!$C$322))</f>
        <v/>
      </c>
      <c r="C320" s="47">
        <f>IF(_imp!$C$322="","",INDEX(_imp!$F$4:$F$1503,_imp!$C$322))</f>
        <v/>
      </c>
      <c r="E320" s="47">
        <f>IF(_imp!$C$322="","",INDEX(_imp!$G$4:$G$1503,_imp!$C$322))</f>
        <v/>
      </c>
      <c r="F320" s="47">
        <f>IF(_imp!$C$322="","",INDEX(_imp!$H$4:$H$1503,_imp!$C$322))</f>
        <v/>
      </c>
      <c r="G320" s="47">
        <f>IF(_imp!$C$322="","",INDEX(_imp!$I$4:$I$1503,_imp!$C$322))</f>
        <v/>
      </c>
      <c r="K320" s="47">
        <f>IF(_imp!$C$322="","",INDEX(_imp!$J$4:$J$1503,_imp!$C$322))</f>
        <v/>
      </c>
    </row>
    <row r="321">
      <c r="A321" s="47">
        <f>IF(_imp!$C$323="","",INDEX(_imp!$D$4:$D$1503,_imp!$C$323))</f>
        <v/>
      </c>
      <c r="B321" s="47">
        <f>IF(_imp!$C$323="","",INDEX(_imp!$E$4:$E$1503,_imp!$C$323))</f>
        <v/>
      </c>
      <c r="C321" s="47">
        <f>IF(_imp!$C$323="","",INDEX(_imp!$F$4:$F$1503,_imp!$C$323))</f>
        <v/>
      </c>
      <c r="E321" s="47">
        <f>IF(_imp!$C$323="","",INDEX(_imp!$G$4:$G$1503,_imp!$C$323))</f>
        <v/>
      </c>
      <c r="F321" s="47">
        <f>IF(_imp!$C$323="","",INDEX(_imp!$H$4:$H$1503,_imp!$C$323))</f>
        <v/>
      </c>
      <c r="G321" s="47">
        <f>IF(_imp!$C$323="","",INDEX(_imp!$I$4:$I$1503,_imp!$C$323))</f>
        <v/>
      </c>
      <c r="K321" s="47">
        <f>IF(_imp!$C$323="","",INDEX(_imp!$J$4:$J$1503,_imp!$C$323))</f>
        <v/>
      </c>
    </row>
    <row r="322">
      <c r="A322" s="47">
        <f>IF(_imp!$C$324="","",INDEX(_imp!$D$4:$D$1503,_imp!$C$324))</f>
        <v/>
      </c>
      <c r="B322" s="47">
        <f>IF(_imp!$C$324="","",INDEX(_imp!$E$4:$E$1503,_imp!$C$324))</f>
        <v/>
      </c>
      <c r="C322" s="47">
        <f>IF(_imp!$C$324="","",INDEX(_imp!$F$4:$F$1503,_imp!$C$324))</f>
        <v/>
      </c>
      <c r="E322" s="47">
        <f>IF(_imp!$C$324="","",INDEX(_imp!$G$4:$G$1503,_imp!$C$324))</f>
        <v/>
      </c>
      <c r="F322" s="47">
        <f>IF(_imp!$C$324="","",INDEX(_imp!$H$4:$H$1503,_imp!$C$324))</f>
        <v/>
      </c>
      <c r="G322" s="47">
        <f>IF(_imp!$C$324="","",INDEX(_imp!$I$4:$I$1503,_imp!$C$324))</f>
        <v/>
      </c>
      <c r="K322" s="47">
        <f>IF(_imp!$C$324="","",INDEX(_imp!$J$4:$J$1503,_imp!$C$324))</f>
        <v/>
      </c>
    </row>
    <row r="323">
      <c r="A323" s="47">
        <f>IF(_imp!$C$325="","",INDEX(_imp!$D$4:$D$1503,_imp!$C$325))</f>
        <v/>
      </c>
      <c r="B323" s="47">
        <f>IF(_imp!$C$325="","",INDEX(_imp!$E$4:$E$1503,_imp!$C$325))</f>
        <v/>
      </c>
      <c r="C323" s="47">
        <f>IF(_imp!$C$325="","",INDEX(_imp!$F$4:$F$1503,_imp!$C$325))</f>
        <v/>
      </c>
      <c r="E323" s="47">
        <f>IF(_imp!$C$325="","",INDEX(_imp!$G$4:$G$1503,_imp!$C$325))</f>
        <v/>
      </c>
      <c r="F323" s="47">
        <f>IF(_imp!$C$325="","",INDEX(_imp!$H$4:$H$1503,_imp!$C$325))</f>
        <v/>
      </c>
      <c r="G323" s="47">
        <f>IF(_imp!$C$325="","",INDEX(_imp!$I$4:$I$1503,_imp!$C$325))</f>
        <v/>
      </c>
      <c r="K323" s="47">
        <f>IF(_imp!$C$325="","",INDEX(_imp!$J$4:$J$1503,_imp!$C$325))</f>
        <v/>
      </c>
    </row>
    <row r="324">
      <c r="A324" s="47">
        <f>IF(_imp!$C$326="","",INDEX(_imp!$D$4:$D$1503,_imp!$C$326))</f>
        <v/>
      </c>
      <c r="B324" s="47">
        <f>IF(_imp!$C$326="","",INDEX(_imp!$E$4:$E$1503,_imp!$C$326))</f>
        <v/>
      </c>
      <c r="C324" s="47">
        <f>IF(_imp!$C$326="","",INDEX(_imp!$F$4:$F$1503,_imp!$C$326))</f>
        <v/>
      </c>
      <c r="E324" s="47">
        <f>IF(_imp!$C$326="","",INDEX(_imp!$G$4:$G$1503,_imp!$C$326))</f>
        <v/>
      </c>
      <c r="F324" s="47">
        <f>IF(_imp!$C$326="","",INDEX(_imp!$H$4:$H$1503,_imp!$C$326))</f>
        <v/>
      </c>
      <c r="G324" s="47">
        <f>IF(_imp!$C$326="","",INDEX(_imp!$I$4:$I$1503,_imp!$C$326))</f>
        <v/>
      </c>
      <c r="K324" s="47">
        <f>IF(_imp!$C$326="","",INDEX(_imp!$J$4:$J$1503,_imp!$C$326))</f>
        <v/>
      </c>
    </row>
    <row r="325">
      <c r="A325" s="47">
        <f>IF(_imp!$C$327="","",INDEX(_imp!$D$4:$D$1503,_imp!$C$327))</f>
        <v/>
      </c>
      <c r="B325" s="47">
        <f>IF(_imp!$C$327="","",INDEX(_imp!$E$4:$E$1503,_imp!$C$327))</f>
        <v/>
      </c>
      <c r="C325" s="47">
        <f>IF(_imp!$C$327="","",INDEX(_imp!$F$4:$F$1503,_imp!$C$327))</f>
        <v/>
      </c>
      <c r="E325" s="47">
        <f>IF(_imp!$C$327="","",INDEX(_imp!$G$4:$G$1503,_imp!$C$327))</f>
        <v/>
      </c>
      <c r="F325" s="47">
        <f>IF(_imp!$C$327="","",INDEX(_imp!$H$4:$H$1503,_imp!$C$327))</f>
        <v/>
      </c>
      <c r="G325" s="47">
        <f>IF(_imp!$C$327="","",INDEX(_imp!$I$4:$I$1503,_imp!$C$327))</f>
        <v/>
      </c>
      <c r="K325" s="47">
        <f>IF(_imp!$C$327="","",INDEX(_imp!$J$4:$J$1503,_imp!$C$327))</f>
        <v/>
      </c>
    </row>
    <row r="326">
      <c r="A326" s="47">
        <f>IF(_imp!$C$328="","",INDEX(_imp!$D$4:$D$1503,_imp!$C$328))</f>
        <v/>
      </c>
      <c r="B326" s="47">
        <f>IF(_imp!$C$328="","",INDEX(_imp!$E$4:$E$1503,_imp!$C$328))</f>
        <v/>
      </c>
      <c r="C326" s="47">
        <f>IF(_imp!$C$328="","",INDEX(_imp!$F$4:$F$1503,_imp!$C$328))</f>
        <v/>
      </c>
      <c r="E326" s="47">
        <f>IF(_imp!$C$328="","",INDEX(_imp!$G$4:$G$1503,_imp!$C$328))</f>
        <v/>
      </c>
      <c r="F326" s="47">
        <f>IF(_imp!$C$328="","",INDEX(_imp!$H$4:$H$1503,_imp!$C$328))</f>
        <v/>
      </c>
      <c r="G326" s="47">
        <f>IF(_imp!$C$328="","",INDEX(_imp!$I$4:$I$1503,_imp!$C$328))</f>
        <v/>
      </c>
      <c r="K326" s="47">
        <f>IF(_imp!$C$328="","",INDEX(_imp!$J$4:$J$1503,_imp!$C$328))</f>
        <v/>
      </c>
    </row>
    <row r="327">
      <c r="A327" s="47">
        <f>IF(_imp!$C$329="","",INDEX(_imp!$D$4:$D$1503,_imp!$C$329))</f>
        <v/>
      </c>
      <c r="B327" s="47">
        <f>IF(_imp!$C$329="","",INDEX(_imp!$E$4:$E$1503,_imp!$C$329))</f>
        <v/>
      </c>
      <c r="C327" s="47">
        <f>IF(_imp!$C$329="","",INDEX(_imp!$F$4:$F$1503,_imp!$C$329))</f>
        <v/>
      </c>
      <c r="E327" s="47">
        <f>IF(_imp!$C$329="","",INDEX(_imp!$G$4:$G$1503,_imp!$C$329))</f>
        <v/>
      </c>
      <c r="F327" s="47">
        <f>IF(_imp!$C$329="","",INDEX(_imp!$H$4:$H$1503,_imp!$C$329))</f>
        <v/>
      </c>
      <c r="G327" s="47">
        <f>IF(_imp!$C$329="","",INDEX(_imp!$I$4:$I$1503,_imp!$C$329))</f>
        <v/>
      </c>
      <c r="K327" s="47">
        <f>IF(_imp!$C$329="","",INDEX(_imp!$J$4:$J$1503,_imp!$C$329))</f>
        <v/>
      </c>
    </row>
    <row r="328">
      <c r="A328" s="47">
        <f>IF(_imp!$C$330="","",INDEX(_imp!$D$4:$D$1503,_imp!$C$330))</f>
        <v/>
      </c>
      <c r="B328" s="47">
        <f>IF(_imp!$C$330="","",INDEX(_imp!$E$4:$E$1503,_imp!$C$330))</f>
        <v/>
      </c>
      <c r="C328" s="47">
        <f>IF(_imp!$C$330="","",INDEX(_imp!$F$4:$F$1503,_imp!$C$330))</f>
        <v/>
      </c>
      <c r="E328" s="47">
        <f>IF(_imp!$C$330="","",INDEX(_imp!$G$4:$G$1503,_imp!$C$330))</f>
        <v/>
      </c>
      <c r="F328" s="47">
        <f>IF(_imp!$C$330="","",INDEX(_imp!$H$4:$H$1503,_imp!$C$330))</f>
        <v/>
      </c>
      <c r="G328" s="47">
        <f>IF(_imp!$C$330="","",INDEX(_imp!$I$4:$I$1503,_imp!$C$330))</f>
        <v/>
      </c>
      <c r="K328" s="47">
        <f>IF(_imp!$C$330="","",INDEX(_imp!$J$4:$J$1503,_imp!$C$330))</f>
        <v/>
      </c>
    </row>
    <row r="329">
      <c r="A329" s="47">
        <f>IF(_imp!$C$331="","",INDEX(_imp!$D$4:$D$1503,_imp!$C$331))</f>
        <v/>
      </c>
      <c r="B329" s="47">
        <f>IF(_imp!$C$331="","",INDEX(_imp!$E$4:$E$1503,_imp!$C$331))</f>
        <v/>
      </c>
      <c r="C329" s="47">
        <f>IF(_imp!$C$331="","",INDEX(_imp!$F$4:$F$1503,_imp!$C$331))</f>
        <v/>
      </c>
      <c r="E329" s="47">
        <f>IF(_imp!$C$331="","",INDEX(_imp!$G$4:$G$1503,_imp!$C$331))</f>
        <v/>
      </c>
      <c r="F329" s="47">
        <f>IF(_imp!$C$331="","",INDEX(_imp!$H$4:$H$1503,_imp!$C$331))</f>
        <v/>
      </c>
      <c r="G329" s="47">
        <f>IF(_imp!$C$331="","",INDEX(_imp!$I$4:$I$1503,_imp!$C$331))</f>
        <v/>
      </c>
      <c r="K329" s="47">
        <f>IF(_imp!$C$331="","",INDEX(_imp!$J$4:$J$1503,_imp!$C$331))</f>
        <v/>
      </c>
    </row>
    <row r="330">
      <c r="A330" s="47">
        <f>IF(_imp!$C$332="","",INDEX(_imp!$D$4:$D$1503,_imp!$C$332))</f>
        <v/>
      </c>
      <c r="B330" s="47">
        <f>IF(_imp!$C$332="","",INDEX(_imp!$E$4:$E$1503,_imp!$C$332))</f>
        <v/>
      </c>
      <c r="C330" s="47">
        <f>IF(_imp!$C$332="","",INDEX(_imp!$F$4:$F$1503,_imp!$C$332))</f>
        <v/>
      </c>
      <c r="E330" s="47">
        <f>IF(_imp!$C$332="","",INDEX(_imp!$G$4:$G$1503,_imp!$C$332))</f>
        <v/>
      </c>
      <c r="F330" s="47">
        <f>IF(_imp!$C$332="","",INDEX(_imp!$H$4:$H$1503,_imp!$C$332))</f>
        <v/>
      </c>
      <c r="G330" s="47">
        <f>IF(_imp!$C$332="","",INDEX(_imp!$I$4:$I$1503,_imp!$C$332))</f>
        <v/>
      </c>
      <c r="K330" s="47">
        <f>IF(_imp!$C$332="","",INDEX(_imp!$J$4:$J$1503,_imp!$C$332))</f>
        <v/>
      </c>
    </row>
    <row r="331">
      <c r="A331" s="47">
        <f>IF(_imp!$C$333="","",INDEX(_imp!$D$4:$D$1503,_imp!$C$333))</f>
        <v/>
      </c>
      <c r="B331" s="47">
        <f>IF(_imp!$C$333="","",INDEX(_imp!$E$4:$E$1503,_imp!$C$333))</f>
        <v/>
      </c>
      <c r="C331" s="47">
        <f>IF(_imp!$C$333="","",INDEX(_imp!$F$4:$F$1503,_imp!$C$333))</f>
        <v/>
      </c>
      <c r="E331" s="47">
        <f>IF(_imp!$C$333="","",INDEX(_imp!$G$4:$G$1503,_imp!$C$333))</f>
        <v/>
      </c>
      <c r="F331" s="47">
        <f>IF(_imp!$C$333="","",INDEX(_imp!$H$4:$H$1503,_imp!$C$333))</f>
        <v/>
      </c>
      <c r="G331" s="47">
        <f>IF(_imp!$C$333="","",INDEX(_imp!$I$4:$I$1503,_imp!$C$333))</f>
        <v/>
      </c>
      <c r="K331" s="47">
        <f>IF(_imp!$C$333="","",INDEX(_imp!$J$4:$J$1503,_imp!$C$333))</f>
        <v/>
      </c>
    </row>
    <row r="332">
      <c r="A332" s="47">
        <f>IF(_imp!$C$334="","",INDEX(_imp!$D$4:$D$1503,_imp!$C$334))</f>
        <v/>
      </c>
      <c r="B332" s="47">
        <f>IF(_imp!$C$334="","",INDEX(_imp!$E$4:$E$1503,_imp!$C$334))</f>
        <v/>
      </c>
      <c r="C332" s="47">
        <f>IF(_imp!$C$334="","",INDEX(_imp!$F$4:$F$1503,_imp!$C$334))</f>
        <v/>
      </c>
      <c r="E332" s="47">
        <f>IF(_imp!$C$334="","",INDEX(_imp!$G$4:$G$1503,_imp!$C$334))</f>
        <v/>
      </c>
      <c r="F332" s="47">
        <f>IF(_imp!$C$334="","",INDEX(_imp!$H$4:$H$1503,_imp!$C$334))</f>
        <v/>
      </c>
      <c r="G332" s="47">
        <f>IF(_imp!$C$334="","",INDEX(_imp!$I$4:$I$1503,_imp!$C$334))</f>
        <v/>
      </c>
      <c r="K332" s="47">
        <f>IF(_imp!$C$334="","",INDEX(_imp!$J$4:$J$1503,_imp!$C$334))</f>
        <v/>
      </c>
    </row>
    <row r="333">
      <c r="A333" s="47">
        <f>IF(_imp!$C$335="","",INDEX(_imp!$D$4:$D$1503,_imp!$C$335))</f>
        <v/>
      </c>
      <c r="B333" s="47">
        <f>IF(_imp!$C$335="","",INDEX(_imp!$E$4:$E$1503,_imp!$C$335))</f>
        <v/>
      </c>
      <c r="C333" s="47">
        <f>IF(_imp!$C$335="","",INDEX(_imp!$F$4:$F$1503,_imp!$C$335))</f>
        <v/>
      </c>
      <c r="E333" s="47">
        <f>IF(_imp!$C$335="","",INDEX(_imp!$G$4:$G$1503,_imp!$C$335))</f>
        <v/>
      </c>
      <c r="F333" s="47">
        <f>IF(_imp!$C$335="","",INDEX(_imp!$H$4:$H$1503,_imp!$C$335))</f>
        <v/>
      </c>
      <c r="G333" s="47">
        <f>IF(_imp!$C$335="","",INDEX(_imp!$I$4:$I$1503,_imp!$C$335))</f>
        <v/>
      </c>
      <c r="K333" s="47">
        <f>IF(_imp!$C$335="","",INDEX(_imp!$J$4:$J$1503,_imp!$C$335))</f>
        <v/>
      </c>
    </row>
    <row r="334">
      <c r="A334" s="47">
        <f>IF(_imp!$C$336="","",INDEX(_imp!$D$4:$D$1503,_imp!$C$336))</f>
        <v/>
      </c>
      <c r="B334" s="47">
        <f>IF(_imp!$C$336="","",INDEX(_imp!$E$4:$E$1503,_imp!$C$336))</f>
        <v/>
      </c>
      <c r="C334" s="47">
        <f>IF(_imp!$C$336="","",INDEX(_imp!$F$4:$F$1503,_imp!$C$336))</f>
        <v/>
      </c>
      <c r="E334" s="47">
        <f>IF(_imp!$C$336="","",INDEX(_imp!$G$4:$G$1503,_imp!$C$336))</f>
        <v/>
      </c>
      <c r="F334" s="47">
        <f>IF(_imp!$C$336="","",INDEX(_imp!$H$4:$H$1503,_imp!$C$336))</f>
        <v/>
      </c>
      <c r="G334" s="47">
        <f>IF(_imp!$C$336="","",INDEX(_imp!$I$4:$I$1503,_imp!$C$336))</f>
        <v/>
      </c>
      <c r="K334" s="47">
        <f>IF(_imp!$C$336="","",INDEX(_imp!$J$4:$J$1503,_imp!$C$336))</f>
        <v/>
      </c>
    </row>
    <row r="335">
      <c r="A335" s="47">
        <f>IF(_imp!$C$337="","",INDEX(_imp!$D$4:$D$1503,_imp!$C$337))</f>
        <v/>
      </c>
      <c r="B335" s="47">
        <f>IF(_imp!$C$337="","",INDEX(_imp!$E$4:$E$1503,_imp!$C$337))</f>
        <v/>
      </c>
      <c r="C335" s="47">
        <f>IF(_imp!$C$337="","",INDEX(_imp!$F$4:$F$1503,_imp!$C$337))</f>
        <v/>
      </c>
      <c r="E335" s="47">
        <f>IF(_imp!$C$337="","",INDEX(_imp!$G$4:$G$1503,_imp!$C$337))</f>
        <v/>
      </c>
      <c r="F335" s="47">
        <f>IF(_imp!$C$337="","",INDEX(_imp!$H$4:$H$1503,_imp!$C$337))</f>
        <v/>
      </c>
      <c r="G335" s="47">
        <f>IF(_imp!$C$337="","",INDEX(_imp!$I$4:$I$1503,_imp!$C$337))</f>
        <v/>
      </c>
      <c r="K335" s="47">
        <f>IF(_imp!$C$337="","",INDEX(_imp!$J$4:$J$1503,_imp!$C$337))</f>
        <v/>
      </c>
    </row>
    <row r="336">
      <c r="A336" s="47">
        <f>IF(_imp!$C$338="","",INDEX(_imp!$D$4:$D$1503,_imp!$C$338))</f>
        <v/>
      </c>
      <c r="B336" s="47">
        <f>IF(_imp!$C$338="","",INDEX(_imp!$E$4:$E$1503,_imp!$C$338))</f>
        <v/>
      </c>
      <c r="C336" s="47">
        <f>IF(_imp!$C$338="","",INDEX(_imp!$F$4:$F$1503,_imp!$C$338))</f>
        <v/>
      </c>
      <c r="E336" s="47">
        <f>IF(_imp!$C$338="","",INDEX(_imp!$G$4:$G$1503,_imp!$C$338))</f>
        <v/>
      </c>
      <c r="F336" s="47">
        <f>IF(_imp!$C$338="","",INDEX(_imp!$H$4:$H$1503,_imp!$C$338))</f>
        <v/>
      </c>
      <c r="G336" s="47">
        <f>IF(_imp!$C$338="","",INDEX(_imp!$I$4:$I$1503,_imp!$C$338))</f>
        <v/>
      </c>
      <c r="K336" s="47">
        <f>IF(_imp!$C$338="","",INDEX(_imp!$J$4:$J$1503,_imp!$C$338))</f>
        <v/>
      </c>
    </row>
    <row r="337">
      <c r="A337" s="47">
        <f>IF(_imp!$C$339="","",INDEX(_imp!$D$4:$D$1503,_imp!$C$339))</f>
        <v/>
      </c>
      <c r="B337" s="47">
        <f>IF(_imp!$C$339="","",INDEX(_imp!$E$4:$E$1503,_imp!$C$339))</f>
        <v/>
      </c>
      <c r="C337" s="47">
        <f>IF(_imp!$C$339="","",INDEX(_imp!$F$4:$F$1503,_imp!$C$339))</f>
        <v/>
      </c>
      <c r="E337" s="47">
        <f>IF(_imp!$C$339="","",INDEX(_imp!$G$4:$G$1503,_imp!$C$339))</f>
        <v/>
      </c>
      <c r="F337" s="47">
        <f>IF(_imp!$C$339="","",INDEX(_imp!$H$4:$H$1503,_imp!$C$339))</f>
        <v/>
      </c>
      <c r="G337" s="47">
        <f>IF(_imp!$C$339="","",INDEX(_imp!$I$4:$I$1503,_imp!$C$339))</f>
        <v/>
      </c>
      <c r="K337" s="47">
        <f>IF(_imp!$C$339="","",INDEX(_imp!$J$4:$J$1503,_imp!$C$339))</f>
        <v/>
      </c>
    </row>
    <row r="338">
      <c r="A338" s="47">
        <f>IF(_imp!$C$340="","",INDEX(_imp!$D$4:$D$1503,_imp!$C$340))</f>
        <v/>
      </c>
      <c r="B338" s="47">
        <f>IF(_imp!$C$340="","",INDEX(_imp!$E$4:$E$1503,_imp!$C$340))</f>
        <v/>
      </c>
      <c r="C338" s="47">
        <f>IF(_imp!$C$340="","",INDEX(_imp!$F$4:$F$1503,_imp!$C$340))</f>
        <v/>
      </c>
      <c r="E338" s="47">
        <f>IF(_imp!$C$340="","",INDEX(_imp!$G$4:$G$1503,_imp!$C$340))</f>
        <v/>
      </c>
      <c r="F338" s="47">
        <f>IF(_imp!$C$340="","",INDEX(_imp!$H$4:$H$1503,_imp!$C$340))</f>
        <v/>
      </c>
      <c r="G338" s="47">
        <f>IF(_imp!$C$340="","",INDEX(_imp!$I$4:$I$1503,_imp!$C$340))</f>
        <v/>
      </c>
      <c r="K338" s="47">
        <f>IF(_imp!$C$340="","",INDEX(_imp!$J$4:$J$1503,_imp!$C$340))</f>
        <v/>
      </c>
    </row>
    <row r="339">
      <c r="A339" s="47">
        <f>IF(_imp!$C$341="","",INDEX(_imp!$D$4:$D$1503,_imp!$C$341))</f>
        <v/>
      </c>
      <c r="B339" s="47">
        <f>IF(_imp!$C$341="","",INDEX(_imp!$E$4:$E$1503,_imp!$C$341))</f>
        <v/>
      </c>
      <c r="C339" s="47">
        <f>IF(_imp!$C$341="","",INDEX(_imp!$F$4:$F$1503,_imp!$C$341))</f>
        <v/>
      </c>
      <c r="E339" s="47">
        <f>IF(_imp!$C$341="","",INDEX(_imp!$G$4:$G$1503,_imp!$C$341))</f>
        <v/>
      </c>
      <c r="F339" s="47">
        <f>IF(_imp!$C$341="","",INDEX(_imp!$H$4:$H$1503,_imp!$C$341))</f>
        <v/>
      </c>
      <c r="G339" s="47">
        <f>IF(_imp!$C$341="","",INDEX(_imp!$I$4:$I$1503,_imp!$C$341))</f>
        <v/>
      </c>
      <c r="K339" s="47">
        <f>IF(_imp!$C$341="","",INDEX(_imp!$J$4:$J$1503,_imp!$C$341))</f>
        <v/>
      </c>
    </row>
    <row r="340">
      <c r="A340" s="47">
        <f>IF(_imp!$C$342="","",INDEX(_imp!$D$4:$D$1503,_imp!$C$342))</f>
        <v/>
      </c>
      <c r="B340" s="47">
        <f>IF(_imp!$C$342="","",INDEX(_imp!$E$4:$E$1503,_imp!$C$342))</f>
        <v/>
      </c>
      <c r="C340" s="47">
        <f>IF(_imp!$C$342="","",INDEX(_imp!$F$4:$F$1503,_imp!$C$342))</f>
        <v/>
      </c>
      <c r="E340" s="47">
        <f>IF(_imp!$C$342="","",INDEX(_imp!$G$4:$G$1503,_imp!$C$342))</f>
        <v/>
      </c>
      <c r="F340" s="47">
        <f>IF(_imp!$C$342="","",INDEX(_imp!$H$4:$H$1503,_imp!$C$342))</f>
        <v/>
      </c>
      <c r="G340" s="47">
        <f>IF(_imp!$C$342="","",INDEX(_imp!$I$4:$I$1503,_imp!$C$342))</f>
        <v/>
      </c>
      <c r="K340" s="47">
        <f>IF(_imp!$C$342="","",INDEX(_imp!$J$4:$J$1503,_imp!$C$342))</f>
        <v/>
      </c>
    </row>
    <row r="341">
      <c r="A341" s="47">
        <f>IF(_imp!$C$343="","",INDEX(_imp!$D$4:$D$1503,_imp!$C$343))</f>
        <v/>
      </c>
      <c r="B341" s="47">
        <f>IF(_imp!$C$343="","",INDEX(_imp!$E$4:$E$1503,_imp!$C$343))</f>
        <v/>
      </c>
      <c r="C341" s="47">
        <f>IF(_imp!$C$343="","",INDEX(_imp!$F$4:$F$1503,_imp!$C$343))</f>
        <v/>
      </c>
      <c r="E341" s="47">
        <f>IF(_imp!$C$343="","",INDEX(_imp!$G$4:$G$1503,_imp!$C$343))</f>
        <v/>
      </c>
      <c r="F341" s="47">
        <f>IF(_imp!$C$343="","",INDEX(_imp!$H$4:$H$1503,_imp!$C$343))</f>
        <v/>
      </c>
      <c r="G341" s="47">
        <f>IF(_imp!$C$343="","",INDEX(_imp!$I$4:$I$1503,_imp!$C$343))</f>
        <v/>
      </c>
      <c r="K341" s="47">
        <f>IF(_imp!$C$343="","",INDEX(_imp!$J$4:$J$1503,_imp!$C$343))</f>
        <v/>
      </c>
    </row>
    <row r="342">
      <c r="A342" s="47">
        <f>IF(_imp!$C$344="","",INDEX(_imp!$D$4:$D$1503,_imp!$C$344))</f>
        <v/>
      </c>
      <c r="B342" s="47">
        <f>IF(_imp!$C$344="","",INDEX(_imp!$E$4:$E$1503,_imp!$C$344))</f>
        <v/>
      </c>
      <c r="C342" s="47">
        <f>IF(_imp!$C$344="","",INDEX(_imp!$F$4:$F$1503,_imp!$C$344))</f>
        <v/>
      </c>
      <c r="E342" s="47">
        <f>IF(_imp!$C$344="","",INDEX(_imp!$G$4:$G$1503,_imp!$C$344))</f>
        <v/>
      </c>
      <c r="F342" s="47">
        <f>IF(_imp!$C$344="","",INDEX(_imp!$H$4:$H$1503,_imp!$C$344))</f>
        <v/>
      </c>
      <c r="G342" s="47">
        <f>IF(_imp!$C$344="","",INDEX(_imp!$I$4:$I$1503,_imp!$C$344))</f>
        <v/>
      </c>
      <c r="K342" s="47">
        <f>IF(_imp!$C$344="","",INDEX(_imp!$J$4:$J$1503,_imp!$C$344))</f>
        <v/>
      </c>
    </row>
    <row r="343">
      <c r="A343" s="47">
        <f>IF(_imp!$C$345="","",INDEX(_imp!$D$4:$D$1503,_imp!$C$345))</f>
        <v/>
      </c>
      <c r="B343" s="47">
        <f>IF(_imp!$C$345="","",INDEX(_imp!$E$4:$E$1503,_imp!$C$345))</f>
        <v/>
      </c>
      <c r="C343" s="47">
        <f>IF(_imp!$C$345="","",INDEX(_imp!$F$4:$F$1503,_imp!$C$345))</f>
        <v/>
      </c>
      <c r="E343" s="47">
        <f>IF(_imp!$C$345="","",INDEX(_imp!$G$4:$G$1503,_imp!$C$345))</f>
        <v/>
      </c>
      <c r="F343" s="47">
        <f>IF(_imp!$C$345="","",INDEX(_imp!$H$4:$H$1503,_imp!$C$345))</f>
        <v/>
      </c>
      <c r="G343" s="47">
        <f>IF(_imp!$C$345="","",INDEX(_imp!$I$4:$I$1503,_imp!$C$345))</f>
        <v/>
      </c>
      <c r="K343" s="47">
        <f>IF(_imp!$C$345="","",INDEX(_imp!$J$4:$J$1503,_imp!$C$345))</f>
        <v/>
      </c>
    </row>
    <row r="344">
      <c r="A344" s="47">
        <f>IF(_imp!$C$346="","",INDEX(_imp!$D$4:$D$1503,_imp!$C$346))</f>
        <v/>
      </c>
      <c r="B344" s="47">
        <f>IF(_imp!$C$346="","",INDEX(_imp!$E$4:$E$1503,_imp!$C$346))</f>
        <v/>
      </c>
      <c r="C344" s="47">
        <f>IF(_imp!$C$346="","",INDEX(_imp!$F$4:$F$1503,_imp!$C$346))</f>
        <v/>
      </c>
      <c r="E344" s="47">
        <f>IF(_imp!$C$346="","",INDEX(_imp!$G$4:$G$1503,_imp!$C$346))</f>
        <v/>
      </c>
      <c r="F344" s="47">
        <f>IF(_imp!$C$346="","",INDEX(_imp!$H$4:$H$1503,_imp!$C$346))</f>
        <v/>
      </c>
      <c r="G344" s="47">
        <f>IF(_imp!$C$346="","",INDEX(_imp!$I$4:$I$1503,_imp!$C$346))</f>
        <v/>
      </c>
      <c r="K344" s="47">
        <f>IF(_imp!$C$346="","",INDEX(_imp!$J$4:$J$1503,_imp!$C$346))</f>
        <v/>
      </c>
    </row>
    <row r="345">
      <c r="A345" s="47">
        <f>IF(_imp!$C$347="","",INDEX(_imp!$D$4:$D$1503,_imp!$C$347))</f>
        <v/>
      </c>
      <c r="B345" s="47">
        <f>IF(_imp!$C$347="","",INDEX(_imp!$E$4:$E$1503,_imp!$C$347))</f>
        <v/>
      </c>
      <c r="C345" s="47">
        <f>IF(_imp!$C$347="","",INDEX(_imp!$F$4:$F$1503,_imp!$C$347))</f>
        <v/>
      </c>
      <c r="E345" s="47">
        <f>IF(_imp!$C$347="","",INDEX(_imp!$G$4:$G$1503,_imp!$C$347))</f>
        <v/>
      </c>
      <c r="F345" s="47">
        <f>IF(_imp!$C$347="","",INDEX(_imp!$H$4:$H$1503,_imp!$C$347))</f>
        <v/>
      </c>
      <c r="G345" s="47">
        <f>IF(_imp!$C$347="","",INDEX(_imp!$I$4:$I$1503,_imp!$C$347))</f>
        <v/>
      </c>
      <c r="K345" s="47">
        <f>IF(_imp!$C$347="","",INDEX(_imp!$J$4:$J$1503,_imp!$C$347))</f>
        <v/>
      </c>
    </row>
    <row r="346">
      <c r="A346" s="47">
        <f>IF(_imp!$C$348="","",INDEX(_imp!$D$4:$D$1503,_imp!$C$348))</f>
        <v/>
      </c>
      <c r="B346" s="47">
        <f>IF(_imp!$C$348="","",INDEX(_imp!$E$4:$E$1503,_imp!$C$348))</f>
        <v/>
      </c>
      <c r="C346" s="47">
        <f>IF(_imp!$C$348="","",INDEX(_imp!$F$4:$F$1503,_imp!$C$348))</f>
        <v/>
      </c>
      <c r="E346" s="47">
        <f>IF(_imp!$C$348="","",INDEX(_imp!$G$4:$G$1503,_imp!$C$348))</f>
        <v/>
      </c>
      <c r="F346" s="47">
        <f>IF(_imp!$C$348="","",INDEX(_imp!$H$4:$H$1503,_imp!$C$348))</f>
        <v/>
      </c>
      <c r="G346" s="47">
        <f>IF(_imp!$C$348="","",INDEX(_imp!$I$4:$I$1503,_imp!$C$348))</f>
        <v/>
      </c>
      <c r="K346" s="47">
        <f>IF(_imp!$C$348="","",INDEX(_imp!$J$4:$J$1503,_imp!$C$348))</f>
        <v/>
      </c>
    </row>
    <row r="347">
      <c r="A347" s="47">
        <f>IF(_imp!$C$349="","",INDEX(_imp!$D$4:$D$1503,_imp!$C$349))</f>
        <v/>
      </c>
      <c r="B347" s="47">
        <f>IF(_imp!$C$349="","",INDEX(_imp!$E$4:$E$1503,_imp!$C$349))</f>
        <v/>
      </c>
      <c r="C347" s="47">
        <f>IF(_imp!$C$349="","",INDEX(_imp!$F$4:$F$1503,_imp!$C$349))</f>
        <v/>
      </c>
      <c r="E347" s="47">
        <f>IF(_imp!$C$349="","",INDEX(_imp!$G$4:$G$1503,_imp!$C$349))</f>
        <v/>
      </c>
      <c r="F347" s="47">
        <f>IF(_imp!$C$349="","",INDEX(_imp!$H$4:$H$1503,_imp!$C$349))</f>
        <v/>
      </c>
      <c r="G347" s="47">
        <f>IF(_imp!$C$349="","",INDEX(_imp!$I$4:$I$1503,_imp!$C$349))</f>
        <v/>
      </c>
      <c r="K347" s="47">
        <f>IF(_imp!$C$349="","",INDEX(_imp!$J$4:$J$1503,_imp!$C$349))</f>
        <v/>
      </c>
    </row>
    <row r="348">
      <c r="A348" s="47">
        <f>IF(_imp!$C$350="","",INDEX(_imp!$D$4:$D$1503,_imp!$C$350))</f>
        <v/>
      </c>
      <c r="B348" s="47">
        <f>IF(_imp!$C$350="","",INDEX(_imp!$E$4:$E$1503,_imp!$C$350))</f>
        <v/>
      </c>
      <c r="C348" s="47">
        <f>IF(_imp!$C$350="","",INDEX(_imp!$F$4:$F$1503,_imp!$C$350))</f>
        <v/>
      </c>
      <c r="E348" s="47">
        <f>IF(_imp!$C$350="","",INDEX(_imp!$G$4:$G$1503,_imp!$C$350))</f>
        <v/>
      </c>
      <c r="F348" s="47">
        <f>IF(_imp!$C$350="","",INDEX(_imp!$H$4:$H$1503,_imp!$C$350))</f>
        <v/>
      </c>
      <c r="G348" s="47">
        <f>IF(_imp!$C$350="","",INDEX(_imp!$I$4:$I$1503,_imp!$C$350))</f>
        <v/>
      </c>
      <c r="K348" s="47">
        <f>IF(_imp!$C$350="","",INDEX(_imp!$J$4:$J$1503,_imp!$C$350))</f>
        <v/>
      </c>
    </row>
    <row r="349">
      <c r="A349" s="47">
        <f>IF(_imp!$C$351="","",INDEX(_imp!$D$4:$D$1503,_imp!$C$351))</f>
        <v/>
      </c>
      <c r="B349" s="47">
        <f>IF(_imp!$C$351="","",INDEX(_imp!$E$4:$E$1503,_imp!$C$351))</f>
        <v/>
      </c>
      <c r="C349" s="47">
        <f>IF(_imp!$C$351="","",INDEX(_imp!$F$4:$F$1503,_imp!$C$351))</f>
        <v/>
      </c>
      <c r="E349" s="47">
        <f>IF(_imp!$C$351="","",INDEX(_imp!$G$4:$G$1503,_imp!$C$351))</f>
        <v/>
      </c>
      <c r="F349" s="47">
        <f>IF(_imp!$C$351="","",INDEX(_imp!$H$4:$H$1503,_imp!$C$351))</f>
        <v/>
      </c>
      <c r="G349" s="47">
        <f>IF(_imp!$C$351="","",INDEX(_imp!$I$4:$I$1503,_imp!$C$351))</f>
        <v/>
      </c>
      <c r="K349" s="47">
        <f>IF(_imp!$C$351="","",INDEX(_imp!$J$4:$J$1503,_imp!$C$351))</f>
        <v/>
      </c>
    </row>
    <row r="350">
      <c r="A350" s="47">
        <f>IF(_imp!$C$352="","",INDEX(_imp!$D$4:$D$1503,_imp!$C$352))</f>
        <v/>
      </c>
      <c r="B350" s="47">
        <f>IF(_imp!$C$352="","",INDEX(_imp!$E$4:$E$1503,_imp!$C$352))</f>
        <v/>
      </c>
      <c r="C350" s="47">
        <f>IF(_imp!$C$352="","",INDEX(_imp!$F$4:$F$1503,_imp!$C$352))</f>
        <v/>
      </c>
      <c r="E350" s="47">
        <f>IF(_imp!$C$352="","",INDEX(_imp!$G$4:$G$1503,_imp!$C$352))</f>
        <v/>
      </c>
      <c r="F350" s="47">
        <f>IF(_imp!$C$352="","",INDEX(_imp!$H$4:$H$1503,_imp!$C$352))</f>
        <v/>
      </c>
      <c r="G350" s="47">
        <f>IF(_imp!$C$352="","",INDEX(_imp!$I$4:$I$1503,_imp!$C$352))</f>
        <v/>
      </c>
      <c r="K350" s="47">
        <f>IF(_imp!$C$352="","",INDEX(_imp!$J$4:$J$1503,_imp!$C$352))</f>
        <v/>
      </c>
    </row>
    <row r="351">
      <c r="A351" s="47">
        <f>IF(_imp!$C$353="","",INDEX(_imp!$D$4:$D$1503,_imp!$C$353))</f>
        <v/>
      </c>
      <c r="B351" s="47">
        <f>IF(_imp!$C$353="","",INDEX(_imp!$E$4:$E$1503,_imp!$C$353))</f>
        <v/>
      </c>
      <c r="C351" s="47">
        <f>IF(_imp!$C$353="","",INDEX(_imp!$F$4:$F$1503,_imp!$C$353))</f>
        <v/>
      </c>
      <c r="E351" s="47">
        <f>IF(_imp!$C$353="","",INDEX(_imp!$G$4:$G$1503,_imp!$C$353))</f>
        <v/>
      </c>
      <c r="F351" s="47">
        <f>IF(_imp!$C$353="","",INDEX(_imp!$H$4:$H$1503,_imp!$C$353))</f>
        <v/>
      </c>
      <c r="G351" s="47">
        <f>IF(_imp!$C$353="","",INDEX(_imp!$I$4:$I$1503,_imp!$C$353))</f>
        <v/>
      </c>
      <c r="K351" s="47">
        <f>IF(_imp!$C$353="","",INDEX(_imp!$J$4:$J$1503,_imp!$C$353))</f>
        <v/>
      </c>
    </row>
    <row r="352">
      <c r="A352" s="47">
        <f>IF(_imp!$C$354="","",INDEX(_imp!$D$4:$D$1503,_imp!$C$354))</f>
        <v/>
      </c>
      <c r="B352" s="47">
        <f>IF(_imp!$C$354="","",INDEX(_imp!$E$4:$E$1503,_imp!$C$354))</f>
        <v/>
      </c>
      <c r="C352" s="47">
        <f>IF(_imp!$C$354="","",INDEX(_imp!$F$4:$F$1503,_imp!$C$354))</f>
        <v/>
      </c>
      <c r="E352" s="47">
        <f>IF(_imp!$C$354="","",INDEX(_imp!$G$4:$G$1503,_imp!$C$354))</f>
        <v/>
      </c>
      <c r="F352" s="47">
        <f>IF(_imp!$C$354="","",INDEX(_imp!$H$4:$H$1503,_imp!$C$354))</f>
        <v/>
      </c>
      <c r="G352" s="47">
        <f>IF(_imp!$C$354="","",INDEX(_imp!$I$4:$I$1503,_imp!$C$354))</f>
        <v/>
      </c>
      <c r="K352" s="47">
        <f>IF(_imp!$C$354="","",INDEX(_imp!$J$4:$J$1503,_imp!$C$354))</f>
        <v/>
      </c>
    </row>
    <row r="353">
      <c r="A353" s="47">
        <f>IF(_imp!$C$355="","",INDEX(_imp!$D$4:$D$1503,_imp!$C$355))</f>
        <v/>
      </c>
      <c r="B353" s="47">
        <f>IF(_imp!$C$355="","",INDEX(_imp!$E$4:$E$1503,_imp!$C$355))</f>
        <v/>
      </c>
      <c r="C353" s="47">
        <f>IF(_imp!$C$355="","",INDEX(_imp!$F$4:$F$1503,_imp!$C$355))</f>
        <v/>
      </c>
      <c r="E353" s="47">
        <f>IF(_imp!$C$355="","",INDEX(_imp!$G$4:$G$1503,_imp!$C$355))</f>
        <v/>
      </c>
      <c r="F353" s="47">
        <f>IF(_imp!$C$355="","",INDEX(_imp!$H$4:$H$1503,_imp!$C$355))</f>
        <v/>
      </c>
      <c r="G353" s="47">
        <f>IF(_imp!$C$355="","",INDEX(_imp!$I$4:$I$1503,_imp!$C$355))</f>
        <v/>
      </c>
      <c r="K353" s="47">
        <f>IF(_imp!$C$355="","",INDEX(_imp!$J$4:$J$1503,_imp!$C$355))</f>
        <v/>
      </c>
    </row>
    <row r="354">
      <c r="A354" s="47">
        <f>IF(_imp!$C$356="","",INDEX(_imp!$D$4:$D$1503,_imp!$C$356))</f>
        <v/>
      </c>
      <c r="B354" s="47">
        <f>IF(_imp!$C$356="","",INDEX(_imp!$E$4:$E$1503,_imp!$C$356))</f>
        <v/>
      </c>
      <c r="C354" s="47">
        <f>IF(_imp!$C$356="","",INDEX(_imp!$F$4:$F$1503,_imp!$C$356))</f>
        <v/>
      </c>
      <c r="E354" s="47">
        <f>IF(_imp!$C$356="","",INDEX(_imp!$G$4:$G$1503,_imp!$C$356))</f>
        <v/>
      </c>
      <c r="F354" s="47">
        <f>IF(_imp!$C$356="","",INDEX(_imp!$H$4:$H$1503,_imp!$C$356))</f>
        <v/>
      </c>
      <c r="G354" s="47">
        <f>IF(_imp!$C$356="","",INDEX(_imp!$I$4:$I$1503,_imp!$C$356))</f>
        <v/>
      </c>
      <c r="K354" s="47">
        <f>IF(_imp!$C$356="","",INDEX(_imp!$J$4:$J$1503,_imp!$C$356))</f>
        <v/>
      </c>
    </row>
    <row r="355">
      <c r="A355" s="47">
        <f>IF(_imp!$C$357="","",INDEX(_imp!$D$4:$D$1503,_imp!$C$357))</f>
        <v/>
      </c>
      <c r="B355" s="47">
        <f>IF(_imp!$C$357="","",INDEX(_imp!$E$4:$E$1503,_imp!$C$357))</f>
        <v/>
      </c>
      <c r="C355" s="47">
        <f>IF(_imp!$C$357="","",INDEX(_imp!$F$4:$F$1503,_imp!$C$357))</f>
        <v/>
      </c>
      <c r="E355" s="47">
        <f>IF(_imp!$C$357="","",INDEX(_imp!$G$4:$G$1503,_imp!$C$357))</f>
        <v/>
      </c>
      <c r="F355" s="47">
        <f>IF(_imp!$C$357="","",INDEX(_imp!$H$4:$H$1503,_imp!$C$357))</f>
        <v/>
      </c>
      <c r="G355" s="47">
        <f>IF(_imp!$C$357="","",INDEX(_imp!$I$4:$I$1503,_imp!$C$357))</f>
        <v/>
      </c>
      <c r="K355" s="47">
        <f>IF(_imp!$C$357="","",INDEX(_imp!$J$4:$J$1503,_imp!$C$357))</f>
        <v/>
      </c>
    </row>
    <row r="356">
      <c r="A356" s="47">
        <f>IF(_imp!$C$358="","",INDEX(_imp!$D$4:$D$1503,_imp!$C$358))</f>
        <v/>
      </c>
      <c r="B356" s="47">
        <f>IF(_imp!$C$358="","",INDEX(_imp!$E$4:$E$1503,_imp!$C$358))</f>
        <v/>
      </c>
      <c r="C356" s="47">
        <f>IF(_imp!$C$358="","",INDEX(_imp!$F$4:$F$1503,_imp!$C$358))</f>
        <v/>
      </c>
      <c r="E356" s="47">
        <f>IF(_imp!$C$358="","",INDEX(_imp!$G$4:$G$1503,_imp!$C$358))</f>
        <v/>
      </c>
      <c r="F356" s="47">
        <f>IF(_imp!$C$358="","",INDEX(_imp!$H$4:$H$1503,_imp!$C$358))</f>
        <v/>
      </c>
      <c r="G356" s="47">
        <f>IF(_imp!$C$358="","",INDEX(_imp!$I$4:$I$1503,_imp!$C$358))</f>
        <v/>
      </c>
      <c r="K356" s="47">
        <f>IF(_imp!$C$358="","",INDEX(_imp!$J$4:$J$1503,_imp!$C$358))</f>
        <v/>
      </c>
    </row>
    <row r="357">
      <c r="A357" s="47">
        <f>IF(_imp!$C$359="","",INDEX(_imp!$D$4:$D$1503,_imp!$C$359))</f>
        <v/>
      </c>
      <c r="B357" s="47">
        <f>IF(_imp!$C$359="","",INDEX(_imp!$E$4:$E$1503,_imp!$C$359))</f>
        <v/>
      </c>
      <c r="C357" s="47">
        <f>IF(_imp!$C$359="","",INDEX(_imp!$F$4:$F$1503,_imp!$C$359))</f>
        <v/>
      </c>
      <c r="E357" s="47">
        <f>IF(_imp!$C$359="","",INDEX(_imp!$G$4:$G$1503,_imp!$C$359))</f>
        <v/>
      </c>
      <c r="F357" s="47">
        <f>IF(_imp!$C$359="","",INDEX(_imp!$H$4:$H$1503,_imp!$C$359))</f>
        <v/>
      </c>
      <c r="G357" s="47">
        <f>IF(_imp!$C$359="","",INDEX(_imp!$I$4:$I$1503,_imp!$C$359))</f>
        <v/>
      </c>
      <c r="K357" s="47">
        <f>IF(_imp!$C$359="","",INDEX(_imp!$J$4:$J$1503,_imp!$C$359))</f>
        <v/>
      </c>
    </row>
    <row r="358">
      <c r="A358" s="47">
        <f>IF(_imp!$C$360="","",INDEX(_imp!$D$4:$D$1503,_imp!$C$360))</f>
        <v/>
      </c>
      <c r="B358" s="47">
        <f>IF(_imp!$C$360="","",INDEX(_imp!$E$4:$E$1503,_imp!$C$360))</f>
        <v/>
      </c>
      <c r="C358" s="47">
        <f>IF(_imp!$C$360="","",INDEX(_imp!$F$4:$F$1503,_imp!$C$360))</f>
        <v/>
      </c>
      <c r="E358" s="47">
        <f>IF(_imp!$C$360="","",INDEX(_imp!$G$4:$G$1503,_imp!$C$360))</f>
        <v/>
      </c>
      <c r="F358" s="47">
        <f>IF(_imp!$C$360="","",INDEX(_imp!$H$4:$H$1503,_imp!$C$360))</f>
        <v/>
      </c>
      <c r="G358" s="47">
        <f>IF(_imp!$C$360="","",INDEX(_imp!$I$4:$I$1503,_imp!$C$360))</f>
        <v/>
      </c>
      <c r="K358" s="47">
        <f>IF(_imp!$C$360="","",INDEX(_imp!$J$4:$J$1503,_imp!$C$360))</f>
        <v/>
      </c>
    </row>
    <row r="359">
      <c r="A359" s="47">
        <f>IF(_imp!$C$361="","",INDEX(_imp!$D$4:$D$1503,_imp!$C$361))</f>
        <v/>
      </c>
      <c r="B359" s="47">
        <f>IF(_imp!$C$361="","",INDEX(_imp!$E$4:$E$1503,_imp!$C$361))</f>
        <v/>
      </c>
      <c r="C359" s="47">
        <f>IF(_imp!$C$361="","",INDEX(_imp!$F$4:$F$1503,_imp!$C$361))</f>
        <v/>
      </c>
      <c r="E359" s="47">
        <f>IF(_imp!$C$361="","",INDEX(_imp!$G$4:$G$1503,_imp!$C$361))</f>
        <v/>
      </c>
      <c r="F359" s="47">
        <f>IF(_imp!$C$361="","",INDEX(_imp!$H$4:$H$1503,_imp!$C$361))</f>
        <v/>
      </c>
      <c r="G359" s="47">
        <f>IF(_imp!$C$361="","",INDEX(_imp!$I$4:$I$1503,_imp!$C$361))</f>
        <v/>
      </c>
      <c r="K359" s="47">
        <f>IF(_imp!$C$361="","",INDEX(_imp!$J$4:$J$1503,_imp!$C$361))</f>
        <v/>
      </c>
    </row>
    <row r="360">
      <c r="A360" s="47">
        <f>IF(_imp!$C$362="","",INDEX(_imp!$D$4:$D$1503,_imp!$C$362))</f>
        <v/>
      </c>
      <c r="B360" s="47">
        <f>IF(_imp!$C$362="","",INDEX(_imp!$E$4:$E$1503,_imp!$C$362))</f>
        <v/>
      </c>
      <c r="C360" s="47">
        <f>IF(_imp!$C$362="","",INDEX(_imp!$F$4:$F$1503,_imp!$C$362))</f>
        <v/>
      </c>
      <c r="E360" s="47">
        <f>IF(_imp!$C$362="","",INDEX(_imp!$G$4:$G$1503,_imp!$C$362))</f>
        <v/>
      </c>
      <c r="F360" s="47">
        <f>IF(_imp!$C$362="","",INDEX(_imp!$H$4:$H$1503,_imp!$C$362))</f>
        <v/>
      </c>
      <c r="G360" s="47">
        <f>IF(_imp!$C$362="","",INDEX(_imp!$I$4:$I$1503,_imp!$C$362))</f>
        <v/>
      </c>
      <c r="K360" s="47">
        <f>IF(_imp!$C$362="","",INDEX(_imp!$J$4:$J$1503,_imp!$C$362))</f>
        <v/>
      </c>
    </row>
    <row r="361">
      <c r="A361" s="47">
        <f>IF(_imp!$C$363="","",INDEX(_imp!$D$4:$D$1503,_imp!$C$363))</f>
        <v/>
      </c>
      <c r="B361" s="47">
        <f>IF(_imp!$C$363="","",INDEX(_imp!$E$4:$E$1503,_imp!$C$363))</f>
        <v/>
      </c>
      <c r="C361" s="47">
        <f>IF(_imp!$C$363="","",INDEX(_imp!$F$4:$F$1503,_imp!$C$363))</f>
        <v/>
      </c>
      <c r="E361" s="47">
        <f>IF(_imp!$C$363="","",INDEX(_imp!$G$4:$G$1503,_imp!$C$363))</f>
        <v/>
      </c>
      <c r="F361" s="47">
        <f>IF(_imp!$C$363="","",INDEX(_imp!$H$4:$H$1503,_imp!$C$363))</f>
        <v/>
      </c>
      <c r="G361" s="47">
        <f>IF(_imp!$C$363="","",INDEX(_imp!$I$4:$I$1503,_imp!$C$363))</f>
        <v/>
      </c>
      <c r="K361" s="47">
        <f>IF(_imp!$C$363="","",INDEX(_imp!$J$4:$J$1503,_imp!$C$363))</f>
        <v/>
      </c>
    </row>
    <row r="362">
      <c r="A362" s="47">
        <f>IF(_imp!$C$364="","",INDEX(_imp!$D$4:$D$1503,_imp!$C$364))</f>
        <v/>
      </c>
      <c r="B362" s="47">
        <f>IF(_imp!$C$364="","",INDEX(_imp!$E$4:$E$1503,_imp!$C$364))</f>
        <v/>
      </c>
      <c r="C362" s="47">
        <f>IF(_imp!$C$364="","",INDEX(_imp!$F$4:$F$1503,_imp!$C$364))</f>
        <v/>
      </c>
      <c r="E362" s="47">
        <f>IF(_imp!$C$364="","",INDEX(_imp!$G$4:$G$1503,_imp!$C$364))</f>
        <v/>
      </c>
      <c r="F362" s="47">
        <f>IF(_imp!$C$364="","",INDEX(_imp!$H$4:$H$1503,_imp!$C$364))</f>
        <v/>
      </c>
      <c r="G362" s="47">
        <f>IF(_imp!$C$364="","",INDEX(_imp!$I$4:$I$1503,_imp!$C$364))</f>
        <v/>
      </c>
      <c r="K362" s="47">
        <f>IF(_imp!$C$364="","",INDEX(_imp!$J$4:$J$1503,_imp!$C$364))</f>
        <v/>
      </c>
    </row>
    <row r="363">
      <c r="A363" s="47">
        <f>IF(_imp!$C$365="","",INDEX(_imp!$D$4:$D$1503,_imp!$C$365))</f>
        <v/>
      </c>
      <c r="B363" s="47">
        <f>IF(_imp!$C$365="","",INDEX(_imp!$E$4:$E$1503,_imp!$C$365))</f>
        <v/>
      </c>
      <c r="C363" s="47">
        <f>IF(_imp!$C$365="","",INDEX(_imp!$F$4:$F$1503,_imp!$C$365))</f>
        <v/>
      </c>
      <c r="E363" s="47">
        <f>IF(_imp!$C$365="","",INDEX(_imp!$G$4:$G$1503,_imp!$C$365))</f>
        <v/>
      </c>
      <c r="F363" s="47">
        <f>IF(_imp!$C$365="","",INDEX(_imp!$H$4:$H$1503,_imp!$C$365))</f>
        <v/>
      </c>
      <c r="G363" s="47">
        <f>IF(_imp!$C$365="","",INDEX(_imp!$I$4:$I$1503,_imp!$C$365))</f>
        <v/>
      </c>
      <c r="K363" s="47">
        <f>IF(_imp!$C$365="","",INDEX(_imp!$J$4:$J$1503,_imp!$C$365))</f>
        <v/>
      </c>
    </row>
    <row r="364">
      <c r="A364" s="47">
        <f>IF(_imp!$C$366="","",INDEX(_imp!$D$4:$D$1503,_imp!$C$366))</f>
        <v/>
      </c>
      <c r="B364" s="47">
        <f>IF(_imp!$C$366="","",INDEX(_imp!$E$4:$E$1503,_imp!$C$366))</f>
        <v/>
      </c>
      <c r="C364" s="47">
        <f>IF(_imp!$C$366="","",INDEX(_imp!$F$4:$F$1503,_imp!$C$366))</f>
        <v/>
      </c>
      <c r="E364" s="47">
        <f>IF(_imp!$C$366="","",INDEX(_imp!$G$4:$G$1503,_imp!$C$366))</f>
        <v/>
      </c>
      <c r="F364" s="47">
        <f>IF(_imp!$C$366="","",INDEX(_imp!$H$4:$H$1503,_imp!$C$366))</f>
        <v/>
      </c>
      <c r="G364" s="47">
        <f>IF(_imp!$C$366="","",INDEX(_imp!$I$4:$I$1503,_imp!$C$366))</f>
        <v/>
      </c>
      <c r="K364" s="47">
        <f>IF(_imp!$C$366="","",INDEX(_imp!$J$4:$J$1503,_imp!$C$366))</f>
        <v/>
      </c>
    </row>
    <row r="365">
      <c r="A365" s="47">
        <f>IF(_imp!$C$367="","",INDEX(_imp!$D$4:$D$1503,_imp!$C$367))</f>
        <v/>
      </c>
      <c r="B365" s="47">
        <f>IF(_imp!$C$367="","",INDEX(_imp!$E$4:$E$1503,_imp!$C$367))</f>
        <v/>
      </c>
      <c r="C365" s="47">
        <f>IF(_imp!$C$367="","",INDEX(_imp!$F$4:$F$1503,_imp!$C$367))</f>
        <v/>
      </c>
      <c r="E365" s="47">
        <f>IF(_imp!$C$367="","",INDEX(_imp!$G$4:$G$1503,_imp!$C$367))</f>
        <v/>
      </c>
      <c r="F365" s="47">
        <f>IF(_imp!$C$367="","",INDEX(_imp!$H$4:$H$1503,_imp!$C$367))</f>
        <v/>
      </c>
      <c r="G365" s="47">
        <f>IF(_imp!$C$367="","",INDEX(_imp!$I$4:$I$1503,_imp!$C$367))</f>
        <v/>
      </c>
      <c r="K365" s="47">
        <f>IF(_imp!$C$367="","",INDEX(_imp!$J$4:$J$1503,_imp!$C$367))</f>
        <v/>
      </c>
    </row>
    <row r="366">
      <c r="A366" s="47">
        <f>IF(_imp!$C$368="","",INDEX(_imp!$D$4:$D$1503,_imp!$C$368))</f>
        <v/>
      </c>
      <c r="B366" s="47">
        <f>IF(_imp!$C$368="","",INDEX(_imp!$E$4:$E$1503,_imp!$C$368))</f>
        <v/>
      </c>
      <c r="C366" s="47">
        <f>IF(_imp!$C$368="","",INDEX(_imp!$F$4:$F$1503,_imp!$C$368))</f>
        <v/>
      </c>
      <c r="E366" s="47">
        <f>IF(_imp!$C$368="","",INDEX(_imp!$G$4:$G$1503,_imp!$C$368))</f>
        <v/>
      </c>
      <c r="F366" s="47">
        <f>IF(_imp!$C$368="","",INDEX(_imp!$H$4:$H$1503,_imp!$C$368))</f>
        <v/>
      </c>
      <c r="G366" s="47">
        <f>IF(_imp!$C$368="","",INDEX(_imp!$I$4:$I$1503,_imp!$C$368))</f>
        <v/>
      </c>
      <c r="K366" s="47">
        <f>IF(_imp!$C$368="","",INDEX(_imp!$J$4:$J$1503,_imp!$C$368))</f>
        <v/>
      </c>
    </row>
    <row r="367">
      <c r="A367" s="47">
        <f>IF(_imp!$C$369="","",INDEX(_imp!$D$4:$D$1503,_imp!$C$369))</f>
        <v/>
      </c>
      <c r="B367" s="47">
        <f>IF(_imp!$C$369="","",INDEX(_imp!$E$4:$E$1503,_imp!$C$369))</f>
        <v/>
      </c>
      <c r="C367" s="47">
        <f>IF(_imp!$C$369="","",INDEX(_imp!$F$4:$F$1503,_imp!$C$369))</f>
        <v/>
      </c>
      <c r="E367" s="47">
        <f>IF(_imp!$C$369="","",INDEX(_imp!$G$4:$G$1503,_imp!$C$369))</f>
        <v/>
      </c>
      <c r="F367" s="47">
        <f>IF(_imp!$C$369="","",INDEX(_imp!$H$4:$H$1503,_imp!$C$369))</f>
        <v/>
      </c>
      <c r="G367" s="47">
        <f>IF(_imp!$C$369="","",INDEX(_imp!$I$4:$I$1503,_imp!$C$369))</f>
        <v/>
      </c>
      <c r="K367" s="47">
        <f>IF(_imp!$C$369="","",INDEX(_imp!$J$4:$J$1503,_imp!$C$369))</f>
        <v/>
      </c>
    </row>
    <row r="368">
      <c r="A368" s="47">
        <f>IF(_imp!$C$370="","",INDEX(_imp!$D$4:$D$1503,_imp!$C$370))</f>
        <v/>
      </c>
      <c r="B368" s="47">
        <f>IF(_imp!$C$370="","",INDEX(_imp!$E$4:$E$1503,_imp!$C$370))</f>
        <v/>
      </c>
      <c r="C368" s="47">
        <f>IF(_imp!$C$370="","",INDEX(_imp!$F$4:$F$1503,_imp!$C$370))</f>
        <v/>
      </c>
      <c r="E368" s="47">
        <f>IF(_imp!$C$370="","",INDEX(_imp!$G$4:$G$1503,_imp!$C$370))</f>
        <v/>
      </c>
      <c r="F368" s="47">
        <f>IF(_imp!$C$370="","",INDEX(_imp!$H$4:$H$1503,_imp!$C$370))</f>
        <v/>
      </c>
      <c r="G368" s="47">
        <f>IF(_imp!$C$370="","",INDEX(_imp!$I$4:$I$1503,_imp!$C$370))</f>
        <v/>
      </c>
      <c r="K368" s="47">
        <f>IF(_imp!$C$370="","",INDEX(_imp!$J$4:$J$1503,_imp!$C$370))</f>
        <v/>
      </c>
    </row>
    <row r="369">
      <c r="A369" s="47">
        <f>IF(_imp!$C$371="","",INDEX(_imp!$D$4:$D$1503,_imp!$C$371))</f>
        <v/>
      </c>
      <c r="B369" s="47">
        <f>IF(_imp!$C$371="","",INDEX(_imp!$E$4:$E$1503,_imp!$C$371))</f>
        <v/>
      </c>
      <c r="C369" s="47">
        <f>IF(_imp!$C$371="","",INDEX(_imp!$F$4:$F$1503,_imp!$C$371))</f>
        <v/>
      </c>
      <c r="E369" s="47">
        <f>IF(_imp!$C$371="","",INDEX(_imp!$G$4:$G$1503,_imp!$C$371))</f>
        <v/>
      </c>
      <c r="F369" s="47">
        <f>IF(_imp!$C$371="","",INDEX(_imp!$H$4:$H$1503,_imp!$C$371))</f>
        <v/>
      </c>
      <c r="G369" s="47">
        <f>IF(_imp!$C$371="","",INDEX(_imp!$I$4:$I$1503,_imp!$C$371))</f>
        <v/>
      </c>
      <c r="K369" s="47">
        <f>IF(_imp!$C$371="","",INDEX(_imp!$J$4:$J$1503,_imp!$C$371))</f>
        <v/>
      </c>
    </row>
    <row r="370">
      <c r="A370" s="47">
        <f>IF(_imp!$C$372="","",INDEX(_imp!$D$4:$D$1503,_imp!$C$372))</f>
        <v/>
      </c>
      <c r="B370" s="47">
        <f>IF(_imp!$C$372="","",INDEX(_imp!$E$4:$E$1503,_imp!$C$372))</f>
        <v/>
      </c>
      <c r="C370" s="47">
        <f>IF(_imp!$C$372="","",INDEX(_imp!$F$4:$F$1503,_imp!$C$372))</f>
        <v/>
      </c>
      <c r="E370" s="47">
        <f>IF(_imp!$C$372="","",INDEX(_imp!$G$4:$G$1503,_imp!$C$372))</f>
        <v/>
      </c>
      <c r="F370" s="47">
        <f>IF(_imp!$C$372="","",INDEX(_imp!$H$4:$H$1503,_imp!$C$372))</f>
        <v/>
      </c>
      <c r="G370" s="47">
        <f>IF(_imp!$C$372="","",INDEX(_imp!$I$4:$I$1503,_imp!$C$372))</f>
        <v/>
      </c>
      <c r="K370" s="47">
        <f>IF(_imp!$C$372="","",INDEX(_imp!$J$4:$J$1503,_imp!$C$372))</f>
        <v/>
      </c>
    </row>
    <row r="371">
      <c r="A371" s="47">
        <f>IF(_imp!$C$373="","",INDEX(_imp!$D$4:$D$1503,_imp!$C$373))</f>
        <v/>
      </c>
      <c r="B371" s="47">
        <f>IF(_imp!$C$373="","",INDEX(_imp!$E$4:$E$1503,_imp!$C$373))</f>
        <v/>
      </c>
      <c r="C371" s="47">
        <f>IF(_imp!$C$373="","",INDEX(_imp!$F$4:$F$1503,_imp!$C$373))</f>
        <v/>
      </c>
      <c r="E371" s="47">
        <f>IF(_imp!$C$373="","",INDEX(_imp!$G$4:$G$1503,_imp!$C$373))</f>
        <v/>
      </c>
      <c r="F371" s="47">
        <f>IF(_imp!$C$373="","",INDEX(_imp!$H$4:$H$1503,_imp!$C$373))</f>
        <v/>
      </c>
      <c r="G371" s="47">
        <f>IF(_imp!$C$373="","",INDEX(_imp!$I$4:$I$1503,_imp!$C$373))</f>
        <v/>
      </c>
      <c r="K371" s="47">
        <f>IF(_imp!$C$373="","",INDEX(_imp!$J$4:$J$1503,_imp!$C$373))</f>
        <v/>
      </c>
    </row>
    <row r="372">
      <c r="A372" s="47">
        <f>IF(_imp!$C$374="","",INDEX(_imp!$D$4:$D$1503,_imp!$C$374))</f>
        <v/>
      </c>
      <c r="B372" s="47">
        <f>IF(_imp!$C$374="","",INDEX(_imp!$E$4:$E$1503,_imp!$C$374))</f>
        <v/>
      </c>
      <c r="C372" s="47">
        <f>IF(_imp!$C$374="","",INDEX(_imp!$F$4:$F$1503,_imp!$C$374))</f>
        <v/>
      </c>
      <c r="E372" s="47">
        <f>IF(_imp!$C$374="","",INDEX(_imp!$G$4:$G$1503,_imp!$C$374))</f>
        <v/>
      </c>
      <c r="F372" s="47">
        <f>IF(_imp!$C$374="","",INDEX(_imp!$H$4:$H$1503,_imp!$C$374))</f>
        <v/>
      </c>
      <c r="G372" s="47">
        <f>IF(_imp!$C$374="","",INDEX(_imp!$I$4:$I$1503,_imp!$C$374))</f>
        <v/>
      </c>
      <c r="K372" s="47">
        <f>IF(_imp!$C$374="","",INDEX(_imp!$J$4:$J$1503,_imp!$C$374))</f>
        <v/>
      </c>
    </row>
    <row r="373">
      <c r="A373" s="47">
        <f>IF(_imp!$C$375="","",INDEX(_imp!$D$4:$D$1503,_imp!$C$375))</f>
        <v/>
      </c>
      <c r="B373" s="47">
        <f>IF(_imp!$C$375="","",INDEX(_imp!$E$4:$E$1503,_imp!$C$375))</f>
        <v/>
      </c>
      <c r="C373" s="47">
        <f>IF(_imp!$C$375="","",INDEX(_imp!$F$4:$F$1503,_imp!$C$375))</f>
        <v/>
      </c>
      <c r="E373" s="47">
        <f>IF(_imp!$C$375="","",INDEX(_imp!$G$4:$G$1503,_imp!$C$375))</f>
        <v/>
      </c>
      <c r="F373" s="47">
        <f>IF(_imp!$C$375="","",INDEX(_imp!$H$4:$H$1503,_imp!$C$375))</f>
        <v/>
      </c>
      <c r="G373" s="47">
        <f>IF(_imp!$C$375="","",INDEX(_imp!$I$4:$I$1503,_imp!$C$375))</f>
        <v/>
      </c>
      <c r="K373" s="47">
        <f>IF(_imp!$C$375="","",INDEX(_imp!$J$4:$J$1503,_imp!$C$375))</f>
        <v/>
      </c>
    </row>
    <row r="374">
      <c r="A374" s="47">
        <f>IF(_imp!$C$376="","",INDEX(_imp!$D$4:$D$1503,_imp!$C$376))</f>
        <v/>
      </c>
      <c r="B374" s="47">
        <f>IF(_imp!$C$376="","",INDEX(_imp!$E$4:$E$1503,_imp!$C$376))</f>
        <v/>
      </c>
      <c r="C374" s="47">
        <f>IF(_imp!$C$376="","",INDEX(_imp!$F$4:$F$1503,_imp!$C$376))</f>
        <v/>
      </c>
      <c r="E374" s="47">
        <f>IF(_imp!$C$376="","",INDEX(_imp!$G$4:$G$1503,_imp!$C$376))</f>
        <v/>
      </c>
      <c r="F374" s="47">
        <f>IF(_imp!$C$376="","",INDEX(_imp!$H$4:$H$1503,_imp!$C$376))</f>
        <v/>
      </c>
      <c r="G374" s="47">
        <f>IF(_imp!$C$376="","",INDEX(_imp!$I$4:$I$1503,_imp!$C$376))</f>
        <v/>
      </c>
      <c r="K374" s="47">
        <f>IF(_imp!$C$376="","",INDEX(_imp!$J$4:$J$1503,_imp!$C$376))</f>
        <v/>
      </c>
    </row>
    <row r="375">
      <c r="A375" s="47">
        <f>IF(_imp!$C$377="","",INDEX(_imp!$D$4:$D$1503,_imp!$C$377))</f>
        <v/>
      </c>
      <c r="B375" s="47">
        <f>IF(_imp!$C$377="","",INDEX(_imp!$E$4:$E$1503,_imp!$C$377))</f>
        <v/>
      </c>
      <c r="C375" s="47">
        <f>IF(_imp!$C$377="","",INDEX(_imp!$F$4:$F$1503,_imp!$C$377))</f>
        <v/>
      </c>
      <c r="E375" s="47">
        <f>IF(_imp!$C$377="","",INDEX(_imp!$G$4:$G$1503,_imp!$C$377))</f>
        <v/>
      </c>
      <c r="F375" s="47">
        <f>IF(_imp!$C$377="","",INDEX(_imp!$H$4:$H$1503,_imp!$C$377))</f>
        <v/>
      </c>
      <c r="G375" s="47">
        <f>IF(_imp!$C$377="","",INDEX(_imp!$I$4:$I$1503,_imp!$C$377))</f>
        <v/>
      </c>
      <c r="K375" s="47">
        <f>IF(_imp!$C$377="","",INDEX(_imp!$J$4:$J$1503,_imp!$C$377))</f>
        <v/>
      </c>
    </row>
    <row r="376">
      <c r="A376" s="47">
        <f>IF(_imp!$C$378="","",INDEX(_imp!$D$4:$D$1503,_imp!$C$378))</f>
        <v/>
      </c>
      <c r="B376" s="47">
        <f>IF(_imp!$C$378="","",INDEX(_imp!$E$4:$E$1503,_imp!$C$378))</f>
        <v/>
      </c>
      <c r="C376" s="47">
        <f>IF(_imp!$C$378="","",INDEX(_imp!$F$4:$F$1503,_imp!$C$378))</f>
        <v/>
      </c>
      <c r="E376" s="47">
        <f>IF(_imp!$C$378="","",INDEX(_imp!$G$4:$G$1503,_imp!$C$378))</f>
        <v/>
      </c>
      <c r="F376" s="47">
        <f>IF(_imp!$C$378="","",INDEX(_imp!$H$4:$H$1503,_imp!$C$378))</f>
        <v/>
      </c>
      <c r="G376" s="47">
        <f>IF(_imp!$C$378="","",INDEX(_imp!$I$4:$I$1503,_imp!$C$378))</f>
        <v/>
      </c>
      <c r="K376" s="47">
        <f>IF(_imp!$C$378="","",INDEX(_imp!$J$4:$J$1503,_imp!$C$378))</f>
        <v/>
      </c>
    </row>
    <row r="377">
      <c r="A377" s="47">
        <f>IF(_imp!$C$379="","",INDEX(_imp!$D$4:$D$1503,_imp!$C$379))</f>
        <v/>
      </c>
      <c r="B377" s="47">
        <f>IF(_imp!$C$379="","",INDEX(_imp!$E$4:$E$1503,_imp!$C$379))</f>
        <v/>
      </c>
      <c r="C377" s="47">
        <f>IF(_imp!$C$379="","",INDEX(_imp!$F$4:$F$1503,_imp!$C$379))</f>
        <v/>
      </c>
      <c r="E377" s="47">
        <f>IF(_imp!$C$379="","",INDEX(_imp!$G$4:$G$1503,_imp!$C$379))</f>
        <v/>
      </c>
      <c r="F377" s="47">
        <f>IF(_imp!$C$379="","",INDEX(_imp!$H$4:$H$1503,_imp!$C$379))</f>
        <v/>
      </c>
      <c r="G377" s="47">
        <f>IF(_imp!$C$379="","",INDEX(_imp!$I$4:$I$1503,_imp!$C$379))</f>
        <v/>
      </c>
      <c r="K377" s="47">
        <f>IF(_imp!$C$379="","",INDEX(_imp!$J$4:$J$1503,_imp!$C$379))</f>
        <v/>
      </c>
    </row>
    <row r="378">
      <c r="A378" s="47">
        <f>IF(_imp!$C$380="","",INDEX(_imp!$D$4:$D$1503,_imp!$C$380))</f>
        <v/>
      </c>
      <c r="B378" s="47">
        <f>IF(_imp!$C$380="","",INDEX(_imp!$E$4:$E$1503,_imp!$C$380))</f>
        <v/>
      </c>
      <c r="C378" s="47">
        <f>IF(_imp!$C$380="","",INDEX(_imp!$F$4:$F$1503,_imp!$C$380))</f>
        <v/>
      </c>
      <c r="E378" s="47">
        <f>IF(_imp!$C$380="","",INDEX(_imp!$G$4:$G$1503,_imp!$C$380))</f>
        <v/>
      </c>
      <c r="F378" s="47">
        <f>IF(_imp!$C$380="","",INDEX(_imp!$H$4:$H$1503,_imp!$C$380))</f>
        <v/>
      </c>
      <c r="G378" s="47">
        <f>IF(_imp!$C$380="","",INDEX(_imp!$I$4:$I$1503,_imp!$C$380))</f>
        <v/>
      </c>
      <c r="K378" s="47">
        <f>IF(_imp!$C$380="","",INDEX(_imp!$J$4:$J$1503,_imp!$C$380))</f>
        <v/>
      </c>
    </row>
    <row r="379">
      <c r="A379" s="47">
        <f>IF(_imp!$C$381="","",INDEX(_imp!$D$4:$D$1503,_imp!$C$381))</f>
        <v/>
      </c>
      <c r="B379" s="47">
        <f>IF(_imp!$C$381="","",INDEX(_imp!$E$4:$E$1503,_imp!$C$381))</f>
        <v/>
      </c>
      <c r="C379" s="47">
        <f>IF(_imp!$C$381="","",INDEX(_imp!$F$4:$F$1503,_imp!$C$381))</f>
        <v/>
      </c>
      <c r="E379" s="47">
        <f>IF(_imp!$C$381="","",INDEX(_imp!$G$4:$G$1503,_imp!$C$381))</f>
        <v/>
      </c>
      <c r="F379" s="47">
        <f>IF(_imp!$C$381="","",INDEX(_imp!$H$4:$H$1503,_imp!$C$381))</f>
        <v/>
      </c>
      <c r="G379" s="47">
        <f>IF(_imp!$C$381="","",INDEX(_imp!$I$4:$I$1503,_imp!$C$381))</f>
        <v/>
      </c>
      <c r="K379" s="47">
        <f>IF(_imp!$C$381="","",INDEX(_imp!$J$4:$J$1503,_imp!$C$381))</f>
        <v/>
      </c>
    </row>
    <row r="380">
      <c r="A380" s="47">
        <f>IF(_imp!$C$382="","",INDEX(_imp!$D$4:$D$1503,_imp!$C$382))</f>
        <v/>
      </c>
      <c r="B380" s="47">
        <f>IF(_imp!$C$382="","",INDEX(_imp!$E$4:$E$1503,_imp!$C$382))</f>
        <v/>
      </c>
      <c r="C380" s="47">
        <f>IF(_imp!$C$382="","",INDEX(_imp!$F$4:$F$1503,_imp!$C$382))</f>
        <v/>
      </c>
      <c r="E380" s="47">
        <f>IF(_imp!$C$382="","",INDEX(_imp!$G$4:$G$1503,_imp!$C$382))</f>
        <v/>
      </c>
      <c r="F380" s="47">
        <f>IF(_imp!$C$382="","",INDEX(_imp!$H$4:$H$1503,_imp!$C$382))</f>
        <v/>
      </c>
      <c r="G380" s="47">
        <f>IF(_imp!$C$382="","",INDEX(_imp!$I$4:$I$1503,_imp!$C$382))</f>
        <v/>
      </c>
      <c r="K380" s="47">
        <f>IF(_imp!$C$382="","",INDEX(_imp!$J$4:$J$1503,_imp!$C$382))</f>
        <v/>
      </c>
    </row>
    <row r="381">
      <c r="A381" s="47">
        <f>IF(_imp!$C$383="","",INDEX(_imp!$D$4:$D$1503,_imp!$C$383))</f>
        <v/>
      </c>
      <c r="B381" s="47">
        <f>IF(_imp!$C$383="","",INDEX(_imp!$E$4:$E$1503,_imp!$C$383))</f>
        <v/>
      </c>
      <c r="C381" s="47">
        <f>IF(_imp!$C$383="","",INDEX(_imp!$F$4:$F$1503,_imp!$C$383))</f>
        <v/>
      </c>
      <c r="E381" s="47">
        <f>IF(_imp!$C$383="","",INDEX(_imp!$G$4:$G$1503,_imp!$C$383))</f>
        <v/>
      </c>
      <c r="F381" s="47">
        <f>IF(_imp!$C$383="","",INDEX(_imp!$H$4:$H$1503,_imp!$C$383))</f>
        <v/>
      </c>
      <c r="G381" s="47">
        <f>IF(_imp!$C$383="","",INDEX(_imp!$I$4:$I$1503,_imp!$C$383))</f>
        <v/>
      </c>
      <c r="K381" s="47">
        <f>IF(_imp!$C$383="","",INDEX(_imp!$J$4:$J$1503,_imp!$C$383))</f>
        <v/>
      </c>
    </row>
    <row r="382">
      <c r="A382" s="47">
        <f>IF(_imp!$C$384="","",INDEX(_imp!$D$4:$D$1503,_imp!$C$384))</f>
        <v/>
      </c>
      <c r="B382" s="47">
        <f>IF(_imp!$C$384="","",INDEX(_imp!$E$4:$E$1503,_imp!$C$384))</f>
        <v/>
      </c>
      <c r="C382" s="47">
        <f>IF(_imp!$C$384="","",INDEX(_imp!$F$4:$F$1503,_imp!$C$384))</f>
        <v/>
      </c>
      <c r="E382" s="47">
        <f>IF(_imp!$C$384="","",INDEX(_imp!$G$4:$G$1503,_imp!$C$384))</f>
        <v/>
      </c>
      <c r="F382" s="47">
        <f>IF(_imp!$C$384="","",INDEX(_imp!$H$4:$H$1503,_imp!$C$384))</f>
        <v/>
      </c>
      <c r="G382" s="47">
        <f>IF(_imp!$C$384="","",INDEX(_imp!$I$4:$I$1503,_imp!$C$384))</f>
        <v/>
      </c>
      <c r="K382" s="47">
        <f>IF(_imp!$C$384="","",INDEX(_imp!$J$4:$J$1503,_imp!$C$384))</f>
        <v/>
      </c>
    </row>
    <row r="383">
      <c r="A383" s="47">
        <f>IF(_imp!$C$385="","",INDEX(_imp!$D$4:$D$1503,_imp!$C$385))</f>
        <v/>
      </c>
      <c r="B383" s="47">
        <f>IF(_imp!$C$385="","",INDEX(_imp!$E$4:$E$1503,_imp!$C$385))</f>
        <v/>
      </c>
      <c r="C383" s="47">
        <f>IF(_imp!$C$385="","",INDEX(_imp!$F$4:$F$1503,_imp!$C$385))</f>
        <v/>
      </c>
      <c r="E383" s="47">
        <f>IF(_imp!$C$385="","",INDEX(_imp!$G$4:$G$1503,_imp!$C$385))</f>
        <v/>
      </c>
      <c r="F383" s="47">
        <f>IF(_imp!$C$385="","",INDEX(_imp!$H$4:$H$1503,_imp!$C$385))</f>
        <v/>
      </c>
      <c r="G383" s="47">
        <f>IF(_imp!$C$385="","",INDEX(_imp!$I$4:$I$1503,_imp!$C$385))</f>
        <v/>
      </c>
      <c r="K383" s="47">
        <f>IF(_imp!$C$385="","",INDEX(_imp!$J$4:$J$1503,_imp!$C$385))</f>
        <v/>
      </c>
    </row>
    <row r="384">
      <c r="A384" s="47">
        <f>IF(_imp!$C$386="","",INDEX(_imp!$D$4:$D$1503,_imp!$C$386))</f>
        <v/>
      </c>
      <c r="B384" s="47">
        <f>IF(_imp!$C$386="","",INDEX(_imp!$E$4:$E$1503,_imp!$C$386))</f>
        <v/>
      </c>
      <c r="C384" s="47">
        <f>IF(_imp!$C$386="","",INDEX(_imp!$F$4:$F$1503,_imp!$C$386))</f>
        <v/>
      </c>
      <c r="E384" s="47">
        <f>IF(_imp!$C$386="","",INDEX(_imp!$G$4:$G$1503,_imp!$C$386))</f>
        <v/>
      </c>
      <c r="F384" s="47">
        <f>IF(_imp!$C$386="","",INDEX(_imp!$H$4:$H$1503,_imp!$C$386))</f>
        <v/>
      </c>
      <c r="G384" s="47">
        <f>IF(_imp!$C$386="","",INDEX(_imp!$I$4:$I$1503,_imp!$C$386))</f>
        <v/>
      </c>
      <c r="K384" s="47">
        <f>IF(_imp!$C$386="","",INDEX(_imp!$J$4:$J$1503,_imp!$C$386))</f>
        <v/>
      </c>
    </row>
    <row r="385">
      <c r="A385" s="47">
        <f>IF(_imp!$C$387="","",INDEX(_imp!$D$4:$D$1503,_imp!$C$387))</f>
        <v/>
      </c>
      <c r="B385" s="47">
        <f>IF(_imp!$C$387="","",INDEX(_imp!$E$4:$E$1503,_imp!$C$387))</f>
        <v/>
      </c>
      <c r="C385" s="47">
        <f>IF(_imp!$C$387="","",INDEX(_imp!$F$4:$F$1503,_imp!$C$387))</f>
        <v/>
      </c>
      <c r="E385" s="47">
        <f>IF(_imp!$C$387="","",INDEX(_imp!$G$4:$G$1503,_imp!$C$387))</f>
        <v/>
      </c>
      <c r="F385" s="47">
        <f>IF(_imp!$C$387="","",INDEX(_imp!$H$4:$H$1503,_imp!$C$387))</f>
        <v/>
      </c>
      <c r="G385" s="47">
        <f>IF(_imp!$C$387="","",INDEX(_imp!$I$4:$I$1503,_imp!$C$387))</f>
        <v/>
      </c>
      <c r="K385" s="47">
        <f>IF(_imp!$C$387="","",INDEX(_imp!$J$4:$J$1503,_imp!$C$387))</f>
        <v/>
      </c>
    </row>
    <row r="386">
      <c r="A386" s="47">
        <f>IF(_imp!$C$388="","",INDEX(_imp!$D$4:$D$1503,_imp!$C$388))</f>
        <v/>
      </c>
      <c r="B386" s="47">
        <f>IF(_imp!$C$388="","",INDEX(_imp!$E$4:$E$1503,_imp!$C$388))</f>
        <v/>
      </c>
      <c r="C386" s="47">
        <f>IF(_imp!$C$388="","",INDEX(_imp!$F$4:$F$1503,_imp!$C$388))</f>
        <v/>
      </c>
      <c r="E386" s="47">
        <f>IF(_imp!$C$388="","",INDEX(_imp!$G$4:$G$1503,_imp!$C$388))</f>
        <v/>
      </c>
      <c r="F386" s="47">
        <f>IF(_imp!$C$388="","",INDEX(_imp!$H$4:$H$1503,_imp!$C$388))</f>
        <v/>
      </c>
      <c r="G386" s="47">
        <f>IF(_imp!$C$388="","",INDEX(_imp!$I$4:$I$1503,_imp!$C$388))</f>
        <v/>
      </c>
      <c r="K386" s="47">
        <f>IF(_imp!$C$388="","",INDEX(_imp!$J$4:$J$1503,_imp!$C$388))</f>
        <v/>
      </c>
    </row>
    <row r="387">
      <c r="A387" s="47">
        <f>IF(_imp!$C$389="","",INDEX(_imp!$D$4:$D$1503,_imp!$C$389))</f>
        <v/>
      </c>
      <c r="B387" s="47">
        <f>IF(_imp!$C$389="","",INDEX(_imp!$E$4:$E$1503,_imp!$C$389))</f>
        <v/>
      </c>
      <c r="C387" s="47">
        <f>IF(_imp!$C$389="","",INDEX(_imp!$F$4:$F$1503,_imp!$C$389))</f>
        <v/>
      </c>
      <c r="E387" s="47">
        <f>IF(_imp!$C$389="","",INDEX(_imp!$G$4:$G$1503,_imp!$C$389))</f>
        <v/>
      </c>
      <c r="F387" s="47">
        <f>IF(_imp!$C$389="","",INDEX(_imp!$H$4:$H$1503,_imp!$C$389))</f>
        <v/>
      </c>
      <c r="G387" s="47">
        <f>IF(_imp!$C$389="","",INDEX(_imp!$I$4:$I$1503,_imp!$C$389))</f>
        <v/>
      </c>
      <c r="K387" s="47">
        <f>IF(_imp!$C$389="","",INDEX(_imp!$J$4:$J$1503,_imp!$C$389))</f>
        <v/>
      </c>
    </row>
    <row r="388">
      <c r="A388" s="47">
        <f>IF(_imp!$C$390="","",INDEX(_imp!$D$4:$D$1503,_imp!$C$390))</f>
        <v/>
      </c>
      <c r="B388" s="47">
        <f>IF(_imp!$C$390="","",INDEX(_imp!$E$4:$E$1503,_imp!$C$390))</f>
        <v/>
      </c>
      <c r="C388" s="47">
        <f>IF(_imp!$C$390="","",INDEX(_imp!$F$4:$F$1503,_imp!$C$390))</f>
        <v/>
      </c>
      <c r="E388" s="47">
        <f>IF(_imp!$C$390="","",INDEX(_imp!$G$4:$G$1503,_imp!$C$390))</f>
        <v/>
      </c>
      <c r="F388" s="47">
        <f>IF(_imp!$C$390="","",INDEX(_imp!$H$4:$H$1503,_imp!$C$390))</f>
        <v/>
      </c>
      <c r="G388" s="47">
        <f>IF(_imp!$C$390="","",INDEX(_imp!$I$4:$I$1503,_imp!$C$390))</f>
        <v/>
      </c>
      <c r="K388" s="47">
        <f>IF(_imp!$C$390="","",INDEX(_imp!$J$4:$J$1503,_imp!$C$390))</f>
        <v/>
      </c>
    </row>
    <row r="389">
      <c r="A389" s="47">
        <f>IF(_imp!$C$391="","",INDEX(_imp!$D$4:$D$1503,_imp!$C$391))</f>
        <v/>
      </c>
      <c r="B389" s="47">
        <f>IF(_imp!$C$391="","",INDEX(_imp!$E$4:$E$1503,_imp!$C$391))</f>
        <v/>
      </c>
      <c r="C389" s="47">
        <f>IF(_imp!$C$391="","",INDEX(_imp!$F$4:$F$1503,_imp!$C$391))</f>
        <v/>
      </c>
      <c r="E389" s="47">
        <f>IF(_imp!$C$391="","",INDEX(_imp!$G$4:$G$1503,_imp!$C$391))</f>
        <v/>
      </c>
      <c r="F389" s="47">
        <f>IF(_imp!$C$391="","",INDEX(_imp!$H$4:$H$1503,_imp!$C$391))</f>
        <v/>
      </c>
      <c r="G389" s="47">
        <f>IF(_imp!$C$391="","",INDEX(_imp!$I$4:$I$1503,_imp!$C$391))</f>
        <v/>
      </c>
      <c r="K389" s="47">
        <f>IF(_imp!$C$391="","",INDEX(_imp!$J$4:$J$1503,_imp!$C$391))</f>
        <v/>
      </c>
    </row>
    <row r="390">
      <c r="A390" s="47">
        <f>IF(_imp!$C$392="","",INDEX(_imp!$D$4:$D$1503,_imp!$C$392))</f>
        <v/>
      </c>
      <c r="B390" s="47">
        <f>IF(_imp!$C$392="","",INDEX(_imp!$E$4:$E$1503,_imp!$C$392))</f>
        <v/>
      </c>
      <c r="C390" s="47">
        <f>IF(_imp!$C$392="","",INDEX(_imp!$F$4:$F$1503,_imp!$C$392))</f>
        <v/>
      </c>
      <c r="E390" s="47">
        <f>IF(_imp!$C$392="","",INDEX(_imp!$G$4:$G$1503,_imp!$C$392))</f>
        <v/>
      </c>
      <c r="F390" s="47">
        <f>IF(_imp!$C$392="","",INDEX(_imp!$H$4:$H$1503,_imp!$C$392))</f>
        <v/>
      </c>
      <c r="G390" s="47">
        <f>IF(_imp!$C$392="","",INDEX(_imp!$I$4:$I$1503,_imp!$C$392))</f>
        <v/>
      </c>
      <c r="K390" s="47">
        <f>IF(_imp!$C$392="","",INDEX(_imp!$J$4:$J$1503,_imp!$C$392))</f>
        <v/>
      </c>
    </row>
    <row r="391">
      <c r="A391" s="47">
        <f>IF(_imp!$C$393="","",INDEX(_imp!$D$4:$D$1503,_imp!$C$393))</f>
        <v/>
      </c>
      <c r="B391" s="47">
        <f>IF(_imp!$C$393="","",INDEX(_imp!$E$4:$E$1503,_imp!$C$393))</f>
        <v/>
      </c>
      <c r="C391" s="47">
        <f>IF(_imp!$C$393="","",INDEX(_imp!$F$4:$F$1503,_imp!$C$393))</f>
        <v/>
      </c>
      <c r="E391" s="47">
        <f>IF(_imp!$C$393="","",INDEX(_imp!$G$4:$G$1503,_imp!$C$393))</f>
        <v/>
      </c>
      <c r="F391" s="47">
        <f>IF(_imp!$C$393="","",INDEX(_imp!$H$4:$H$1503,_imp!$C$393))</f>
        <v/>
      </c>
      <c r="G391" s="47">
        <f>IF(_imp!$C$393="","",INDEX(_imp!$I$4:$I$1503,_imp!$C$393))</f>
        <v/>
      </c>
      <c r="K391" s="47">
        <f>IF(_imp!$C$393="","",INDEX(_imp!$J$4:$J$1503,_imp!$C$393))</f>
        <v/>
      </c>
    </row>
    <row r="392">
      <c r="A392" s="47">
        <f>IF(_imp!$C$394="","",INDEX(_imp!$D$4:$D$1503,_imp!$C$394))</f>
        <v/>
      </c>
      <c r="B392" s="47">
        <f>IF(_imp!$C$394="","",INDEX(_imp!$E$4:$E$1503,_imp!$C$394))</f>
        <v/>
      </c>
      <c r="C392" s="47">
        <f>IF(_imp!$C$394="","",INDEX(_imp!$F$4:$F$1503,_imp!$C$394))</f>
        <v/>
      </c>
      <c r="E392" s="47">
        <f>IF(_imp!$C$394="","",INDEX(_imp!$G$4:$G$1503,_imp!$C$394))</f>
        <v/>
      </c>
      <c r="F392" s="47">
        <f>IF(_imp!$C$394="","",INDEX(_imp!$H$4:$H$1503,_imp!$C$394))</f>
        <v/>
      </c>
      <c r="G392" s="47">
        <f>IF(_imp!$C$394="","",INDEX(_imp!$I$4:$I$1503,_imp!$C$394))</f>
        <v/>
      </c>
      <c r="K392" s="47">
        <f>IF(_imp!$C$394="","",INDEX(_imp!$J$4:$J$1503,_imp!$C$394))</f>
        <v/>
      </c>
    </row>
    <row r="393">
      <c r="A393" s="47">
        <f>IF(_imp!$C$395="","",INDEX(_imp!$D$4:$D$1503,_imp!$C$395))</f>
        <v/>
      </c>
      <c r="B393" s="47">
        <f>IF(_imp!$C$395="","",INDEX(_imp!$E$4:$E$1503,_imp!$C$395))</f>
        <v/>
      </c>
      <c r="C393" s="47">
        <f>IF(_imp!$C$395="","",INDEX(_imp!$F$4:$F$1503,_imp!$C$395))</f>
        <v/>
      </c>
      <c r="E393" s="47">
        <f>IF(_imp!$C$395="","",INDEX(_imp!$G$4:$G$1503,_imp!$C$395))</f>
        <v/>
      </c>
      <c r="F393" s="47">
        <f>IF(_imp!$C$395="","",INDEX(_imp!$H$4:$H$1503,_imp!$C$395))</f>
        <v/>
      </c>
      <c r="G393" s="47">
        <f>IF(_imp!$C$395="","",INDEX(_imp!$I$4:$I$1503,_imp!$C$395))</f>
        <v/>
      </c>
      <c r="K393" s="47">
        <f>IF(_imp!$C$395="","",INDEX(_imp!$J$4:$J$1503,_imp!$C$395))</f>
        <v/>
      </c>
    </row>
    <row r="394">
      <c r="A394" s="47">
        <f>IF(_imp!$C$396="","",INDEX(_imp!$D$4:$D$1503,_imp!$C$396))</f>
        <v/>
      </c>
      <c r="B394" s="47">
        <f>IF(_imp!$C$396="","",INDEX(_imp!$E$4:$E$1503,_imp!$C$396))</f>
        <v/>
      </c>
      <c r="C394" s="47">
        <f>IF(_imp!$C$396="","",INDEX(_imp!$F$4:$F$1503,_imp!$C$396))</f>
        <v/>
      </c>
      <c r="E394" s="47">
        <f>IF(_imp!$C$396="","",INDEX(_imp!$G$4:$G$1503,_imp!$C$396))</f>
        <v/>
      </c>
      <c r="F394" s="47">
        <f>IF(_imp!$C$396="","",INDEX(_imp!$H$4:$H$1503,_imp!$C$396))</f>
        <v/>
      </c>
      <c r="G394" s="47">
        <f>IF(_imp!$C$396="","",INDEX(_imp!$I$4:$I$1503,_imp!$C$396))</f>
        <v/>
      </c>
      <c r="K394" s="47">
        <f>IF(_imp!$C$396="","",INDEX(_imp!$J$4:$J$1503,_imp!$C$396))</f>
        <v/>
      </c>
    </row>
    <row r="395">
      <c r="A395" s="47">
        <f>IF(_imp!$C$397="","",INDEX(_imp!$D$4:$D$1503,_imp!$C$397))</f>
        <v/>
      </c>
      <c r="B395" s="47">
        <f>IF(_imp!$C$397="","",INDEX(_imp!$E$4:$E$1503,_imp!$C$397))</f>
        <v/>
      </c>
      <c r="C395" s="47">
        <f>IF(_imp!$C$397="","",INDEX(_imp!$F$4:$F$1503,_imp!$C$397))</f>
        <v/>
      </c>
      <c r="E395" s="47">
        <f>IF(_imp!$C$397="","",INDEX(_imp!$G$4:$G$1503,_imp!$C$397))</f>
        <v/>
      </c>
      <c r="F395" s="47">
        <f>IF(_imp!$C$397="","",INDEX(_imp!$H$4:$H$1503,_imp!$C$397))</f>
        <v/>
      </c>
      <c r="G395" s="47">
        <f>IF(_imp!$C$397="","",INDEX(_imp!$I$4:$I$1503,_imp!$C$397))</f>
        <v/>
      </c>
      <c r="K395" s="47">
        <f>IF(_imp!$C$397="","",INDEX(_imp!$J$4:$J$1503,_imp!$C$397))</f>
        <v/>
      </c>
    </row>
    <row r="396">
      <c r="A396" s="47">
        <f>IF(_imp!$C$398="","",INDEX(_imp!$D$4:$D$1503,_imp!$C$398))</f>
        <v/>
      </c>
      <c r="B396" s="47">
        <f>IF(_imp!$C$398="","",INDEX(_imp!$E$4:$E$1503,_imp!$C$398))</f>
        <v/>
      </c>
      <c r="C396" s="47">
        <f>IF(_imp!$C$398="","",INDEX(_imp!$F$4:$F$1503,_imp!$C$398))</f>
        <v/>
      </c>
      <c r="E396" s="47">
        <f>IF(_imp!$C$398="","",INDEX(_imp!$G$4:$G$1503,_imp!$C$398))</f>
        <v/>
      </c>
      <c r="F396" s="47">
        <f>IF(_imp!$C$398="","",INDEX(_imp!$H$4:$H$1503,_imp!$C$398))</f>
        <v/>
      </c>
      <c r="G396" s="47">
        <f>IF(_imp!$C$398="","",INDEX(_imp!$I$4:$I$1503,_imp!$C$398))</f>
        <v/>
      </c>
      <c r="K396" s="47">
        <f>IF(_imp!$C$398="","",INDEX(_imp!$J$4:$J$1503,_imp!$C$398))</f>
        <v/>
      </c>
    </row>
    <row r="397">
      <c r="A397" s="47">
        <f>IF(_imp!$C$399="","",INDEX(_imp!$D$4:$D$1503,_imp!$C$399))</f>
        <v/>
      </c>
      <c r="B397" s="47">
        <f>IF(_imp!$C$399="","",INDEX(_imp!$E$4:$E$1503,_imp!$C$399))</f>
        <v/>
      </c>
      <c r="C397" s="47">
        <f>IF(_imp!$C$399="","",INDEX(_imp!$F$4:$F$1503,_imp!$C$399))</f>
        <v/>
      </c>
      <c r="E397" s="47">
        <f>IF(_imp!$C$399="","",INDEX(_imp!$G$4:$G$1503,_imp!$C$399))</f>
        <v/>
      </c>
      <c r="F397" s="47">
        <f>IF(_imp!$C$399="","",INDEX(_imp!$H$4:$H$1503,_imp!$C$399))</f>
        <v/>
      </c>
      <c r="G397" s="47">
        <f>IF(_imp!$C$399="","",INDEX(_imp!$I$4:$I$1503,_imp!$C$399))</f>
        <v/>
      </c>
      <c r="K397" s="47">
        <f>IF(_imp!$C$399="","",INDEX(_imp!$J$4:$J$1503,_imp!$C$399))</f>
        <v/>
      </c>
    </row>
    <row r="398">
      <c r="A398" s="47">
        <f>IF(_imp!$C$400="","",INDEX(_imp!$D$4:$D$1503,_imp!$C$400))</f>
        <v/>
      </c>
      <c r="B398" s="47">
        <f>IF(_imp!$C$400="","",INDEX(_imp!$E$4:$E$1503,_imp!$C$400))</f>
        <v/>
      </c>
      <c r="C398" s="47">
        <f>IF(_imp!$C$400="","",INDEX(_imp!$F$4:$F$1503,_imp!$C$400))</f>
        <v/>
      </c>
      <c r="E398" s="47">
        <f>IF(_imp!$C$400="","",INDEX(_imp!$G$4:$G$1503,_imp!$C$400))</f>
        <v/>
      </c>
      <c r="F398" s="47">
        <f>IF(_imp!$C$400="","",INDEX(_imp!$H$4:$H$1503,_imp!$C$400))</f>
        <v/>
      </c>
      <c r="G398" s="47">
        <f>IF(_imp!$C$400="","",INDEX(_imp!$I$4:$I$1503,_imp!$C$400))</f>
        <v/>
      </c>
      <c r="K398" s="47">
        <f>IF(_imp!$C$400="","",INDEX(_imp!$J$4:$J$1503,_imp!$C$400))</f>
        <v/>
      </c>
    </row>
    <row r="399">
      <c r="A399" s="47">
        <f>IF(_imp!$C$401="","",INDEX(_imp!$D$4:$D$1503,_imp!$C$401))</f>
        <v/>
      </c>
      <c r="B399" s="47">
        <f>IF(_imp!$C$401="","",INDEX(_imp!$E$4:$E$1503,_imp!$C$401))</f>
        <v/>
      </c>
      <c r="C399" s="47">
        <f>IF(_imp!$C$401="","",INDEX(_imp!$F$4:$F$1503,_imp!$C$401))</f>
        <v/>
      </c>
      <c r="E399" s="47">
        <f>IF(_imp!$C$401="","",INDEX(_imp!$G$4:$G$1503,_imp!$C$401))</f>
        <v/>
      </c>
      <c r="F399" s="47">
        <f>IF(_imp!$C$401="","",INDEX(_imp!$H$4:$H$1503,_imp!$C$401))</f>
        <v/>
      </c>
      <c r="G399" s="47">
        <f>IF(_imp!$C$401="","",INDEX(_imp!$I$4:$I$1503,_imp!$C$401))</f>
        <v/>
      </c>
      <c r="K399" s="47">
        <f>IF(_imp!$C$401="","",INDEX(_imp!$J$4:$J$1503,_imp!$C$401))</f>
        <v/>
      </c>
    </row>
    <row r="400">
      <c r="A400" s="47">
        <f>IF(_imp!$C$402="","",INDEX(_imp!$D$4:$D$1503,_imp!$C$402))</f>
        <v/>
      </c>
      <c r="B400" s="47">
        <f>IF(_imp!$C$402="","",INDEX(_imp!$E$4:$E$1503,_imp!$C$402))</f>
        <v/>
      </c>
      <c r="C400" s="47">
        <f>IF(_imp!$C$402="","",INDEX(_imp!$F$4:$F$1503,_imp!$C$402))</f>
        <v/>
      </c>
      <c r="E400" s="47">
        <f>IF(_imp!$C$402="","",INDEX(_imp!$G$4:$G$1503,_imp!$C$402))</f>
        <v/>
      </c>
      <c r="F400" s="47">
        <f>IF(_imp!$C$402="","",INDEX(_imp!$H$4:$H$1503,_imp!$C$402))</f>
        <v/>
      </c>
      <c r="G400" s="47">
        <f>IF(_imp!$C$402="","",INDEX(_imp!$I$4:$I$1503,_imp!$C$402))</f>
        <v/>
      </c>
      <c r="K400" s="47">
        <f>IF(_imp!$C$402="","",INDEX(_imp!$J$4:$J$1503,_imp!$C$402))</f>
        <v/>
      </c>
    </row>
    <row r="401">
      <c r="A401" s="47">
        <f>IF(_imp!$C$403="","",INDEX(_imp!$D$4:$D$1503,_imp!$C$403))</f>
        <v/>
      </c>
      <c r="B401" s="47">
        <f>IF(_imp!$C$403="","",INDEX(_imp!$E$4:$E$1503,_imp!$C$403))</f>
        <v/>
      </c>
      <c r="C401" s="47">
        <f>IF(_imp!$C$403="","",INDEX(_imp!$F$4:$F$1503,_imp!$C$403))</f>
        <v/>
      </c>
      <c r="E401" s="47">
        <f>IF(_imp!$C$403="","",INDEX(_imp!$G$4:$G$1503,_imp!$C$403))</f>
        <v/>
      </c>
      <c r="F401" s="47">
        <f>IF(_imp!$C$403="","",INDEX(_imp!$H$4:$H$1503,_imp!$C$403))</f>
        <v/>
      </c>
      <c r="G401" s="47">
        <f>IF(_imp!$C$403="","",INDEX(_imp!$I$4:$I$1503,_imp!$C$403))</f>
        <v/>
      </c>
      <c r="K401" s="47">
        <f>IF(_imp!$C$403="","",INDEX(_imp!$J$4:$J$1503,_imp!$C$403))</f>
        <v/>
      </c>
    </row>
    <row r="402">
      <c r="A402" s="47">
        <f>IF(_imp!$C$404="","",INDEX(_imp!$D$4:$D$1503,_imp!$C$404))</f>
        <v/>
      </c>
      <c r="B402" s="47">
        <f>IF(_imp!$C$404="","",INDEX(_imp!$E$4:$E$1503,_imp!$C$404))</f>
        <v/>
      </c>
      <c r="C402" s="47">
        <f>IF(_imp!$C$404="","",INDEX(_imp!$F$4:$F$1503,_imp!$C$404))</f>
        <v/>
      </c>
      <c r="E402" s="47">
        <f>IF(_imp!$C$404="","",INDEX(_imp!$G$4:$G$1503,_imp!$C$404))</f>
        <v/>
      </c>
      <c r="F402" s="47">
        <f>IF(_imp!$C$404="","",INDEX(_imp!$H$4:$H$1503,_imp!$C$404))</f>
        <v/>
      </c>
      <c r="G402" s="47">
        <f>IF(_imp!$C$404="","",INDEX(_imp!$I$4:$I$1503,_imp!$C$404))</f>
        <v/>
      </c>
      <c r="K402" s="47">
        <f>IF(_imp!$C$404="","",INDEX(_imp!$J$4:$J$1503,_imp!$C$404))</f>
        <v/>
      </c>
    </row>
    <row r="403">
      <c r="A403" s="47">
        <f>IF(_imp!$C$405="","",INDEX(_imp!$D$4:$D$1503,_imp!$C$405))</f>
        <v/>
      </c>
      <c r="B403" s="47">
        <f>IF(_imp!$C$405="","",INDEX(_imp!$E$4:$E$1503,_imp!$C$405))</f>
        <v/>
      </c>
      <c r="C403" s="47">
        <f>IF(_imp!$C$405="","",INDEX(_imp!$F$4:$F$1503,_imp!$C$405))</f>
        <v/>
      </c>
      <c r="E403" s="47">
        <f>IF(_imp!$C$405="","",INDEX(_imp!$G$4:$G$1503,_imp!$C$405))</f>
        <v/>
      </c>
      <c r="F403" s="47">
        <f>IF(_imp!$C$405="","",INDEX(_imp!$H$4:$H$1503,_imp!$C$405))</f>
        <v/>
      </c>
      <c r="G403" s="47">
        <f>IF(_imp!$C$405="","",INDEX(_imp!$I$4:$I$1503,_imp!$C$405))</f>
        <v/>
      </c>
      <c r="K403" s="47">
        <f>IF(_imp!$C$405="","",INDEX(_imp!$J$4:$J$1503,_imp!$C$405))</f>
        <v/>
      </c>
    </row>
    <row r="404">
      <c r="A404" s="47">
        <f>IF(_imp!$C$406="","",INDEX(_imp!$D$4:$D$1503,_imp!$C$406))</f>
        <v/>
      </c>
      <c r="B404" s="47">
        <f>IF(_imp!$C$406="","",INDEX(_imp!$E$4:$E$1503,_imp!$C$406))</f>
        <v/>
      </c>
      <c r="C404" s="47">
        <f>IF(_imp!$C$406="","",INDEX(_imp!$F$4:$F$1503,_imp!$C$406))</f>
        <v/>
      </c>
      <c r="E404" s="47">
        <f>IF(_imp!$C$406="","",INDEX(_imp!$G$4:$G$1503,_imp!$C$406))</f>
        <v/>
      </c>
      <c r="F404" s="47">
        <f>IF(_imp!$C$406="","",INDEX(_imp!$H$4:$H$1503,_imp!$C$406))</f>
        <v/>
      </c>
      <c r="G404" s="47">
        <f>IF(_imp!$C$406="","",INDEX(_imp!$I$4:$I$1503,_imp!$C$406))</f>
        <v/>
      </c>
      <c r="K404" s="47">
        <f>IF(_imp!$C$406="","",INDEX(_imp!$J$4:$J$1503,_imp!$C$406))</f>
        <v/>
      </c>
    </row>
    <row r="405">
      <c r="A405" s="47">
        <f>IF(_imp!$C$407="","",INDEX(_imp!$D$4:$D$1503,_imp!$C$407))</f>
        <v/>
      </c>
      <c r="B405" s="47">
        <f>IF(_imp!$C$407="","",INDEX(_imp!$E$4:$E$1503,_imp!$C$407))</f>
        <v/>
      </c>
      <c r="C405" s="47">
        <f>IF(_imp!$C$407="","",INDEX(_imp!$F$4:$F$1503,_imp!$C$407))</f>
        <v/>
      </c>
      <c r="E405" s="47">
        <f>IF(_imp!$C$407="","",INDEX(_imp!$G$4:$G$1503,_imp!$C$407))</f>
        <v/>
      </c>
      <c r="F405" s="47">
        <f>IF(_imp!$C$407="","",INDEX(_imp!$H$4:$H$1503,_imp!$C$407))</f>
        <v/>
      </c>
      <c r="G405" s="47">
        <f>IF(_imp!$C$407="","",INDEX(_imp!$I$4:$I$1503,_imp!$C$407))</f>
        <v/>
      </c>
      <c r="K405" s="47">
        <f>IF(_imp!$C$407="","",INDEX(_imp!$J$4:$J$1503,_imp!$C$407))</f>
        <v/>
      </c>
    </row>
    <row r="406">
      <c r="A406" s="47">
        <f>IF(_imp!$C$408="","",INDEX(_imp!$D$4:$D$1503,_imp!$C$408))</f>
        <v/>
      </c>
      <c r="B406" s="47">
        <f>IF(_imp!$C$408="","",INDEX(_imp!$E$4:$E$1503,_imp!$C$408))</f>
        <v/>
      </c>
      <c r="C406" s="47">
        <f>IF(_imp!$C$408="","",INDEX(_imp!$F$4:$F$1503,_imp!$C$408))</f>
        <v/>
      </c>
      <c r="E406" s="47">
        <f>IF(_imp!$C$408="","",INDEX(_imp!$G$4:$G$1503,_imp!$C$408))</f>
        <v/>
      </c>
      <c r="F406" s="47">
        <f>IF(_imp!$C$408="","",INDEX(_imp!$H$4:$H$1503,_imp!$C$408))</f>
        <v/>
      </c>
      <c r="G406" s="47">
        <f>IF(_imp!$C$408="","",INDEX(_imp!$I$4:$I$1503,_imp!$C$408))</f>
        <v/>
      </c>
      <c r="K406" s="47">
        <f>IF(_imp!$C$408="","",INDEX(_imp!$J$4:$J$1503,_imp!$C$408))</f>
        <v/>
      </c>
    </row>
    <row r="407">
      <c r="A407" s="47">
        <f>IF(_imp!$C$409="","",INDEX(_imp!$D$4:$D$1503,_imp!$C$409))</f>
        <v/>
      </c>
      <c r="B407" s="47">
        <f>IF(_imp!$C$409="","",INDEX(_imp!$E$4:$E$1503,_imp!$C$409))</f>
        <v/>
      </c>
      <c r="C407" s="47">
        <f>IF(_imp!$C$409="","",INDEX(_imp!$F$4:$F$1503,_imp!$C$409))</f>
        <v/>
      </c>
      <c r="E407" s="47">
        <f>IF(_imp!$C$409="","",INDEX(_imp!$G$4:$G$1503,_imp!$C$409))</f>
        <v/>
      </c>
      <c r="F407" s="47">
        <f>IF(_imp!$C$409="","",INDEX(_imp!$H$4:$H$1503,_imp!$C$409))</f>
        <v/>
      </c>
      <c r="G407" s="47">
        <f>IF(_imp!$C$409="","",INDEX(_imp!$I$4:$I$1503,_imp!$C$409))</f>
        <v/>
      </c>
      <c r="K407" s="47">
        <f>IF(_imp!$C$409="","",INDEX(_imp!$J$4:$J$1503,_imp!$C$409))</f>
        <v/>
      </c>
    </row>
    <row r="408">
      <c r="A408" s="47">
        <f>IF(_imp!$C$410="","",INDEX(_imp!$D$4:$D$1503,_imp!$C$410))</f>
        <v/>
      </c>
      <c r="B408" s="47">
        <f>IF(_imp!$C$410="","",INDEX(_imp!$E$4:$E$1503,_imp!$C$410))</f>
        <v/>
      </c>
      <c r="C408" s="47">
        <f>IF(_imp!$C$410="","",INDEX(_imp!$F$4:$F$1503,_imp!$C$410))</f>
        <v/>
      </c>
      <c r="E408" s="47">
        <f>IF(_imp!$C$410="","",INDEX(_imp!$G$4:$G$1503,_imp!$C$410))</f>
        <v/>
      </c>
      <c r="F408" s="47">
        <f>IF(_imp!$C$410="","",INDEX(_imp!$H$4:$H$1503,_imp!$C$410))</f>
        <v/>
      </c>
      <c r="G408" s="47">
        <f>IF(_imp!$C$410="","",INDEX(_imp!$I$4:$I$1503,_imp!$C$410))</f>
        <v/>
      </c>
      <c r="K408" s="47">
        <f>IF(_imp!$C$410="","",INDEX(_imp!$J$4:$J$1503,_imp!$C$410))</f>
        <v/>
      </c>
    </row>
    <row r="409">
      <c r="A409" s="47">
        <f>IF(_imp!$C$411="","",INDEX(_imp!$D$4:$D$1503,_imp!$C$411))</f>
        <v/>
      </c>
      <c r="B409" s="47">
        <f>IF(_imp!$C$411="","",INDEX(_imp!$E$4:$E$1503,_imp!$C$411))</f>
        <v/>
      </c>
      <c r="C409" s="47">
        <f>IF(_imp!$C$411="","",INDEX(_imp!$F$4:$F$1503,_imp!$C$411))</f>
        <v/>
      </c>
      <c r="E409" s="47">
        <f>IF(_imp!$C$411="","",INDEX(_imp!$G$4:$G$1503,_imp!$C$411))</f>
        <v/>
      </c>
      <c r="F409" s="47">
        <f>IF(_imp!$C$411="","",INDEX(_imp!$H$4:$H$1503,_imp!$C$411))</f>
        <v/>
      </c>
      <c r="G409" s="47">
        <f>IF(_imp!$C$411="","",INDEX(_imp!$I$4:$I$1503,_imp!$C$411))</f>
        <v/>
      </c>
      <c r="K409" s="47">
        <f>IF(_imp!$C$411="","",INDEX(_imp!$J$4:$J$1503,_imp!$C$411))</f>
        <v/>
      </c>
    </row>
    <row r="410">
      <c r="A410" s="47">
        <f>IF(_imp!$C$412="","",INDEX(_imp!$D$4:$D$1503,_imp!$C$412))</f>
        <v/>
      </c>
      <c r="B410" s="47">
        <f>IF(_imp!$C$412="","",INDEX(_imp!$E$4:$E$1503,_imp!$C$412))</f>
        <v/>
      </c>
      <c r="C410" s="47">
        <f>IF(_imp!$C$412="","",INDEX(_imp!$F$4:$F$1503,_imp!$C$412))</f>
        <v/>
      </c>
      <c r="E410" s="47">
        <f>IF(_imp!$C$412="","",INDEX(_imp!$G$4:$G$1503,_imp!$C$412))</f>
        <v/>
      </c>
      <c r="F410" s="47">
        <f>IF(_imp!$C$412="","",INDEX(_imp!$H$4:$H$1503,_imp!$C$412))</f>
        <v/>
      </c>
      <c r="G410" s="47">
        <f>IF(_imp!$C$412="","",INDEX(_imp!$I$4:$I$1503,_imp!$C$412))</f>
        <v/>
      </c>
      <c r="K410" s="47">
        <f>IF(_imp!$C$412="","",INDEX(_imp!$J$4:$J$1503,_imp!$C$412))</f>
        <v/>
      </c>
    </row>
    <row r="411">
      <c r="A411" s="47">
        <f>IF(_imp!$C$413="","",INDEX(_imp!$D$4:$D$1503,_imp!$C$413))</f>
        <v/>
      </c>
      <c r="B411" s="47">
        <f>IF(_imp!$C$413="","",INDEX(_imp!$E$4:$E$1503,_imp!$C$413))</f>
        <v/>
      </c>
      <c r="C411" s="47">
        <f>IF(_imp!$C$413="","",INDEX(_imp!$F$4:$F$1503,_imp!$C$413))</f>
        <v/>
      </c>
      <c r="E411" s="47">
        <f>IF(_imp!$C$413="","",INDEX(_imp!$G$4:$G$1503,_imp!$C$413))</f>
        <v/>
      </c>
      <c r="F411" s="47">
        <f>IF(_imp!$C$413="","",INDEX(_imp!$H$4:$H$1503,_imp!$C$413))</f>
        <v/>
      </c>
      <c r="G411" s="47">
        <f>IF(_imp!$C$413="","",INDEX(_imp!$I$4:$I$1503,_imp!$C$413))</f>
        <v/>
      </c>
      <c r="K411" s="47">
        <f>IF(_imp!$C$413="","",INDEX(_imp!$J$4:$J$1503,_imp!$C$413))</f>
        <v/>
      </c>
    </row>
    <row r="412">
      <c r="A412" s="47">
        <f>IF(_imp!$C$414="","",INDEX(_imp!$D$4:$D$1503,_imp!$C$414))</f>
        <v/>
      </c>
      <c r="B412" s="47">
        <f>IF(_imp!$C$414="","",INDEX(_imp!$E$4:$E$1503,_imp!$C$414))</f>
        <v/>
      </c>
      <c r="C412" s="47">
        <f>IF(_imp!$C$414="","",INDEX(_imp!$F$4:$F$1503,_imp!$C$414))</f>
        <v/>
      </c>
      <c r="E412" s="47">
        <f>IF(_imp!$C$414="","",INDEX(_imp!$G$4:$G$1503,_imp!$C$414))</f>
        <v/>
      </c>
      <c r="F412" s="47">
        <f>IF(_imp!$C$414="","",INDEX(_imp!$H$4:$H$1503,_imp!$C$414))</f>
        <v/>
      </c>
      <c r="G412" s="47">
        <f>IF(_imp!$C$414="","",INDEX(_imp!$I$4:$I$1503,_imp!$C$414))</f>
        <v/>
      </c>
      <c r="K412" s="47">
        <f>IF(_imp!$C$414="","",INDEX(_imp!$J$4:$J$1503,_imp!$C$414))</f>
        <v/>
      </c>
    </row>
    <row r="413">
      <c r="A413" s="47">
        <f>IF(_imp!$C$415="","",INDEX(_imp!$D$4:$D$1503,_imp!$C$415))</f>
        <v/>
      </c>
      <c r="B413" s="47">
        <f>IF(_imp!$C$415="","",INDEX(_imp!$E$4:$E$1503,_imp!$C$415))</f>
        <v/>
      </c>
      <c r="C413" s="47">
        <f>IF(_imp!$C$415="","",INDEX(_imp!$F$4:$F$1503,_imp!$C$415))</f>
        <v/>
      </c>
      <c r="E413" s="47">
        <f>IF(_imp!$C$415="","",INDEX(_imp!$G$4:$G$1503,_imp!$C$415))</f>
        <v/>
      </c>
      <c r="F413" s="47">
        <f>IF(_imp!$C$415="","",INDEX(_imp!$H$4:$H$1503,_imp!$C$415))</f>
        <v/>
      </c>
      <c r="G413" s="47">
        <f>IF(_imp!$C$415="","",INDEX(_imp!$I$4:$I$1503,_imp!$C$415))</f>
        <v/>
      </c>
      <c r="K413" s="47">
        <f>IF(_imp!$C$415="","",INDEX(_imp!$J$4:$J$1503,_imp!$C$415))</f>
        <v/>
      </c>
    </row>
    <row r="414">
      <c r="A414" s="47">
        <f>IF(_imp!$C$416="","",INDEX(_imp!$D$4:$D$1503,_imp!$C$416))</f>
        <v/>
      </c>
      <c r="B414" s="47">
        <f>IF(_imp!$C$416="","",INDEX(_imp!$E$4:$E$1503,_imp!$C$416))</f>
        <v/>
      </c>
      <c r="C414" s="47">
        <f>IF(_imp!$C$416="","",INDEX(_imp!$F$4:$F$1503,_imp!$C$416))</f>
        <v/>
      </c>
      <c r="E414" s="47">
        <f>IF(_imp!$C$416="","",INDEX(_imp!$G$4:$G$1503,_imp!$C$416))</f>
        <v/>
      </c>
      <c r="F414" s="47">
        <f>IF(_imp!$C$416="","",INDEX(_imp!$H$4:$H$1503,_imp!$C$416))</f>
        <v/>
      </c>
      <c r="G414" s="47">
        <f>IF(_imp!$C$416="","",INDEX(_imp!$I$4:$I$1503,_imp!$C$416))</f>
        <v/>
      </c>
      <c r="K414" s="47">
        <f>IF(_imp!$C$416="","",INDEX(_imp!$J$4:$J$1503,_imp!$C$416))</f>
        <v/>
      </c>
    </row>
    <row r="415">
      <c r="A415" s="47">
        <f>IF(_imp!$C$417="","",INDEX(_imp!$D$4:$D$1503,_imp!$C$417))</f>
        <v/>
      </c>
      <c r="B415" s="47">
        <f>IF(_imp!$C$417="","",INDEX(_imp!$E$4:$E$1503,_imp!$C$417))</f>
        <v/>
      </c>
      <c r="C415" s="47">
        <f>IF(_imp!$C$417="","",INDEX(_imp!$F$4:$F$1503,_imp!$C$417))</f>
        <v/>
      </c>
      <c r="E415" s="47">
        <f>IF(_imp!$C$417="","",INDEX(_imp!$G$4:$G$1503,_imp!$C$417))</f>
        <v/>
      </c>
      <c r="F415" s="47">
        <f>IF(_imp!$C$417="","",INDEX(_imp!$H$4:$H$1503,_imp!$C$417))</f>
        <v/>
      </c>
      <c r="G415" s="47">
        <f>IF(_imp!$C$417="","",INDEX(_imp!$I$4:$I$1503,_imp!$C$417))</f>
        <v/>
      </c>
      <c r="K415" s="47">
        <f>IF(_imp!$C$417="","",INDEX(_imp!$J$4:$J$1503,_imp!$C$417))</f>
        <v/>
      </c>
    </row>
    <row r="416">
      <c r="A416" s="47">
        <f>IF(_imp!$C$418="","",INDEX(_imp!$D$4:$D$1503,_imp!$C$418))</f>
        <v/>
      </c>
      <c r="B416" s="47">
        <f>IF(_imp!$C$418="","",INDEX(_imp!$E$4:$E$1503,_imp!$C$418))</f>
        <v/>
      </c>
      <c r="C416" s="47">
        <f>IF(_imp!$C$418="","",INDEX(_imp!$F$4:$F$1503,_imp!$C$418))</f>
        <v/>
      </c>
      <c r="E416" s="47">
        <f>IF(_imp!$C$418="","",INDEX(_imp!$G$4:$G$1503,_imp!$C$418))</f>
        <v/>
      </c>
      <c r="F416" s="47">
        <f>IF(_imp!$C$418="","",INDEX(_imp!$H$4:$H$1503,_imp!$C$418))</f>
        <v/>
      </c>
      <c r="G416" s="47">
        <f>IF(_imp!$C$418="","",INDEX(_imp!$I$4:$I$1503,_imp!$C$418))</f>
        <v/>
      </c>
      <c r="K416" s="47">
        <f>IF(_imp!$C$418="","",INDEX(_imp!$J$4:$J$1503,_imp!$C$418))</f>
        <v/>
      </c>
    </row>
    <row r="417">
      <c r="A417" s="47">
        <f>IF(_imp!$C$419="","",INDEX(_imp!$D$4:$D$1503,_imp!$C$419))</f>
        <v/>
      </c>
      <c r="B417" s="47">
        <f>IF(_imp!$C$419="","",INDEX(_imp!$E$4:$E$1503,_imp!$C$419))</f>
        <v/>
      </c>
      <c r="C417" s="47">
        <f>IF(_imp!$C$419="","",INDEX(_imp!$F$4:$F$1503,_imp!$C$419))</f>
        <v/>
      </c>
      <c r="E417" s="47">
        <f>IF(_imp!$C$419="","",INDEX(_imp!$G$4:$G$1503,_imp!$C$419))</f>
        <v/>
      </c>
      <c r="F417" s="47">
        <f>IF(_imp!$C$419="","",INDEX(_imp!$H$4:$H$1503,_imp!$C$419))</f>
        <v/>
      </c>
      <c r="G417" s="47">
        <f>IF(_imp!$C$419="","",INDEX(_imp!$I$4:$I$1503,_imp!$C$419))</f>
        <v/>
      </c>
      <c r="K417" s="47">
        <f>IF(_imp!$C$419="","",INDEX(_imp!$J$4:$J$1503,_imp!$C$419))</f>
        <v/>
      </c>
    </row>
    <row r="418">
      <c r="A418" s="47">
        <f>IF(_imp!$C$420="","",INDEX(_imp!$D$4:$D$1503,_imp!$C$420))</f>
        <v/>
      </c>
      <c r="B418" s="47">
        <f>IF(_imp!$C$420="","",INDEX(_imp!$E$4:$E$1503,_imp!$C$420))</f>
        <v/>
      </c>
      <c r="C418" s="47">
        <f>IF(_imp!$C$420="","",INDEX(_imp!$F$4:$F$1503,_imp!$C$420))</f>
        <v/>
      </c>
      <c r="E418" s="47">
        <f>IF(_imp!$C$420="","",INDEX(_imp!$G$4:$G$1503,_imp!$C$420))</f>
        <v/>
      </c>
      <c r="F418" s="47">
        <f>IF(_imp!$C$420="","",INDEX(_imp!$H$4:$H$1503,_imp!$C$420))</f>
        <v/>
      </c>
      <c r="G418" s="47">
        <f>IF(_imp!$C$420="","",INDEX(_imp!$I$4:$I$1503,_imp!$C$420))</f>
        <v/>
      </c>
      <c r="K418" s="47">
        <f>IF(_imp!$C$420="","",INDEX(_imp!$J$4:$J$1503,_imp!$C$420))</f>
        <v/>
      </c>
    </row>
    <row r="419">
      <c r="A419" s="47">
        <f>IF(_imp!$C$421="","",INDEX(_imp!$D$4:$D$1503,_imp!$C$421))</f>
        <v/>
      </c>
      <c r="B419" s="47">
        <f>IF(_imp!$C$421="","",INDEX(_imp!$E$4:$E$1503,_imp!$C$421))</f>
        <v/>
      </c>
      <c r="C419" s="47">
        <f>IF(_imp!$C$421="","",INDEX(_imp!$F$4:$F$1503,_imp!$C$421))</f>
        <v/>
      </c>
      <c r="E419" s="47">
        <f>IF(_imp!$C$421="","",INDEX(_imp!$G$4:$G$1503,_imp!$C$421))</f>
        <v/>
      </c>
      <c r="F419" s="47">
        <f>IF(_imp!$C$421="","",INDEX(_imp!$H$4:$H$1503,_imp!$C$421))</f>
        <v/>
      </c>
      <c r="G419" s="47">
        <f>IF(_imp!$C$421="","",INDEX(_imp!$I$4:$I$1503,_imp!$C$421))</f>
        <v/>
      </c>
      <c r="K419" s="47">
        <f>IF(_imp!$C$421="","",INDEX(_imp!$J$4:$J$1503,_imp!$C$421))</f>
        <v/>
      </c>
    </row>
    <row r="420">
      <c r="A420" s="47">
        <f>IF(_imp!$C$422="","",INDEX(_imp!$D$4:$D$1503,_imp!$C$422))</f>
        <v/>
      </c>
      <c r="B420" s="47">
        <f>IF(_imp!$C$422="","",INDEX(_imp!$E$4:$E$1503,_imp!$C$422))</f>
        <v/>
      </c>
      <c r="C420" s="47">
        <f>IF(_imp!$C$422="","",INDEX(_imp!$F$4:$F$1503,_imp!$C$422))</f>
        <v/>
      </c>
      <c r="E420" s="47">
        <f>IF(_imp!$C$422="","",INDEX(_imp!$G$4:$G$1503,_imp!$C$422))</f>
        <v/>
      </c>
      <c r="F420" s="47">
        <f>IF(_imp!$C$422="","",INDEX(_imp!$H$4:$H$1503,_imp!$C$422))</f>
        <v/>
      </c>
      <c r="G420" s="47">
        <f>IF(_imp!$C$422="","",INDEX(_imp!$I$4:$I$1503,_imp!$C$422))</f>
        <v/>
      </c>
      <c r="K420" s="47">
        <f>IF(_imp!$C$422="","",INDEX(_imp!$J$4:$J$1503,_imp!$C$422))</f>
        <v/>
      </c>
    </row>
    <row r="421">
      <c r="A421" s="47">
        <f>IF(_imp!$C$423="","",INDEX(_imp!$D$4:$D$1503,_imp!$C$423))</f>
        <v/>
      </c>
      <c r="B421" s="47">
        <f>IF(_imp!$C$423="","",INDEX(_imp!$E$4:$E$1503,_imp!$C$423))</f>
        <v/>
      </c>
      <c r="C421" s="47">
        <f>IF(_imp!$C$423="","",INDEX(_imp!$F$4:$F$1503,_imp!$C$423))</f>
        <v/>
      </c>
      <c r="E421" s="47">
        <f>IF(_imp!$C$423="","",INDEX(_imp!$G$4:$G$1503,_imp!$C$423))</f>
        <v/>
      </c>
      <c r="F421" s="47">
        <f>IF(_imp!$C$423="","",INDEX(_imp!$H$4:$H$1503,_imp!$C$423))</f>
        <v/>
      </c>
      <c r="G421" s="47">
        <f>IF(_imp!$C$423="","",INDEX(_imp!$I$4:$I$1503,_imp!$C$423))</f>
        <v/>
      </c>
      <c r="K421" s="47">
        <f>IF(_imp!$C$423="","",INDEX(_imp!$J$4:$J$1503,_imp!$C$423))</f>
        <v/>
      </c>
    </row>
    <row r="422">
      <c r="A422" s="47">
        <f>IF(_imp!$C$424="","",INDEX(_imp!$D$4:$D$1503,_imp!$C$424))</f>
        <v/>
      </c>
      <c r="B422" s="47">
        <f>IF(_imp!$C$424="","",INDEX(_imp!$E$4:$E$1503,_imp!$C$424))</f>
        <v/>
      </c>
      <c r="C422" s="47">
        <f>IF(_imp!$C$424="","",INDEX(_imp!$F$4:$F$1503,_imp!$C$424))</f>
        <v/>
      </c>
      <c r="E422" s="47">
        <f>IF(_imp!$C$424="","",INDEX(_imp!$G$4:$G$1503,_imp!$C$424))</f>
        <v/>
      </c>
      <c r="F422" s="47">
        <f>IF(_imp!$C$424="","",INDEX(_imp!$H$4:$H$1503,_imp!$C$424))</f>
        <v/>
      </c>
      <c r="G422" s="47">
        <f>IF(_imp!$C$424="","",INDEX(_imp!$I$4:$I$1503,_imp!$C$424))</f>
        <v/>
      </c>
      <c r="K422" s="47">
        <f>IF(_imp!$C$424="","",INDEX(_imp!$J$4:$J$1503,_imp!$C$424))</f>
        <v/>
      </c>
    </row>
    <row r="423">
      <c r="A423" s="47">
        <f>IF(_imp!$C$425="","",INDEX(_imp!$D$4:$D$1503,_imp!$C$425))</f>
        <v/>
      </c>
      <c r="B423" s="47">
        <f>IF(_imp!$C$425="","",INDEX(_imp!$E$4:$E$1503,_imp!$C$425))</f>
        <v/>
      </c>
      <c r="C423" s="47">
        <f>IF(_imp!$C$425="","",INDEX(_imp!$F$4:$F$1503,_imp!$C$425))</f>
        <v/>
      </c>
      <c r="E423" s="47">
        <f>IF(_imp!$C$425="","",INDEX(_imp!$G$4:$G$1503,_imp!$C$425))</f>
        <v/>
      </c>
      <c r="F423" s="47">
        <f>IF(_imp!$C$425="","",INDEX(_imp!$H$4:$H$1503,_imp!$C$425))</f>
        <v/>
      </c>
      <c r="G423" s="47">
        <f>IF(_imp!$C$425="","",INDEX(_imp!$I$4:$I$1503,_imp!$C$425))</f>
        <v/>
      </c>
      <c r="K423" s="47">
        <f>IF(_imp!$C$425="","",INDEX(_imp!$J$4:$J$1503,_imp!$C$425))</f>
        <v/>
      </c>
    </row>
    <row r="424">
      <c r="A424" s="47">
        <f>IF(_imp!$C$426="","",INDEX(_imp!$D$4:$D$1503,_imp!$C$426))</f>
        <v/>
      </c>
      <c r="B424" s="47">
        <f>IF(_imp!$C$426="","",INDEX(_imp!$E$4:$E$1503,_imp!$C$426))</f>
        <v/>
      </c>
      <c r="C424" s="47">
        <f>IF(_imp!$C$426="","",INDEX(_imp!$F$4:$F$1503,_imp!$C$426))</f>
        <v/>
      </c>
      <c r="E424" s="47">
        <f>IF(_imp!$C$426="","",INDEX(_imp!$G$4:$G$1503,_imp!$C$426))</f>
        <v/>
      </c>
      <c r="F424" s="47">
        <f>IF(_imp!$C$426="","",INDEX(_imp!$H$4:$H$1503,_imp!$C$426))</f>
        <v/>
      </c>
      <c r="G424" s="47">
        <f>IF(_imp!$C$426="","",INDEX(_imp!$I$4:$I$1503,_imp!$C$426))</f>
        <v/>
      </c>
      <c r="K424" s="47">
        <f>IF(_imp!$C$426="","",INDEX(_imp!$J$4:$J$1503,_imp!$C$426))</f>
        <v/>
      </c>
    </row>
    <row r="425">
      <c r="A425" s="47">
        <f>IF(_imp!$C$427="","",INDEX(_imp!$D$4:$D$1503,_imp!$C$427))</f>
        <v/>
      </c>
      <c r="B425" s="47">
        <f>IF(_imp!$C$427="","",INDEX(_imp!$E$4:$E$1503,_imp!$C$427))</f>
        <v/>
      </c>
      <c r="C425" s="47">
        <f>IF(_imp!$C$427="","",INDEX(_imp!$F$4:$F$1503,_imp!$C$427))</f>
        <v/>
      </c>
      <c r="E425" s="47">
        <f>IF(_imp!$C$427="","",INDEX(_imp!$G$4:$G$1503,_imp!$C$427))</f>
        <v/>
      </c>
      <c r="F425" s="47">
        <f>IF(_imp!$C$427="","",INDEX(_imp!$H$4:$H$1503,_imp!$C$427))</f>
        <v/>
      </c>
      <c r="G425" s="47">
        <f>IF(_imp!$C$427="","",INDEX(_imp!$I$4:$I$1503,_imp!$C$427))</f>
        <v/>
      </c>
      <c r="K425" s="47">
        <f>IF(_imp!$C$427="","",INDEX(_imp!$J$4:$J$1503,_imp!$C$427))</f>
        <v/>
      </c>
    </row>
    <row r="426">
      <c r="A426" s="47">
        <f>IF(_imp!$C$428="","",INDEX(_imp!$D$4:$D$1503,_imp!$C$428))</f>
        <v/>
      </c>
      <c r="B426" s="47">
        <f>IF(_imp!$C$428="","",INDEX(_imp!$E$4:$E$1503,_imp!$C$428))</f>
        <v/>
      </c>
      <c r="C426" s="47">
        <f>IF(_imp!$C$428="","",INDEX(_imp!$F$4:$F$1503,_imp!$C$428))</f>
        <v/>
      </c>
      <c r="E426" s="47">
        <f>IF(_imp!$C$428="","",INDEX(_imp!$G$4:$G$1503,_imp!$C$428))</f>
        <v/>
      </c>
      <c r="F426" s="47">
        <f>IF(_imp!$C$428="","",INDEX(_imp!$H$4:$H$1503,_imp!$C$428))</f>
        <v/>
      </c>
      <c r="G426" s="47">
        <f>IF(_imp!$C$428="","",INDEX(_imp!$I$4:$I$1503,_imp!$C$428))</f>
        <v/>
      </c>
      <c r="K426" s="47">
        <f>IF(_imp!$C$428="","",INDEX(_imp!$J$4:$J$1503,_imp!$C$428))</f>
        <v/>
      </c>
    </row>
    <row r="427">
      <c r="A427" s="47">
        <f>IF(_imp!$C$429="","",INDEX(_imp!$D$4:$D$1503,_imp!$C$429))</f>
        <v/>
      </c>
      <c r="B427" s="47">
        <f>IF(_imp!$C$429="","",INDEX(_imp!$E$4:$E$1503,_imp!$C$429))</f>
        <v/>
      </c>
      <c r="C427" s="47">
        <f>IF(_imp!$C$429="","",INDEX(_imp!$F$4:$F$1503,_imp!$C$429))</f>
        <v/>
      </c>
      <c r="E427" s="47">
        <f>IF(_imp!$C$429="","",INDEX(_imp!$G$4:$G$1503,_imp!$C$429))</f>
        <v/>
      </c>
      <c r="F427" s="47">
        <f>IF(_imp!$C$429="","",INDEX(_imp!$H$4:$H$1503,_imp!$C$429))</f>
        <v/>
      </c>
      <c r="G427" s="47">
        <f>IF(_imp!$C$429="","",INDEX(_imp!$I$4:$I$1503,_imp!$C$429))</f>
        <v/>
      </c>
      <c r="K427" s="47">
        <f>IF(_imp!$C$429="","",INDEX(_imp!$J$4:$J$1503,_imp!$C$429))</f>
        <v/>
      </c>
    </row>
    <row r="428">
      <c r="A428" s="47">
        <f>IF(_imp!$C$430="","",INDEX(_imp!$D$4:$D$1503,_imp!$C$430))</f>
        <v/>
      </c>
      <c r="B428" s="47">
        <f>IF(_imp!$C$430="","",INDEX(_imp!$E$4:$E$1503,_imp!$C$430))</f>
        <v/>
      </c>
      <c r="C428" s="47">
        <f>IF(_imp!$C$430="","",INDEX(_imp!$F$4:$F$1503,_imp!$C$430))</f>
        <v/>
      </c>
      <c r="E428" s="47">
        <f>IF(_imp!$C$430="","",INDEX(_imp!$G$4:$G$1503,_imp!$C$430))</f>
        <v/>
      </c>
      <c r="F428" s="47">
        <f>IF(_imp!$C$430="","",INDEX(_imp!$H$4:$H$1503,_imp!$C$430))</f>
        <v/>
      </c>
      <c r="G428" s="47">
        <f>IF(_imp!$C$430="","",INDEX(_imp!$I$4:$I$1503,_imp!$C$430))</f>
        <v/>
      </c>
      <c r="K428" s="47">
        <f>IF(_imp!$C$430="","",INDEX(_imp!$J$4:$J$1503,_imp!$C$430))</f>
        <v/>
      </c>
    </row>
    <row r="429">
      <c r="A429" s="47">
        <f>IF(_imp!$C$431="","",INDEX(_imp!$D$4:$D$1503,_imp!$C$431))</f>
        <v/>
      </c>
      <c r="B429" s="47">
        <f>IF(_imp!$C$431="","",INDEX(_imp!$E$4:$E$1503,_imp!$C$431))</f>
        <v/>
      </c>
      <c r="C429" s="47">
        <f>IF(_imp!$C$431="","",INDEX(_imp!$F$4:$F$1503,_imp!$C$431))</f>
        <v/>
      </c>
      <c r="E429" s="47">
        <f>IF(_imp!$C$431="","",INDEX(_imp!$G$4:$G$1503,_imp!$C$431))</f>
        <v/>
      </c>
      <c r="F429" s="47">
        <f>IF(_imp!$C$431="","",INDEX(_imp!$H$4:$H$1503,_imp!$C$431))</f>
        <v/>
      </c>
      <c r="G429" s="47">
        <f>IF(_imp!$C$431="","",INDEX(_imp!$I$4:$I$1503,_imp!$C$431))</f>
        <v/>
      </c>
      <c r="K429" s="47">
        <f>IF(_imp!$C$431="","",INDEX(_imp!$J$4:$J$1503,_imp!$C$431))</f>
        <v/>
      </c>
    </row>
    <row r="430">
      <c r="A430" s="47">
        <f>IF(_imp!$C$432="","",INDEX(_imp!$D$4:$D$1503,_imp!$C$432))</f>
        <v/>
      </c>
      <c r="B430" s="47">
        <f>IF(_imp!$C$432="","",INDEX(_imp!$E$4:$E$1503,_imp!$C$432))</f>
        <v/>
      </c>
      <c r="C430" s="47">
        <f>IF(_imp!$C$432="","",INDEX(_imp!$F$4:$F$1503,_imp!$C$432))</f>
        <v/>
      </c>
      <c r="E430" s="47">
        <f>IF(_imp!$C$432="","",INDEX(_imp!$G$4:$G$1503,_imp!$C$432))</f>
        <v/>
      </c>
      <c r="F430" s="47">
        <f>IF(_imp!$C$432="","",INDEX(_imp!$H$4:$H$1503,_imp!$C$432))</f>
        <v/>
      </c>
      <c r="G430" s="47">
        <f>IF(_imp!$C$432="","",INDEX(_imp!$I$4:$I$1503,_imp!$C$432))</f>
        <v/>
      </c>
      <c r="K430" s="47">
        <f>IF(_imp!$C$432="","",INDEX(_imp!$J$4:$J$1503,_imp!$C$432))</f>
        <v/>
      </c>
    </row>
    <row r="431">
      <c r="A431" s="47">
        <f>IF(_imp!$C$433="","",INDEX(_imp!$D$4:$D$1503,_imp!$C$433))</f>
        <v/>
      </c>
      <c r="B431" s="47">
        <f>IF(_imp!$C$433="","",INDEX(_imp!$E$4:$E$1503,_imp!$C$433))</f>
        <v/>
      </c>
      <c r="C431" s="47">
        <f>IF(_imp!$C$433="","",INDEX(_imp!$F$4:$F$1503,_imp!$C$433))</f>
        <v/>
      </c>
      <c r="E431" s="47">
        <f>IF(_imp!$C$433="","",INDEX(_imp!$G$4:$G$1503,_imp!$C$433))</f>
        <v/>
      </c>
      <c r="F431" s="47">
        <f>IF(_imp!$C$433="","",INDEX(_imp!$H$4:$H$1503,_imp!$C$433))</f>
        <v/>
      </c>
      <c r="G431" s="47">
        <f>IF(_imp!$C$433="","",INDEX(_imp!$I$4:$I$1503,_imp!$C$433))</f>
        <v/>
      </c>
      <c r="K431" s="47">
        <f>IF(_imp!$C$433="","",INDEX(_imp!$J$4:$J$1503,_imp!$C$433))</f>
        <v/>
      </c>
    </row>
    <row r="432">
      <c r="A432" s="47">
        <f>IF(_imp!$C$434="","",INDEX(_imp!$D$4:$D$1503,_imp!$C$434))</f>
        <v/>
      </c>
      <c r="B432" s="47">
        <f>IF(_imp!$C$434="","",INDEX(_imp!$E$4:$E$1503,_imp!$C$434))</f>
        <v/>
      </c>
      <c r="C432" s="47">
        <f>IF(_imp!$C$434="","",INDEX(_imp!$F$4:$F$1503,_imp!$C$434))</f>
        <v/>
      </c>
      <c r="E432" s="47">
        <f>IF(_imp!$C$434="","",INDEX(_imp!$G$4:$G$1503,_imp!$C$434))</f>
        <v/>
      </c>
      <c r="F432" s="47">
        <f>IF(_imp!$C$434="","",INDEX(_imp!$H$4:$H$1503,_imp!$C$434))</f>
        <v/>
      </c>
      <c r="G432" s="47">
        <f>IF(_imp!$C$434="","",INDEX(_imp!$I$4:$I$1503,_imp!$C$434))</f>
        <v/>
      </c>
      <c r="K432" s="47">
        <f>IF(_imp!$C$434="","",INDEX(_imp!$J$4:$J$1503,_imp!$C$434))</f>
        <v/>
      </c>
    </row>
    <row r="433">
      <c r="A433" s="47">
        <f>IF(_imp!$C$435="","",INDEX(_imp!$D$4:$D$1503,_imp!$C$435))</f>
        <v/>
      </c>
      <c r="B433" s="47">
        <f>IF(_imp!$C$435="","",INDEX(_imp!$E$4:$E$1503,_imp!$C$435))</f>
        <v/>
      </c>
      <c r="C433" s="47">
        <f>IF(_imp!$C$435="","",INDEX(_imp!$F$4:$F$1503,_imp!$C$435))</f>
        <v/>
      </c>
      <c r="E433" s="47">
        <f>IF(_imp!$C$435="","",INDEX(_imp!$G$4:$G$1503,_imp!$C$435))</f>
        <v/>
      </c>
      <c r="F433" s="47">
        <f>IF(_imp!$C$435="","",INDEX(_imp!$H$4:$H$1503,_imp!$C$435))</f>
        <v/>
      </c>
      <c r="G433" s="47">
        <f>IF(_imp!$C$435="","",INDEX(_imp!$I$4:$I$1503,_imp!$C$435))</f>
        <v/>
      </c>
      <c r="K433" s="47">
        <f>IF(_imp!$C$435="","",INDEX(_imp!$J$4:$J$1503,_imp!$C$435))</f>
        <v/>
      </c>
    </row>
    <row r="434">
      <c r="A434" s="47">
        <f>IF(_imp!$C$436="","",INDEX(_imp!$D$4:$D$1503,_imp!$C$436))</f>
        <v/>
      </c>
      <c r="B434" s="47">
        <f>IF(_imp!$C$436="","",INDEX(_imp!$E$4:$E$1503,_imp!$C$436))</f>
        <v/>
      </c>
      <c r="C434" s="47">
        <f>IF(_imp!$C$436="","",INDEX(_imp!$F$4:$F$1503,_imp!$C$436))</f>
        <v/>
      </c>
      <c r="E434" s="47">
        <f>IF(_imp!$C$436="","",INDEX(_imp!$G$4:$G$1503,_imp!$C$436))</f>
        <v/>
      </c>
      <c r="F434" s="47">
        <f>IF(_imp!$C$436="","",INDEX(_imp!$H$4:$H$1503,_imp!$C$436))</f>
        <v/>
      </c>
      <c r="G434" s="47">
        <f>IF(_imp!$C$436="","",INDEX(_imp!$I$4:$I$1503,_imp!$C$436))</f>
        <v/>
      </c>
      <c r="K434" s="47">
        <f>IF(_imp!$C$436="","",INDEX(_imp!$J$4:$J$1503,_imp!$C$436))</f>
        <v/>
      </c>
    </row>
    <row r="435">
      <c r="A435" s="47">
        <f>IF(_imp!$C$437="","",INDEX(_imp!$D$4:$D$1503,_imp!$C$437))</f>
        <v/>
      </c>
      <c r="B435" s="47">
        <f>IF(_imp!$C$437="","",INDEX(_imp!$E$4:$E$1503,_imp!$C$437))</f>
        <v/>
      </c>
      <c r="C435" s="47">
        <f>IF(_imp!$C$437="","",INDEX(_imp!$F$4:$F$1503,_imp!$C$437))</f>
        <v/>
      </c>
      <c r="E435" s="47">
        <f>IF(_imp!$C$437="","",INDEX(_imp!$G$4:$G$1503,_imp!$C$437))</f>
        <v/>
      </c>
      <c r="F435" s="47">
        <f>IF(_imp!$C$437="","",INDEX(_imp!$H$4:$H$1503,_imp!$C$437))</f>
        <v/>
      </c>
      <c r="G435" s="47">
        <f>IF(_imp!$C$437="","",INDEX(_imp!$I$4:$I$1503,_imp!$C$437))</f>
        <v/>
      </c>
      <c r="K435" s="47">
        <f>IF(_imp!$C$437="","",INDEX(_imp!$J$4:$J$1503,_imp!$C$437))</f>
        <v/>
      </c>
    </row>
    <row r="436">
      <c r="A436" s="47">
        <f>IF(_imp!$C$438="","",INDEX(_imp!$D$4:$D$1503,_imp!$C$438))</f>
        <v/>
      </c>
      <c r="B436" s="47">
        <f>IF(_imp!$C$438="","",INDEX(_imp!$E$4:$E$1503,_imp!$C$438))</f>
        <v/>
      </c>
      <c r="C436" s="47">
        <f>IF(_imp!$C$438="","",INDEX(_imp!$F$4:$F$1503,_imp!$C$438))</f>
        <v/>
      </c>
      <c r="E436" s="47">
        <f>IF(_imp!$C$438="","",INDEX(_imp!$G$4:$G$1503,_imp!$C$438))</f>
        <v/>
      </c>
      <c r="F436" s="47">
        <f>IF(_imp!$C$438="","",INDEX(_imp!$H$4:$H$1503,_imp!$C$438))</f>
        <v/>
      </c>
      <c r="G436" s="47">
        <f>IF(_imp!$C$438="","",INDEX(_imp!$I$4:$I$1503,_imp!$C$438))</f>
        <v/>
      </c>
      <c r="K436" s="47">
        <f>IF(_imp!$C$438="","",INDEX(_imp!$J$4:$J$1503,_imp!$C$438))</f>
        <v/>
      </c>
    </row>
    <row r="437">
      <c r="A437" s="47">
        <f>IF(_imp!$C$439="","",INDEX(_imp!$D$4:$D$1503,_imp!$C$439))</f>
        <v/>
      </c>
      <c r="B437" s="47">
        <f>IF(_imp!$C$439="","",INDEX(_imp!$E$4:$E$1503,_imp!$C$439))</f>
        <v/>
      </c>
      <c r="C437" s="47">
        <f>IF(_imp!$C$439="","",INDEX(_imp!$F$4:$F$1503,_imp!$C$439))</f>
        <v/>
      </c>
      <c r="E437" s="47">
        <f>IF(_imp!$C$439="","",INDEX(_imp!$G$4:$G$1503,_imp!$C$439))</f>
        <v/>
      </c>
      <c r="F437" s="47">
        <f>IF(_imp!$C$439="","",INDEX(_imp!$H$4:$H$1503,_imp!$C$439))</f>
        <v/>
      </c>
      <c r="G437" s="47">
        <f>IF(_imp!$C$439="","",INDEX(_imp!$I$4:$I$1503,_imp!$C$439))</f>
        <v/>
      </c>
      <c r="K437" s="47">
        <f>IF(_imp!$C$439="","",INDEX(_imp!$J$4:$J$1503,_imp!$C$439))</f>
        <v/>
      </c>
    </row>
    <row r="438">
      <c r="A438" s="47">
        <f>IF(_imp!$C$440="","",INDEX(_imp!$D$4:$D$1503,_imp!$C$440))</f>
        <v/>
      </c>
      <c r="B438" s="47">
        <f>IF(_imp!$C$440="","",INDEX(_imp!$E$4:$E$1503,_imp!$C$440))</f>
        <v/>
      </c>
      <c r="C438" s="47">
        <f>IF(_imp!$C$440="","",INDEX(_imp!$F$4:$F$1503,_imp!$C$440))</f>
        <v/>
      </c>
      <c r="E438" s="47">
        <f>IF(_imp!$C$440="","",INDEX(_imp!$G$4:$G$1503,_imp!$C$440))</f>
        <v/>
      </c>
      <c r="F438" s="47">
        <f>IF(_imp!$C$440="","",INDEX(_imp!$H$4:$H$1503,_imp!$C$440))</f>
        <v/>
      </c>
      <c r="G438" s="47">
        <f>IF(_imp!$C$440="","",INDEX(_imp!$I$4:$I$1503,_imp!$C$440))</f>
        <v/>
      </c>
      <c r="K438" s="47">
        <f>IF(_imp!$C$440="","",INDEX(_imp!$J$4:$J$1503,_imp!$C$440))</f>
        <v/>
      </c>
    </row>
    <row r="439">
      <c r="A439" s="47">
        <f>IF(_imp!$C$441="","",INDEX(_imp!$D$4:$D$1503,_imp!$C$441))</f>
        <v/>
      </c>
      <c r="B439" s="47">
        <f>IF(_imp!$C$441="","",INDEX(_imp!$E$4:$E$1503,_imp!$C$441))</f>
        <v/>
      </c>
      <c r="C439" s="47">
        <f>IF(_imp!$C$441="","",INDEX(_imp!$F$4:$F$1503,_imp!$C$441))</f>
        <v/>
      </c>
      <c r="E439" s="47">
        <f>IF(_imp!$C$441="","",INDEX(_imp!$G$4:$G$1503,_imp!$C$441))</f>
        <v/>
      </c>
      <c r="F439" s="47">
        <f>IF(_imp!$C$441="","",INDEX(_imp!$H$4:$H$1503,_imp!$C$441))</f>
        <v/>
      </c>
      <c r="G439" s="47">
        <f>IF(_imp!$C$441="","",INDEX(_imp!$I$4:$I$1503,_imp!$C$441))</f>
        <v/>
      </c>
      <c r="K439" s="47">
        <f>IF(_imp!$C$441="","",INDEX(_imp!$J$4:$J$1503,_imp!$C$441))</f>
        <v/>
      </c>
    </row>
    <row r="440">
      <c r="A440" s="47">
        <f>IF(_imp!$C$442="","",INDEX(_imp!$D$4:$D$1503,_imp!$C$442))</f>
        <v/>
      </c>
      <c r="B440" s="47">
        <f>IF(_imp!$C$442="","",INDEX(_imp!$E$4:$E$1503,_imp!$C$442))</f>
        <v/>
      </c>
      <c r="C440" s="47">
        <f>IF(_imp!$C$442="","",INDEX(_imp!$F$4:$F$1503,_imp!$C$442))</f>
        <v/>
      </c>
      <c r="E440" s="47">
        <f>IF(_imp!$C$442="","",INDEX(_imp!$G$4:$G$1503,_imp!$C$442))</f>
        <v/>
      </c>
      <c r="F440" s="47">
        <f>IF(_imp!$C$442="","",INDEX(_imp!$H$4:$H$1503,_imp!$C$442))</f>
        <v/>
      </c>
      <c r="G440" s="47">
        <f>IF(_imp!$C$442="","",INDEX(_imp!$I$4:$I$1503,_imp!$C$442))</f>
        <v/>
      </c>
      <c r="K440" s="47">
        <f>IF(_imp!$C$442="","",INDEX(_imp!$J$4:$J$1503,_imp!$C$442))</f>
        <v/>
      </c>
    </row>
    <row r="441">
      <c r="A441" s="47">
        <f>IF(_imp!$C$443="","",INDEX(_imp!$D$4:$D$1503,_imp!$C$443))</f>
        <v/>
      </c>
      <c r="B441" s="47">
        <f>IF(_imp!$C$443="","",INDEX(_imp!$E$4:$E$1503,_imp!$C$443))</f>
        <v/>
      </c>
      <c r="C441" s="47">
        <f>IF(_imp!$C$443="","",INDEX(_imp!$F$4:$F$1503,_imp!$C$443))</f>
        <v/>
      </c>
      <c r="E441" s="47">
        <f>IF(_imp!$C$443="","",INDEX(_imp!$G$4:$G$1503,_imp!$C$443))</f>
        <v/>
      </c>
      <c r="F441" s="47">
        <f>IF(_imp!$C$443="","",INDEX(_imp!$H$4:$H$1503,_imp!$C$443))</f>
        <v/>
      </c>
      <c r="G441" s="47">
        <f>IF(_imp!$C$443="","",INDEX(_imp!$I$4:$I$1503,_imp!$C$443))</f>
        <v/>
      </c>
      <c r="K441" s="47">
        <f>IF(_imp!$C$443="","",INDEX(_imp!$J$4:$J$1503,_imp!$C$443))</f>
        <v/>
      </c>
    </row>
    <row r="442">
      <c r="A442" s="47">
        <f>IF(_imp!$C$444="","",INDEX(_imp!$D$4:$D$1503,_imp!$C$444))</f>
        <v/>
      </c>
      <c r="B442" s="47">
        <f>IF(_imp!$C$444="","",INDEX(_imp!$E$4:$E$1503,_imp!$C$444))</f>
        <v/>
      </c>
      <c r="C442" s="47">
        <f>IF(_imp!$C$444="","",INDEX(_imp!$F$4:$F$1503,_imp!$C$444))</f>
        <v/>
      </c>
      <c r="E442" s="47">
        <f>IF(_imp!$C$444="","",INDEX(_imp!$G$4:$G$1503,_imp!$C$444))</f>
        <v/>
      </c>
      <c r="F442" s="47">
        <f>IF(_imp!$C$444="","",INDEX(_imp!$H$4:$H$1503,_imp!$C$444))</f>
        <v/>
      </c>
      <c r="G442" s="47">
        <f>IF(_imp!$C$444="","",INDEX(_imp!$I$4:$I$1503,_imp!$C$444))</f>
        <v/>
      </c>
      <c r="K442" s="47">
        <f>IF(_imp!$C$444="","",INDEX(_imp!$J$4:$J$1503,_imp!$C$444))</f>
        <v/>
      </c>
    </row>
    <row r="443">
      <c r="A443" s="47">
        <f>IF(_imp!$C$445="","",INDEX(_imp!$D$4:$D$1503,_imp!$C$445))</f>
        <v/>
      </c>
      <c r="B443" s="47">
        <f>IF(_imp!$C$445="","",INDEX(_imp!$E$4:$E$1503,_imp!$C$445))</f>
        <v/>
      </c>
      <c r="C443" s="47">
        <f>IF(_imp!$C$445="","",INDEX(_imp!$F$4:$F$1503,_imp!$C$445))</f>
        <v/>
      </c>
      <c r="E443" s="47">
        <f>IF(_imp!$C$445="","",INDEX(_imp!$G$4:$G$1503,_imp!$C$445))</f>
        <v/>
      </c>
      <c r="F443" s="47">
        <f>IF(_imp!$C$445="","",INDEX(_imp!$H$4:$H$1503,_imp!$C$445))</f>
        <v/>
      </c>
      <c r="G443" s="47">
        <f>IF(_imp!$C$445="","",INDEX(_imp!$I$4:$I$1503,_imp!$C$445))</f>
        <v/>
      </c>
      <c r="K443" s="47">
        <f>IF(_imp!$C$445="","",INDEX(_imp!$J$4:$J$1503,_imp!$C$445))</f>
        <v/>
      </c>
    </row>
    <row r="444">
      <c r="A444" s="47">
        <f>IF(_imp!$C$446="","",INDEX(_imp!$D$4:$D$1503,_imp!$C$446))</f>
        <v/>
      </c>
      <c r="B444" s="47">
        <f>IF(_imp!$C$446="","",INDEX(_imp!$E$4:$E$1503,_imp!$C$446))</f>
        <v/>
      </c>
      <c r="C444" s="47">
        <f>IF(_imp!$C$446="","",INDEX(_imp!$F$4:$F$1503,_imp!$C$446))</f>
        <v/>
      </c>
      <c r="E444" s="47">
        <f>IF(_imp!$C$446="","",INDEX(_imp!$G$4:$G$1503,_imp!$C$446))</f>
        <v/>
      </c>
      <c r="F444" s="47">
        <f>IF(_imp!$C$446="","",INDEX(_imp!$H$4:$H$1503,_imp!$C$446))</f>
        <v/>
      </c>
      <c r="G444" s="47">
        <f>IF(_imp!$C$446="","",INDEX(_imp!$I$4:$I$1503,_imp!$C$446))</f>
        <v/>
      </c>
      <c r="K444" s="47">
        <f>IF(_imp!$C$446="","",INDEX(_imp!$J$4:$J$1503,_imp!$C$446))</f>
        <v/>
      </c>
    </row>
    <row r="445">
      <c r="A445" s="47">
        <f>IF(_imp!$C$447="","",INDEX(_imp!$D$4:$D$1503,_imp!$C$447))</f>
        <v/>
      </c>
      <c r="B445" s="47">
        <f>IF(_imp!$C$447="","",INDEX(_imp!$E$4:$E$1503,_imp!$C$447))</f>
        <v/>
      </c>
      <c r="C445" s="47">
        <f>IF(_imp!$C$447="","",INDEX(_imp!$F$4:$F$1503,_imp!$C$447))</f>
        <v/>
      </c>
      <c r="E445" s="47">
        <f>IF(_imp!$C$447="","",INDEX(_imp!$G$4:$G$1503,_imp!$C$447))</f>
        <v/>
      </c>
      <c r="F445" s="47">
        <f>IF(_imp!$C$447="","",INDEX(_imp!$H$4:$H$1503,_imp!$C$447))</f>
        <v/>
      </c>
      <c r="G445" s="47">
        <f>IF(_imp!$C$447="","",INDEX(_imp!$I$4:$I$1503,_imp!$C$447))</f>
        <v/>
      </c>
      <c r="K445" s="47">
        <f>IF(_imp!$C$447="","",INDEX(_imp!$J$4:$J$1503,_imp!$C$447))</f>
        <v/>
      </c>
    </row>
    <row r="446">
      <c r="A446" s="47">
        <f>IF(_imp!$C$448="","",INDEX(_imp!$D$4:$D$1503,_imp!$C$448))</f>
        <v/>
      </c>
      <c r="B446" s="47">
        <f>IF(_imp!$C$448="","",INDEX(_imp!$E$4:$E$1503,_imp!$C$448))</f>
        <v/>
      </c>
      <c r="C446" s="47">
        <f>IF(_imp!$C$448="","",INDEX(_imp!$F$4:$F$1503,_imp!$C$448))</f>
        <v/>
      </c>
      <c r="E446" s="47">
        <f>IF(_imp!$C$448="","",INDEX(_imp!$G$4:$G$1503,_imp!$C$448))</f>
        <v/>
      </c>
      <c r="F446" s="47">
        <f>IF(_imp!$C$448="","",INDEX(_imp!$H$4:$H$1503,_imp!$C$448))</f>
        <v/>
      </c>
      <c r="G446" s="47">
        <f>IF(_imp!$C$448="","",INDEX(_imp!$I$4:$I$1503,_imp!$C$448))</f>
        <v/>
      </c>
      <c r="K446" s="47">
        <f>IF(_imp!$C$448="","",INDEX(_imp!$J$4:$J$1503,_imp!$C$448))</f>
        <v/>
      </c>
    </row>
    <row r="447">
      <c r="A447" s="47">
        <f>IF(_imp!$C$449="","",INDEX(_imp!$D$4:$D$1503,_imp!$C$449))</f>
        <v/>
      </c>
      <c r="B447" s="47">
        <f>IF(_imp!$C$449="","",INDEX(_imp!$E$4:$E$1503,_imp!$C$449))</f>
        <v/>
      </c>
      <c r="C447" s="47">
        <f>IF(_imp!$C$449="","",INDEX(_imp!$F$4:$F$1503,_imp!$C$449))</f>
        <v/>
      </c>
      <c r="E447" s="47">
        <f>IF(_imp!$C$449="","",INDEX(_imp!$G$4:$G$1503,_imp!$C$449))</f>
        <v/>
      </c>
      <c r="F447" s="47">
        <f>IF(_imp!$C$449="","",INDEX(_imp!$H$4:$H$1503,_imp!$C$449))</f>
        <v/>
      </c>
      <c r="G447" s="47">
        <f>IF(_imp!$C$449="","",INDEX(_imp!$I$4:$I$1503,_imp!$C$449))</f>
        <v/>
      </c>
      <c r="K447" s="47">
        <f>IF(_imp!$C$449="","",INDEX(_imp!$J$4:$J$1503,_imp!$C$449))</f>
        <v/>
      </c>
    </row>
    <row r="448">
      <c r="A448" s="47">
        <f>IF(_imp!$C$450="","",INDEX(_imp!$D$4:$D$1503,_imp!$C$450))</f>
        <v/>
      </c>
      <c r="B448" s="47">
        <f>IF(_imp!$C$450="","",INDEX(_imp!$E$4:$E$1503,_imp!$C$450))</f>
        <v/>
      </c>
      <c r="C448" s="47">
        <f>IF(_imp!$C$450="","",INDEX(_imp!$F$4:$F$1503,_imp!$C$450))</f>
        <v/>
      </c>
      <c r="E448" s="47">
        <f>IF(_imp!$C$450="","",INDEX(_imp!$G$4:$G$1503,_imp!$C$450))</f>
        <v/>
      </c>
      <c r="F448" s="47">
        <f>IF(_imp!$C$450="","",INDEX(_imp!$H$4:$H$1503,_imp!$C$450))</f>
        <v/>
      </c>
      <c r="G448" s="47">
        <f>IF(_imp!$C$450="","",INDEX(_imp!$I$4:$I$1503,_imp!$C$450))</f>
        <v/>
      </c>
      <c r="K448" s="47">
        <f>IF(_imp!$C$450="","",INDEX(_imp!$J$4:$J$1503,_imp!$C$450))</f>
        <v/>
      </c>
    </row>
    <row r="449">
      <c r="A449" s="47">
        <f>IF(_imp!$C$451="","",INDEX(_imp!$D$4:$D$1503,_imp!$C$451))</f>
        <v/>
      </c>
      <c r="B449" s="47">
        <f>IF(_imp!$C$451="","",INDEX(_imp!$E$4:$E$1503,_imp!$C$451))</f>
        <v/>
      </c>
      <c r="C449" s="47">
        <f>IF(_imp!$C$451="","",INDEX(_imp!$F$4:$F$1503,_imp!$C$451))</f>
        <v/>
      </c>
      <c r="E449" s="47">
        <f>IF(_imp!$C$451="","",INDEX(_imp!$G$4:$G$1503,_imp!$C$451))</f>
        <v/>
      </c>
      <c r="F449" s="47">
        <f>IF(_imp!$C$451="","",INDEX(_imp!$H$4:$H$1503,_imp!$C$451))</f>
        <v/>
      </c>
      <c r="G449" s="47">
        <f>IF(_imp!$C$451="","",INDEX(_imp!$I$4:$I$1503,_imp!$C$451))</f>
        <v/>
      </c>
      <c r="K449" s="47">
        <f>IF(_imp!$C$451="","",INDEX(_imp!$J$4:$J$1503,_imp!$C$451))</f>
        <v/>
      </c>
    </row>
    <row r="450">
      <c r="A450" s="47">
        <f>IF(_imp!$C$452="","",INDEX(_imp!$D$4:$D$1503,_imp!$C$452))</f>
        <v/>
      </c>
      <c r="B450" s="47">
        <f>IF(_imp!$C$452="","",INDEX(_imp!$E$4:$E$1503,_imp!$C$452))</f>
        <v/>
      </c>
      <c r="C450" s="47">
        <f>IF(_imp!$C$452="","",INDEX(_imp!$F$4:$F$1503,_imp!$C$452))</f>
        <v/>
      </c>
      <c r="E450" s="47">
        <f>IF(_imp!$C$452="","",INDEX(_imp!$G$4:$G$1503,_imp!$C$452))</f>
        <v/>
      </c>
      <c r="F450" s="47">
        <f>IF(_imp!$C$452="","",INDEX(_imp!$H$4:$H$1503,_imp!$C$452))</f>
        <v/>
      </c>
      <c r="G450" s="47">
        <f>IF(_imp!$C$452="","",INDEX(_imp!$I$4:$I$1503,_imp!$C$452))</f>
        <v/>
      </c>
      <c r="K450" s="47">
        <f>IF(_imp!$C$452="","",INDEX(_imp!$J$4:$J$1503,_imp!$C$452))</f>
        <v/>
      </c>
    </row>
    <row r="451">
      <c r="A451" s="47">
        <f>IF(_imp!$C$453="","",INDEX(_imp!$D$4:$D$1503,_imp!$C$453))</f>
        <v/>
      </c>
      <c r="B451" s="47">
        <f>IF(_imp!$C$453="","",INDEX(_imp!$E$4:$E$1503,_imp!$C$453))</f>
        <v/>
      </c>
      <c r="C451" s="47">
        <f>IF(_imp!$C$453="","",INDEX(_imp!$F$4:$F$1503,_imp!$C$453))</f>
        <v/>
      </c>
      <c r="E451" s="47">
        <f>IF(_imp!$C$453="","",INDEX(_imp!$G$4:$G$1503,_imp!$C$453))</f>
        <v/>
      </c>
      <c r="F451" s="47">
        <f>IF(_imp!$C$453="","",INDEX(_imp!$H$4:$H$1503,_imp!$C$453))</f>
        <v/>
      </c>
      <c r="G451" s="47">
        <f>IF(_imp!$C$453="","",INDEX(_imp!$I$4:$I$1503,_imp!$C$453))</f>
        <v/>
      </c>
      <c r="K451" s="47">
        <f>IF(_imp!$C$453="","",INDEX(_imp!$J$4:$J$1503,_imp!$C$453))</f>
        <v/>
      </c>
    </row>
    <row r="452">
      <c r="A452" s="47">
        <f>IF(_imp!$C$454="","",INDEX(_imp!$D$4:$D$1503,_imp!$C$454))</f>
        <v/>
      </c>
      <c r="B452" s="47">
        <f>IF(_imp!$C$454="","",INDEX(_imp!$E$4:$E$1503,_imp!$C$454))</f>
        <v/>
      </c>
      <c r="C452" s="47">
        <f>IF(_imp!$C$454="","",INDEX(_imp!$F$4:$F$1503,_imp!$C$454))</f>
        <v/>
      </c>
      <c r="E452" s="47">
        <f>IF(_imp!$C$454="","",INDEX(_imp!$G$4:$G$1503,_imp!$C$454))</f>
        <v/>
      </c>
      <c r="F452" s="47">
        <f>IF(_imp!$C$454="","",INDEX(_imp!$H$4:$H$1503,_imp!$C$454))</f>
        <v/>
      </c>
      <c r="G452" s="47">
        <f>IF(_imp!$C$454="","",INDEX(_imp!$I$4:$I$1503,_imp!$C$454))</f>
        <v/>
      </c>
      <c r="K452" s="47">
        <f>IF(_imp!$C$454="","",INDEX(_imp!$J$4:$J$1503,_imp!$C$454))</f>
        <v/>
      </c>
    </row>
    <row r="453">
      <c r="A453" s="47">
        <f>IF(_imp!$C$455="","",INDEX(_imp!$D$4:$D$1503,_imp!$C$455))</f>
        <v/>
      </c>
      <c r="B453" s="47">
        <f>IF(_imp!$C$455="","",INDEX(_imp!$E$4:$E$1503,_imp!$C$455))</f>
        <v/>
      </c>
      <c r="C453" s="47">
        <f>IF(_imp!$C$455="","",INDEX(_imp!$F$4:$F$1503,_imp!$C$455))</f>
        <v/>
      </c>
      <c r="E453" s="47">
        <f>IF(_imp!$C$455="","",INDEX(_imp!$G$4:$G$1503,_imp!$C$455))</f>
        <v/>
      </c>
      <c r="F453" s="47">
        <f>IF(_imp!$C$455="","",INDEX(_imp!$H$4:$H$1503,_imp!$C$455))</f>
        <v/>
      </c>
      <c r="G453" s="47">
        <f>IF(_imp!$C$455="","",INDEX(_imp!$I$4:$I$1503,_imp!$C$455))</f>
        <v/>
      </c>
      <c r="K453" s="47">
        <f>IF(_imp!$C$455="","",INDEX(_imp!$J$4:$J$1503,_imp!$C$455))</f>
        <v/>
      </c>
    </row>
    <row r="454">
      <c r="A454" s="47">
        <f>IF(_imp!$C$456="","",INDEX(_imp!$D$4:$D$1503,_imp!$C$456))</f>
        <v/>
      </c>
      <c r="B454" s="47">
        <f>IF(_imp!$C$456="","",INDEX(_imp!$E$4:$E$1503,_imp!$C$456))</f>
        <v/>
      </c>
      <c r="C454" s="47">
        <f>IF(_imp!$C$456="","",INDEX(_imp!$F$4:$F$1503,_imp!$C$456))</f>
        <v/>
      </c>
      <c r="E454" s="47">
        <f>IF(_imp!$C$456="","",INDEX(_imp!$G$4:$G$1503,_imp!$C$456))</f>
        <v/>
      </c>
      <c r="F454" s="47">
        <f>IF(_imp!$C$456="","",INDEX(_imp!$H$4:$H$1503,_imp!$C$456))</f>
        <v/>
      </c>
      <c r="G454" s="47">
        <f>IF(_imp!$C$456="","",INDEX(_imp!$I$4:$I$1503,_imp!$C$456))</f>
        <v/>
      </c>
      <c r="K454" s="47">
        <f>IF(_imp!$C$456="","",INDEX(_imp!$J$4:$J$1503,_imp!$C$456))</f>
        <v/>
      </c>
    </row>
    <row r="455">
      <c r="A455" s="47">
        <f>IF(_imp!$C$457="","",INDEX(_imp!$D$4:$D$1503,_imp!$C$457))</f>
        <v/>
      </c>
      <c r="B455" s="47">
        <f>IF(_imp!$C$457="","",INDEX(_imp!$E$4:$E$1503,_imp!$C$457))</f>
        <v/>
      </c>
      <c r="C455" s="47">
        <f>IF(_imp!$C$457="","",INDEX(_imp!$F$4:$F$1503,_imp!$C$457))</f>
        <v/>
      </c>
      <c r="E455" s="47">
        <f>IF(_imp!$C$457="","",INDEX(_imp!$G$4:$G$1503,_imp!$C$457))</f>
        <v/>
      </c>
      <c r="F455" s="47">
        <f>IF(_imp!$C$457="","",INDEX(_imp!$H$4:$H$1503,_imp!$C$457))</f>
        <v/>
      </c>
      <c r="G455" s="47">
        <f>IF(_imp!$C$457="","",INDEX(_imp!$I$4:$I$1503,_imp!$C$457))</f>
        <v/>
      </c>
      <c r="K455" s="47">
        <f>IF(_imp!$C$457="","",INDEX(_imp!$J$4:$J$1503,_imp!$C$457))</f>
        <v/>
      </c>
    </row>
    <row r="456">
      <c r="A456" s="47">
        <f>IF(_imp!$C$458="","",INDEX(_imp!$D$4:$D$1503,_imp!$C$458))</f>
        <v/>
      </c>
      <c r="B456" s="47">
        <f>IF(_imp!$C$458="","",INDEX(_imp!$E$4:$E$1503,_imp!$C$458))</f>
        <v/>
      </c>
      <c r="C456" s="47">
        <f>IF(_imp!$C$458="","",INDEX(_imp!$F$4:$F$1503,_imp!$C$458))</f>
        <v/>
      </c>
      <c r="E456" s="47">
        <f>IF(_imp!$C$458="","",INDEX(_imp!$G$4:$G$1503,_imp!$C$458))</f>
        <v/>
      </c>
      <c r="F456" s="47">
        <f>IF(_imp!$C$458="","",INDEX(_imp!$H$4:$H$1503,_imp!$C$458))</f>
        <v/>
      </c>
      <c r="G456" s="47">
        <f>IF(_imp!$C$458="","",INDEX(_imp!$I$4:$I$1503,_imp!$C$458))</f>
        <v/>
      </c>
      <c r="K456" s="47">
        <f>IF(_imp!$C$458="","",INDEX(_imp!$J$4:$J$1503,_imp!$C$458))</f>
        <v/>
      </c>
    </row>
    <row r="457">
      <c r="A457" s="47">
        <f>IF(_imp!$C$459="","",INDEX(_imp!$D$4:$D$1503,_imp!$C$459))</f>
        <v/>
      </c>
      <c r="B457" s="47">
        <f>IF(_imp!$C$459="","",INDEX(_imp!$E$4:$E$1503,_imp!$C$459))</f>
        <v/>
      </c>
      <c r="C457" s="47">
        <f>IF(_imp!$C$459="","",INDEX(_imp!$F$4:$F$1503,_imp!$C$459))</f>
        <v/>
      </c>
      <c r="E457" s="47">
        <f>IF(_imp!$C$459="","",INDEX(_imp!$G$4:$G$1503,_imp!$C$459))</f>
        <v/>
      </c>
      <c r="F457" s="47">
        <f>IF(_imp!$C$459="","",INDEX(_imp!$H$4:$H$1503,_imp!$C$459))</f>
        <v/>
      </c>
      <c r="G457" s="47">
        <f>IF(_imp!$C$459="","",INDEX(_imp!$I$4:$I$1503,_imp!$C$459))</f>
        <v/>
      </c>
      <c r="K457" s="47">
        <f>IF(_imp!$C$459="","",INDEX(_imp!$J$4:$J$1503,_imp!$C$459))</f>
        <v/>
      </c>
    </row>
    <row r="458">
      <c r="A458" s="47">
        <f>IF(_imp!$C$460="","",INDEX(_imp!$D$4:$D$1503,_imp!$C$460))</f>
        <v/>
      </c>
      <c r="B458" s="47">
        <f>IF(_imp!$C$460="","",INDEX(_imp!$E$4:$E$1503,_imp!$C$460))</f>
        <v/>
      </c>
      <c r="C458" s="47">
        <f>IF(_imp!$C$460="","",INDEX(_imp!$F$4:$F$1503,_imp!$C$460))</f>
        <v/>
      </c>
      <c r="E458" s="47">
        <f>IF(_imp!$C$460="","",INDEX(_imp!$G$4:$G$1503,_imp!$C$460))</f>
        <v/>
      </c>
      <c r="F458" s="47">
        <f>IF(_imp!$C$460="","",INDEX(_imp!$H$4:$H$1503,_imp!$C$460))</f>
        <v/>
      </c>
      <c r="G458" s="47">
        <f>IF(_imp!$C$460="","",INDEX(_imp!$I$4:$I$1503,_imp!$C$460))</f>
        <v/>
      </c>
      <c r="K458" s="47">
        <f>IF(_imp!$C$460="","",INDEX(_imp!$J$4:$J$1503,_imp!$C$460))</f>
        <v/>
      </c>
    </row>
    <row r="459">
      <c r="A459" s="47">
        <f>IF(_imp!$C$461="","",INDEX(_imp!$D$4:$D$1503,_imp!$C$461))</f>
        <v/>
      </c>
      <c r="B459" s="47">
        <f>IF(_imp!$C$461="","",INDEX(_imp!$E$4:$E$1503,_imp!$C$461))</f>
        <v/>
      </c>
      <c r="C459" s="47">
        <f>IF(_imp!$C$461="","",INDEX(_imp!$F$4:$F$1503,_imp!$C$461))</f>
        <v/>
      </c>
      <c r="E459" s="47">
        <f>IF(_imp!$C$461="","",INDEX(_imp!$G$4:$G$1503,_imp!$C$461))</f>
        <v/>
      </c>
      <c r="F459" s="47">
        <f>IF(_imp!$C$461="","",INDEX(_imp!$H$4:$H$1503,_imp!$C$461))</f>
        <v/>
      </c>
      <c r="G459" s="47">
        <f>IF(_imp!$C$461="","",INDEX(_imp!$I$4:$I$1503,_imp!$C$461))</f>
        <v/>
      </c>
      <c r="K459" s="47">
        <f>IF(_imp!$C$461="","",INDEX(_imp!$J$4:$J$1503,_imp!$C$461))</f>
        <v/>
      </c>
    </row>
    <row r="460">
      <c r="A460" s="47">
        <f>IF(_imp!$C$462="","",INDEX(_imp!$D$4:$D$1503,_imp!$C$462))</f>
        <v/>
      </c>
      <c r="B460" s="47">
        <f>IF(_imp!$C$462="","",INDEX(_imp!$E$4:$E$1503,_imp!$C$462))</f>
        <v/>
      </c>
      <c r="C460" s="47">
        <f>IF(_imp!$C$462="","",INDEX(_imp!$F$4:$F$1503,_imp!$C$462))</f>
        <v/>
      </c>
      <c r="E460" s="47">
        <f>IF(_imp!$C$462="","",INDEX(_imp!$G$4:$G$1503,_imp!$C$462))</f>
        <v/>
      </c>
      <c r="F460" s="47">
        <f>IF(_imp!$C$462="","",INDEX(_imp!$H$4:$H$1503,_imp!$C$462))</f>
        <v/>
      </c>
      <c r="G460" s="47">
        <f>IF(_imp!$C$462="","",INDEX(_imp!$I$4:$I$1503,_imp!$C$462))</f>
        <v/>
      </c>
      <c r="K460" s="47">
        <f>IF(_imp!$C$462="","",INDEX(_imp!$J$4:$J$1503,_imp!$C$462))</f>
        <v/>
      </c>
    </row>
    <row r="461">
      <c r="A461" s="47">
        <f>IF(_imp!$C$463="","",INDEX(_imp!$D$4:$D$1503,_imp!$C$463))</f>
        <v/>
      </c>
      <c r="B461" s="47">
        <f>IF(_imp!$C$463="","",INDEX(_imp!$E$4:$E$1503,_imp!$C$463))</f>
        <v/>
      </c>
      <c r="C461" s="47">
        <f>IF(_imp!$C$463="","",INDEX(_imp!$F$4:$F$1503,_imp!$C$463))</f>
        <v/>
      </c>
      <c r="E461" s="47">
        <f>IF(_imp!$C$463="","",INDEX(_imp!$G$4:$G$1503,_imp!$C$463))</f>
        <v/>
      </c>
      <c r="F461" s="47">
        <f>IF(_imp!$C$463="","",INDEX(_imp!$H$4:$H$1503,_imp!$C$463))</f>
        <v/>
      </c>
      <c r="G461" s="47">
        <f>IF(_imp!$C$463="","",INDEX(_imp!$I$4:$I$1503,_imp!$C$463))</f>
        <v/>
      </c>
      <c r="K461" s="47">
        <f>IF(_imp!$C$463="","",INDEX(_imp!$J$4:$J$1503,_imp!$C$463))</f>
        <v/>
      </c>
    </row>
    <row r="462">
      <c r="A462" s="47">
        <f>IF(_imp!$C$464="","",INDEX(_imp!$D$4:$D$1503,_imp!$C$464))</f>
        <v/>
      </c>
      <c r="B462" s="47">
        <f>IF(_imp!$C$464="","",INDEX(_imp!$E$4:$E$1503,_imp!$C$464))</f>
        <v/>
      </c>
      <c r="C462" s="47">
        <f>IF(_imp!$C$464="","",INDEX(_imp!$F$4:$F$1503,_imp!$C$464))</f>
        <v/>
      </c>
      <c r="E462" s="47">
        <f>IF(_imp!$C$464="","",INDEX(_imp!$G$4:$G$1503,_imp!$C$464))</f>
        <v/>
      </c>
      <c r="F462" s="47">
        <f>IF(_imp!$C$464="","",INDEX(_imp!$H$4:$H$1503,_imp!$C$464))</f>
        <v/>
      </c>
      <c r="G462" s="47">
        <f>IF(_imp!$C$464="","",INDEX(_imp!$I$4:$I$1503,_imp!$C$464))</f>
        <v/>
      </c>
      <c r="K462" s="47">
        <f>IF(_imp!$C$464="","",INDEX(_imp!$J$4:$J$1503,_imp!$C$464))</f>
        <v/>
      </c>
    </row>
    <row r="463">
      <c r="A463" s="47">
        <f>IF(_imp!$C$465="","",INDEX(_imp!$D$4:$D$1503,_imp!$C$465))</f>
        <v/>
      </c>
      <c r="B463" s="47">
        <f>IF(_imp!$C$465="","",INDEX(_imp!$E$4:$E$1503,_imp!$C$465))</f>
        <v/>
      </c>
      <c r="C463" s="47">
        <f>IF(_imp!$C$465="","",INDEX(_imp!$F$4:$F$1503,_imp!$C$465))</f>
        <v/>
      </c>
      <c r="E463" s="47">
        <f>IF(_imp!$C$465="","",INDEX(_imp!$G$4:$G$1503,_imp!$C$465))</f>
        <v/>
      </c>
      <c r="F463" s="47">
        <f>IF(_imp!$C$465="","",INDEX(_imp!$H$4:$H$1503,_imp!$C$465))</f>
        <v/>
      </c>
      <c r="G463" s="47">
        <f>IF(_imp!$C$465="","",INDEX(_imp!$I$4:$I$1503,_imp!$C$465))</f>
        <v/>
      </c>
      <c r="K463" s="47">
        <f>IF(_imp!$C$465="","",INDEX(_imp!$J$4:$J$1503,_imp!$C$465))</f>
        <v/>
      </c>
    </row>
    <row r="464">
      <c r="A464" s="47">
        <f>IF(_imp!$C$466="","",INDEX(_imp!$D$4:$D$1503,_imp!$C$466))</f>
        <v/>
      </c>
      <c r="B464" s="47">
        <f>IF(_imp!$C$466="","",INDEX(_imp!$E$4:$E$1503,_imp!$C$466))</f>
        <v/>
      </c>
      <c r="C464" s="47">
        <f>IF(_imp!$C$466="","",INDEX(_imp!$F$4:$F$1503,_imp!$C$466))</f>
        <v/>
      </c>
      <c r="E464" s="47">
        <f>IF(_imp!$C$466="","",INDEX(_imp!$G$4:$G$1503,_imp!$C$466))</f>
        <v/>
      </c>
      <c r="F464" s="47">
        <f>IF(_imp!$C$466="","",INDEX(_imp!$H$4:$H$1503,_imp!$C$466))</f>
        <v/>
      </c>
      <c r="G464" s="47">
        <f>IF(_imp!$C$466="","",INDEX(_imp!$I$4:$I$1503,_imp!$C$466))</f>
        <v/>
      </c>
      <c r="K464" s="47">
        <f>IF(_imp!$C$466="","",INDEX(_imp!$J$4:$J$1503,_imp!$C$466))</f>
        <v/>
      </c>
    </row>
    <row r="465">
      <c r="A465" s="47">
        <f>IF(_imp!$C$467="","",INDEX(_imp!$D$4:$D$1503,_imp!$C$467))</f>
        <v/>
      </c>
      <c r="B465" s="47">
        <f>IF(_imp!$C$467="","",INDEX(_imp!$E$4:$E$1503,_imp!$C$467))</f>
        <v/>
      </c>
      <c r="C465" s="47">
        <f>IF(_imp!$C$467="","",INDEX(_imp!$F$4:$F$1503,_imp!$C$467))</f>
        <v/>
      </c>
      <c r="E465" s="47">
        <f>IF(_imp!$C$467="","",INDEX(_imp!$G$4:$G$1503,_imp!$C$467))</f>
        <v/>
      </c>
      <c r="F465" s="47">
        <f>IF(_imp!$C$467="","",INDEX(_imp!$H$4:$H$1503,_imp!$C$467))</f>
        <v/>
      </c>
      <c r="G465" s="47">
        <f>IF(_imp!$C$467="","",INDEX(_imp!$I$4:$I$1503,_imp!$C$467))</f>
        <v/>
      </c>
      <c r="K465" s="47">
        <f>IF(_imp!$C$467="","",INDEX(_imp!$J$4:$J$1503,_imp!$C$467))</f>
        <v/>
      </c>
    </row>
    <row r="466">
      <c r="A466" s="47">
        <f>IF(_imp!$C$468="","",INDEX(_imp!$D$4:$D$1503,_imp!$C$468))</f>
        <v/>
      </c>
      <c r="B466" s="47">
        <f>IF(_imp!$C$468="","",INDEX(_imp!$E$4:$E$1503,_imp!$C$468))</f>
        <v/>
      </c>
      <c r="C466" s="47">
        <f>IF(_imp!$C$468="","",INDEX(_imp!$F$4:$F$1503,_imp!$C$468))</f>
        <v/>
      </c>
      <c r="E466" s="47">
        <f>IF(_imp!$C$468="","",INDEX(_imp!$G$4:$G$1503,_imp!$C$468))</f>
        <v/>
      </c>
      <c r="F466" s="47">
        <f>IF(_imp!$C$468="","",INDEX(_imp!$H$4:$H$1503,_imp!$C$468))</f>
        <v/>
      </c>
      <c r="G466" s="47">
        <f>IF(_imp!$C$468="","",INDEX(_imp!$I$4:$I$1503,_imp!$C$468))</f>
        <v/>
      </c>
      <c r="K466" s="47">
        <f>IF(_imp!$C$468="","",INDEX(_imp!$J$4:$J$1503,_imp!$C$468))</f>
        <v/>
      </c>
    </row>
    <row r="467">
      <c r="A467" s="47">
        <f>IF(_imp!$C$469="","",INDEX(_imp!$D$4:$D$1503,_imp!$C$469))</f>
        <v/>
      </c>
      <c r="B467" s="47">
        <f>IF(_imp!$C$469="","",INDEX(_imp!$E$4:$E$1503,_imp!$C$469))</f>
        <v/>
      </c>
      <c r="C467" s="47">
        <f>IF(_imp!$C$469="","",INDEX(_imp!$F$4:$F$1503,_imp!$C$469))</f>
        <v/>
      </c>
      <c r="E467" s="47">
        <f>IF(_imp!$C$469="","",INDEX(_imp!$G$4:$G$1503,_imp!$C$469))</f>
        <v/>
      </c>
      <c r="F467" s="47">
        <f>IF(_imp!$C$469="","",INDEX(_imp!$H$4:$H$1503,_imp!$C$469))</f>
        <v/>
      </c>
      <c r="G467" s="47">
        <f>IF(_imp!$C$469="","",INDEX(_imp!$I$4:$I$1503,_imp!$C$469))</f>
        <v/>
      </c>
      <c r="K467" s="47">
        <f>IF(_imp!$C$469="","",INDEX(_imp!$J$4:$J$1503,_imp!$C$469))</f>
        <v/>
      </c>
    </row>
    <row r="468">
      <c r="A468" s="47">
        <f>IF(_imp!$C$470="","",INDEX(_imp!$D$4:$D$1503,_imp!$C$470))</f>
        <v/>
      </c>
      <c r="B468" s="47">
        <f>IF(_imp!$C$470="","",INDEX(_imp!$E$4:$E$1503,_imp!$C$470))</f>
        <v/>
      </c>
      <c r="C468" s="47">
        <f>IF(_imp!$C$470="","",INDEX(_imp!$F$4:$F$1503,_imp!$C$470))</f>
        <v/>
      </c>
      <c r="E468" s="47">
        <f>IF(_imp!$C$470="","",INDEX(_imp!$G$4:$G$1503,_imp!$C$470))</f>
        <v/>
      </c>
      <c r="F468" s="47">
        <f>IF(_imp!$C$470="","",INDEX(_imp!$H$4:$H$1503,_imp!$C$470))</f>
        <v/>
      </c>
      <c r="G468" s="47">
        <f>IF(_imp!$C$470="","",INDEX(_imp!$I$4:$I$1503,_imp!$C$470))</f>
        <v/>
      </c>
      <c r="K468" s="47">
        <f>IF(_imp!$C$470="","",INDEX(_imp!$J$4:$J$1503,_imp!$C$470))</f>
        <v/>
      </c>
    </row>
    <row r="469">
      <c r="A469" s="47">
        <f>IF(_imp!$C$471="","",INDEX(_imp!$D$4:$D$1503,_imp!$C$471))</f>
        <v/>
      </c>
      <c r="B469" s="47">
        <f>IF(_imp!$C$471="","",INDEX(_imp!$E$4:$E$1503,_imp!$C$471))</f>
        <v/>
      </c>
      <c r="C469" s="47">
        <f>IF(_imp!$C$471="","",INDEX(_imp!$F$4:$F$1503,_imp!$C$471))</f>
        <v/>
      </c>
      <c r="E469" s="47">
        <f>IF(_imp!$C$471="","",INDEX(_imp!$G$4:$G$1503,_imp!$C$471))</f>
        <v/>
      </c>
      <c r="F469" s="47">
        <f>IF(_imp!$C$471="","",INDEX(_imp!$H$4:$H$1503,_imp!$C$471))</f>
        <v/>
      </c>
      <c r="G469" s="47">
        <f>IF(_imp!$C$471="","",INDEX(_imp!$I$4:$I$1503,_imp!$C$471))</f>
        <v/>
      </c>
      <c r="K469" s="47">
        <f>IF(_imp!$C$471="","",INDEX(_imp!$J$4:$J$1503,_imp!$C$471))</f>
        <v/>
      </c>
    </row>
    <row r="470">
      <c r="A470" s="47">
        <f>IF(_imp!$C$472="","",INDEX(_imp!$D$4:$D$1503,_imp!$C$472))</f>
        <v/>
      </c>
      <c r="B470" s="47">
        <f>IF(_imp!$C$472="","",INDEX(_imp!$E$4:$E$1503,_imp!$C$472))</f>
        <v/>
      </c>
      <c r="C470" s="47">
        <f>IF(_imp!$C$472="","",INDEX(_imp!$F$4:$F$1503,_imp!$C$472))</f>
        <v/>
      </c>
      <c r="E470" s="47">
        <f>IF(_imp!$C$472="","",INDEX(_imp!$G$4:$G$1503,_imp!$C$472))</f>
        <v/>
      </c>
      <c r="F470" s="47">
        <f>IF(_imp!$C$472="","",INDEX(_imp!$H$4:$H$1503,_imp!$C$472))</f>
        <v/>
      </c>
      <c r="G470" s="47">
        <f>IF(_imp!$C$472="","",INDEX(_imp!$I$4:$I$1503,_imp!$C$472))</f>
        <v/>
      </c>
      <c r="K470" s="47">
        <f>IF(_imp!$C$472="","",INDEX(_imp!$J$4:$J$1503,_imp!$C$472))</f>
        <v/>
      </c>
    </row>
    <row r="471">
      <c r="A471" s="47">
        <f>IF(_imp!$C$473="","",INDEX(_imp!$D$4:$D$1503,_imp!$C$473))</f>
        <v/>
      </c>
      <c r="B471" s="47">
        <f>IF(_imp!$C$473="","",INDEX(_imp!$E$4:$E$1503,_imp!$C$473))</f>
        <v/>
      </c>
      <c r="C471" s="47">
        <f>IF(_imp!$C$473="","",INDEX(_imp!$F$4:$F$1503,_imp!$C$473))</f>
        <v/>
      </c>
      <c r="E471" s="47">
        <f>IF(_imp!$C$473="","",INDEX(_imp!$G$4:$G$1503,_imp!$C$473))</f>
        <v/>
      </c>
      <c r="F471" s="47">
        <f>IF(_imp!$C$473="","",INDEX(_imp!$H$4:$H$1503,_imp!$C$473))</f>
        <v/>
      </c>
      <c r="G471" s="47">
        <f>IF(_imp!$C$473="","",INDEX(_imp!$I$4:$I$1503,_imp!$C$473))</f>
        <v/>
      </c>
      <c r="K471" s="47">
        <f>IF(_imp!$C$473="","",INDEX(_imp!$J$4:$J$1503,_imp!$C$473))</f>
        <v/>
      </c>
    </row>
    <row r="472">
      <c r="A472" s="47">
        <f>IF(_imp!$C$474="","",INDEX(_imp!$D$4:$D$1503,_imp!$C$474))</f>
        <v/>
      </c>
      <c r="B472" s="47">
        <f>IF(_imp!$C$474="","",INDEX(_imp!$E$4:$E$1503,_imp!$C$474))</f>
        <v/>
      </c>
      <c r="C472" s="47">
        <f>IF(_imp!$C$474="","",INDEX(_imp!$F$4:$F$1503,_imp!$C$474))</f>
        <v/>
      </c>
      <c r="E472" s="47">
        <f>IF(_imp!$C$474="","",INDEX(_imp!$G$4:$G$1503,_imp!$C$474))</f>
        <v/>
      </c>
      <c r="F472" s="47">
        <f>IF(_imp!$C$474="","",INDEX(_imp!$H$4:$H$1503,_imp!$C$474))</f>
        <v/>
      </c>
      <c r="G472" s="47">
        <f>IF(_imp!$C$474="","",INDEX(_imp!$I$4:$I$1503,_imp!$C$474))</f>
        <v/>
      </c>
      <c r="K472" s="47">
        <f>IF(_imp!$C$474="","",INDEX(_imp!$J$4:$J$1503,_imp!$C$474))</f>
        <v/>
      </c>
    </row>
    <row r="473">
      <c r="A473" s="47">
        <f>IF(_imp!$C$475="","",INDEX(_imp!$D$4:$D$1503,_imp!$C$475))</f>
        <v/>
      </c>
      <c r="B473" s="47">
        <f>IF(_imp!$C$475="","",INDEX(_imp!$E$4:$E$1503,_imp!$C$475))</f>
        <v/>
      </c>
      <c r="C473" s="47">
        <f>IF(_imp!$C$475="","",INDEX(_imp!$F$4:$F$1503,_imp!$C$475))</f>
        <v/>
      </c>
      <c r="E473" s="47">
        <f>IF(_imp!$C$475="","",INDEX(_imp!$G$4:$G$1503,_imp!$C$475))</f>
        <v/>
      </c>
      <c r="F473" s="47">
        <f>IF(_imp!$C$475="","",INDEX(_imp!$H$4:$H$1503,_imp!$C$475))</f>
        <v/>
      </c>
      <c r="G473" s="47">
        <f>IF(_imp!$C$475="","",INDEX(_imp!$I$4:$I$1503,_imp!$C$475))</f>
        <v/>
      </c>
      <c r="K473" s="47">
        <f>IF(_imp!$C$475="","",INDEX(_imp!$J$4:$J$1503,_imp!$C$475))</f>
        <v/>
      </c>
    </row>
    <row r="474">
      <c r="A474" s="47">
        <f>IF(_imp!$C$476="","",INDEX(_imp!$D$4:$D$1503,_imp!$C$476))</f>
        <v/>
      </c>
      <c r="B474" s="47">
        <f>IF(_imp!$C$476="","",INDEX(_imp!$E$4:$E$1503,_imp!$C$476))</f>
        <v/>
      </c>
      <c r="C474" s="47">
        <f>IF(_imp!$C$476="","",INDEX(_imp!$F$4:$F$1503,_imp!$C$476))</f>
        <v/>
      </c>
      <c r="E474" s="47">
        <f>IF(_imp!$C$476="","",INDEX(_imp!$G$4:$G$1503,_imp!$C$476))</f>
        <v/>
      </c>
      <c r="F474" s="47">
        <f>IF(_imp!$C$476="","",INDEX(_imp!$H$4:$H$1503,_imp!$C$476))</f>
        <v/>
      </c>
      <c r="G474" s="47">
        <f>IF(_imp!$C$476="","",INDEX(_imp!$I$4:$I$1503,_imp!$C$476))</f>
        <v/>
      </c>
      <c r="K474" s="47">
        <f>IF(_imp!$C$476="","",INDEX(_imp!$J$4:$J$1503,_imp!$C$476))</f>
        <v/>
      </c>
    </row>
    <row r="475">
      <c r="A475" s="47">
        <f>IF(_imp!$C$477="","",INDEX(_imp!$D$4:$D$1503,_imp!$C$477))</f>
        <v/>
      </c>
      <c r="B475" s="47">
        <f>IF(_imp!$C$477="","",INDEX(_imp!$E$4:$E$1503,_imp!$C$477))</f>
        <v/>
      </c>
      <c r="C475" s="47">
        <f>IF(_imp!$C$477="","",INDEX(_imp!$F$4:$F$1503,_imp!$C$477))</f>
        <v/>
      </c>
      <c r="E475" s="47">
        <f>IF(_imp!$C$477="","",INDEX(_imp!$G$4:$G$1503,_imp!$C$477))</f>
        <v/>
      </c>
      <c r="F475" s="47">
        <f>IF(_imp!$C$477="","",INDEX(_imp!$H$4:$H$1503,_imp!$C$477))</f>
        <v/>
      </c>
      <c r="G475" s="47">
        <f>IF(_imp!$C$477="","",INDEX(_imp!$I$4:$I$1503,_imp!$C$477))</f>
        <v/>
      </c>
      <c r="K475" s="47">
        <f>IF(_imp!$C$477="","",INDEX(_imp!$J$4:$J$1503,_imp!$C$477))</f>
        <v/>
      </c>
    </row>
    <row r="476">
      <c r="A476" s="47">
        <f>IF(_imp!$C$478="","",INDEX(_imp!$D$4:$D$1503,_imp!$C$478))</f>
        <v/>
      </c>
      <c r="B476" s="47">
        <f>IF(_imp!$C$478="","",INDEX(_imp!$E$4:$E$1503,_imp!$C$478))</f>
        <v/>
      </c>
      <c r="C476" s="47">
        <f>IF(_imp!$C$478="","",INDEX(_imp!$F$4:$F$1503,_imp!$C$478))</f>
        <v/>
      </c>
      <c r="E476" s="47">
        <f>IF(_imp!$C$478="","",INDEX(_imp!$G$4:$G$1503,_imp!$C$478))</f>
        <v/>
      </c>
      <c r="F476" s="47">
        <f>IF(_imp!$C$478="","",INDEX(_imp!$H$4:$H$1503,_imp!$C$478))</f>
        <v/>
      </c>
      <c r="G476" s="47">
        <f>IF(_imp!$C$478="","",INDEX(_imp!$I$4:$I$1503,_imp!$C$478))</f>
        <v/>
      </c>
      <c r="K476" s="47">
        <f>IF(_imp!$C$478="","",INDEX(_imp!$J$4:$J$1503,_imp!$C$478))</f>
        <v/>
      </c>
    </row>
    <row r="477">
      <c r="A477" s="47">
        <f>IF(_imp!$C$479="","",INDEX(_imp!$D$4:$D$1503,_imp!$C$479))</f>
        <v/>
      </c>
      <c r="B477" s="47">
        <f>IF(_imp!$C$479="","",INDEX(_imp!$E$4:$E$1503,_imp!$C$479))</f>
        <v/>
      </c>
      <c r="C477" s="47">
        <f>IF(_imp!$C$479="","",INDEX(_imp!$F$4:$F$1503,_imp!$C$479))</f>
        <v/>
      </c>
      <c r="E477" s="47">
        <f>IF(_imp!$C$479="","",INDEX(_imp!$G$4:$G$1503,_imp!$C$479))</f>
        <v/>
      </c>
      <c r="F477" s="47">
        <f>IF(_imp!$C$479="","",INDEX(_imp!$H$4:$H$1503,_imp!$C$479))</f>
        <v/>
      </c>
      <c r="G477" s="47">
        <f>IF(_imp!$C$479="","",INDEX(_imp!$I$4:$I$1503,_imp!$C$479))</f>
        <v/>
      </c>
      <c r="K477" s="47">
        <f>IF(_imp!$C$479="","",INDEX(_imp!$J$4:$J$1503,_imp!$C$479))</f>
        <v/>
      </c>
    </row>
    <row r="478">
      <c r="A478" s="47">
        <f>IF(_imp!$C$480="","",INDEX(_imp!$D$4:$D$1503,_imp!$C$480))</f>
        <v/>
      </c>
      <c r="B478" s="47">
        <f>IF(_imp!$C$480="","",INDEX(_imp!$E$4:$E$1503,_imp!$C$480))</f>
        <v/>
      </c>
      <c r="C478" s="47">
        <f>IF(_imp!$C$480="","",INDEX(_imp!$F$4:$F$1503,_imp!$C$480))</f>
        <v/>
      </c>
      <c r="E478" s="47">
        <f>IF(_imp!$C$480="","",INDEX(_imp!$G$4:$G$1503,_imp!$C$480))</f>
        <v/>
      </c>
      <c r="F478" s="47">
        <f>IF(_imp!$C$480="","",INDEX(_imp!$H$4:$H$1503,_imp!$C$480))</f>
        <v/>
      </c>
      <c r="G478" s="47">
        <f>IF(_imp!$C$480="","",INDEX(_imp!$I$4:$I$1503,_imp!$C$480))</f>
        <v/>
      </c>
      <c r="K478" s="47">
        <f>IF(_imp!$C$480="","",INDEX(_imp!$J$4:$J$1503,_imp!$C$480))</f>
        <v/>
      </c>
    </row>
    <row r="479">
      <c r="A479" s="47">
        <f>IF(_imp!$C$481="","",INDEX(_imp!$D$4:$D$1503,_imp!$C$481))</f>
        <v/>
      </c>
      <c r="B479" s="47">
        <f>IF(_imp!$C$481="","",INDEX(_imp!$E$4:$E$1503,_imp!$C$481))</f>
        <v/>
      </c>
      <c r="C479" s="47">
        <f>IF(_imp!$C$481="","",INDEX(_imp!$F$4:$F$1503,_imp!$C$481))</f>
        <v/>
      </c>
      <c r="E479" s="47">
        <f>IF(_imp!$C$481="","",INDEX(_imp!$G$4:$G$1503,_imp!$C$481))</f>
        <v/>
      </c>
      <c r="F479" s="47">
        <f>IF(_imp!$C$481="","",INDEX(_imp!$H$4:$H$1503,_imp!$C$481))</f>
        <v/>
      </c>
      <c r="G479" s="47">
        <f>IF(_imp!$C$481="","",INDEX(_imp!$I$4:$I$1503,_imp!$C$481))</f>
        <v/>
      </c>
      <c r="K479" s="47">
        <f>IF(_imp!$C$481="","",INDEX(_imp!$J$4:$J$1503,_imp!$C$481))</f>
        <v/>
      </c>
    </row>
    <row r="480">
      <c r="A480" s="47">
        <f>IF(_imp!$C$482="","",INDEX(_imp!$D$4:$D$1503,_imp!$C$482))</f>
        <v/>
      </c>
      <c r="B480" s="47">
        <f>IF(_imp!$C$482="","",INDEX(_imp!$E$4:$E$1503,_imp!$C$482))</f>
        <v/>
      </c>
      <c r="C480" s="47">
        <f>IF(_imp!$C$482="","",INDEX(_imp!$F$4:$F$1503,_imp!$C$482))</f>
        <v/>
      </c>
      <c r="E480" s="47">
        <f>IF(_imp!$C$482="","",INDEX(_imp!$G$4:$G$1503,_imp!$C$482))</f>
        <v/>
      </c>
      <c r="F480" s="47">
        <f>IF(_imp!$C$482="","",INDEX(_imp!$H$4:$H$1503,_imp!$C$482))</f>
        <v/>
      </c>
      <c r="G480" s="47">
        <f>IF(_imp!$C$482="","",INDEX(_imp!$I$4:$I$1503,_imp!$C$482))</f>
        <v/>
      </c>
      <c r="K480" s="47">
        <f>IF(_imp!$C$482="","",INDEX(_imp!$J$4:$J$1503,_imp!$C$482))</f>
        <v/>
      </c>
    </row>
    <row r="481">
      <c r="A481" s="47">
        <f>IF(_imp!$C$483="","",INDEX(_imp!$D$4:$D$1503,_imp!$C$483))</f>
        <v/>
      </c>
      <c r="B481" s="47">
        <f>IF(_imp!$C$483="","",INDEX(_imp!$E$4:$E$1503,_imp!$C$483))</f>
        <v/>
      </c>
      <c r="C481" s="47">
        <f>IF(_imp!$C$483="","",INDEX(_imp!$F$4:$F$1503,_imp!$C$483))</f>
        <v/>
      </c>
      <c r="E481" s="47">
        <f>IF(_imp!$C$483="","",INDEX(_imp!$G$4:$G$1503,_imp!$C$483))</f>
        <v/>
      </c>
      <c r="F481" s="47">
        <f>IF(_imp!$C$483="","",INDEX(_imp!$H$4:$H$1503,_imp!$C$483))</f>
        <v/>
      </c>
      <c r="G481" s="47">
        <f>IF(_imp!$C$483="","",INDEX(_imp!$I$4:$I$1503,_imp!$C$483))</f>
        <v/>
      </c>
      <c r="K481" s="47">
        <f>IF(_imp!$C$483="","",INDEX(_imp!$J$4:$J$1503,_imp!$C$483))</f>
        <v/>
      </c>
    </row>
    <row r="482">
      <c r="A482" s="47">
        <f>IF(_imp!$C$484="","",INDEX(_imp!$D$4:$D$1503,_imp!$C$484))</f>
        <v/>
      </c>
      <c r="B482" s="47">
        <f>IF(_imp!$C$484="","",INDEX(_imp!$E$4:$E$1503,_imp!$C$484))</f>
        <v/>
      </c>
      <c r="C482" s="47">
        <f>IF(_imp!$C$484="","",INDEX(_imp!$F$4:$F$1503,_imp!$C$484))</f>
        <v/>
      </c>
      <c r="E482" s="47">
        <f>IF(_imp!$C$484="","",INDEX(_imp!$G$4:$G$1503,_imp!$C$484))</f>
        <v/>
      </c>
      <c r="F482" s="47">
        <f>IF(_imp!$C$484="","",INDEX(_imp!$H$4:$H$1503,_imp!$C$484))</f>
        <v/>
      </c>
      <c r="G482" s="47">
        <f>IF(_imp!$C$484="","",INDEX(_imp!$I$4:$I$1503,_imp!$C$484))</f>
        <v/>
      </c>
      <c r="K482" s="47">
        <f>IF(_imp!$C$484="","",INDEX(_imp!$J$4:$J$1503,_imp!$C$484))</f>
        <v/>
      </c>
    </row>
    <row r="483">
      <c r="A483" s="47">
        <f>IF(_imp!$C$485="","",INDEX(_imp!$D$4:$D$1503,_imp!$C$485))</f>
        <v/>
      </c>
      <c r="B483" s="47">
        <f>IF(_imp!$C$485="","",INDEX(_imp!$E$4:$E$1503,_imp!$C$485))</f>
        <v/>
      </c>
      <c r="C483" s="47">
        <f>IF(_imp!$C$485="","",INDEX(_imp!$F$4:$F$1503,_imp!$C$485))</f>
        <v/>
      </c>
      <c r="E483" s="47">
        <f>IF(_imp!$C$485="","",INDEX(_imp!$G$4:$G$1503,_imp!$C$485))</f>
        <v/>
      </c>
      <c r="F483" s="47">
        <f>IF(_imp!$C$485="","",INDEX(_imp!$H$4:$H$1503,_imp!$C$485))</f>
        <v/>
      </c>
      <c r="G483" s="47">
        <f>IF(_imp!$C$485="","",INDEX(_imp!$I$4:$I$1503,_imp!$C$485))</f>
        <v/>
      </c>
      <c r="K483" s="47">
        <f>IF(_imp!$C$485="","",INDEX(_imp!$J$4:$J$1503,_imp!$C$485))</f>
        <v/>
      </c>
    </row>
    <row r="484">
      <c r="A484" s="47">
        <f>IF(_imp!$C$486="","",INDEX(_imp!$D$4:$D$1503,_imp!$C$486))</f>
        <v/>
      </c>
      <c r="B484" s="47">
        <f>IF(_imp!$C$486="","",INDEX(_imp!$E$4:$E$1503,_imp!$C$486))</f>
        <v/>
      </c>
      <c r="C484" s="47">
        <f>IF(_imp!$C$486="","",INDEX(_imp!$F$4:$F$1503,_imp!$C$486))</f>
        <v/>
      </c>
      <c r="E484" s="47">
        <f>IF(_imp!$C$486="","",INDEX(_imp!$G$4:$G$1503,_imp!$C$486))</f>
        <v/>
      </c>
      <c r="F484" s="47">
        <f>IF(_imp!$C$486="","",INDEX(_imp!$H$4:$H$1503,_imp!$C$486))</f>
        <v/>
      </c>
      <c r="G484" s="47">
        <f>IF(_imp!$C$486="","",INDEX(_imp!$I$4:$I$1503,_imp!$C$486))</f>
        <v/>
      </c>
      <c r="K484" s="47">
        <f>IF(_imp!$C$486="","",INDEX(_imp!$J$4:$J$1503,_imp!$C$486))</f>
        <v/>
      </c>
    </row>
    <row r="485">
      <c r="A485" s="47">
        <f>IF(_imp!$C$487="","",INDEX(_imp!$D$4:$D$1503,_imp!$C$487))</f>
        <v/>
      </c>
      <c r="B485" s="47">
        <f>IF(_imp!$C$487="","",INDEX(_imp!$E$4:$E$1503,_imp!$C$487))</f>
        <v/>
      </c>
      <c r="C485" s="47">
        <f>IF(_imp!$C$487="","",INDEX(_imp!$F$4:$F$1503,_imp!$C$487))</f>
        <v/>
      </c>
      <c r="E485" s="47">
        <f>IF(_imp!$C$487="","",INDEX(_imp!$G$4:$G$1503,_imp!$C$487))</f>
        <v/>
      </c>
      <c r="F485" s="47">
        <f>IF(_imp!$C$487="","",INDEX(_imp!$H$4:$H$1503,_imp!$C$487))</f>
        <v/>
      </c>
      <c r="G485" s="47">
        <f>IF(_imp!$C$487="","",INDEX(_imp!$I$4:$I$1503,_imp!$C$487))</f>
        <v/>
      </c>
      <c r="K485" s="47">
        <f>IF(_imp!$C$487="","",INDEX(_imp!$J$4:$J$1503,_imp!$C$487))</f>
        <v/>
      </c>
    </row>
    <row r="486">
      <c r="A486" s="47">
        <f>IF(_imp!$C$488="","",INDEX(_imp!$D$4:$D$1503,_imp!$C$488))</f>
        <v/>
      </c>
      <c r="B486" s="47">
        <f>IF(_imp!$C$488="","",INDEX(_imp!$E$4:$E$1503,_imp!$C$488))</f>
        <v/>
      </c>
      <c r="C486" s="47">
        <f>IF(_imp!$C$488="","",INDEX(_imp!$F$4:$F$1503,_imp!$C$488))</f>
        <v/>
      </c>
      <c r="E486" s="47">
        <f>IF(_imp!$C$488="","",INDEX(_imp!$G$4:$G$1503,_imp!$C$488))</f>
        <v/>
      </c>
      <c r="F486" s="47">
        <f>IF(_imp!$C$488="","",INDEX(_imp!$H$4:$H$1503,_imp!$C$488))</f>
        <v/>
      </c>
      <c r="G486" s="47">
        <f>IF(_imp!$C$488="","",INDEX(_imp!$I$4:$I$1503,_imp!$C$488))</f>
        <v/>
      </c>
      <c r="K486" s="47">
        <f>IF(_imp!$C$488="","",INDEX(_imp!$J$4:$J$1503,_imp!$C$488))</f>
        <v/>
      </c>
    </row>
    <row r="487">
      <c r="A487" s="47">
        <f>IF(_imp!$C$489="","",INDEX(_imp!$D$4:$D$1503,_imp!$C$489))</f>
        <v/>
      </c>
      <c r="B487" s="47">
        <f>IF(_imp!$C$489="","",INDEX(_imp!$E$4:$E$1503,_imp!$C$489))</f>
        <v/>
      </c>
      <c r="C487" s="47">
        <f>IF(_imp!$C$489="","",INDEX(_imp!$F$4:$F$1503,_imp!$C$489))</f>
        <v/>
      </c>
      <c r="E487" s="47">
        <f>IF(_imp!$C$489="","",INDEX(_imp!$G$4:$G$1503,_imp!$C$489))</f>
        <v/>
      </c>
      <c r="F487" s="47">
        <f>IF(_imp!$C$489="","",INDEX(_imp!$H$4:$H$1503,_imp!$C$489))</f>
        <v/>
      </c>
      <c r="G487" s="47">
        <f>IF(_imp!$C$489="","",INDEX(_imp!$I$4:$I$1503,_imp!$C$489))</f>
        <v/>
      </c>
      <c r="K487" s="47">
        <f>IF(_imp!$C$489="","",INDEX(_imp!$J$4:$J$1503,_imp!$C$489))</f>
        <v/>
      </c>
    </row>
    <row r="488">
      <c r="A488" s="47">
        <f>IF(_imp!$C$490="","",INDEX(_imp!$D$4:$D$1503,_imp!$C$490))</f>
        <v/>
      </c>
      <c r="B488" s="47">
        <f>IF(_imp!$C$490="","",INDEX(_imp!$E$4:$E$1503,_imp!$C$490))</f>
        <v/>
      </c>
      <c r="C488" s="47">
        <f>IF(_imp!$C$490="","",INDEX(_imp!$F$4:$F$1503,_imp!$C$490))</f>
        <v/>
      </c>
      <c r="E488" s="47">
        <f>IF(_imp!$C$490="","",INDEX(_imp!$G$4:$G$1503,_imp!$C$490))</f>
        <v/>
      </c>
      <c r="F488" s="47">
        <f>IF(_imp!$C$490="","",INDEX(_imp!$H$4:$H$1503,_imp!$C$490))</f>
        <v/>
      </c>
      <c r="G488" s="47">
        <f>IF(_imp!$C$490="","",INDEX(_imp!$I$4:$I$1503,_imp!$C$490))</f>
        <v/>
      </c>
      <c r="K488" s="47">
        <f>IF(_imp!$C$490="","",INDEX(_imp!$J$4:$J$1503,_imp!$C$490))</f>
        <v/>
      </c>
    </row>
    <row r="489">
      <c r="A489" s="47">
        <f>IF(_imp!$C$491="","",INDEX(_imp!$D$4:$D$1503,_imp!$C$491))</f>
        <v/>
      </c>
      <c r="B489" s="47">
        <f>IF(_imp!$C$491="","",INDEX(_imp!$E$4:$E$1503,_imp!$C$491))</f>
        <v/>
      </c>
      <c r="C489" s="47">
        <f>IF(_imp!$C$491="","",INDEX(_imp!$F$4:$F$1503,_imp!$C$491))</f>
        <v/>
      </c>
      <c r="E489" s="47">
        <f>IF(_imp!$C$491="","",INDEX(_imp!$G$4:$G$1503,_imp!$C$491))</f>
        <v/>
      </c>
      <c r="F489" s="47">
        <f>IF(_imp!$C$491="","",INDEX(_imp!$H$4:$H$1503,_imp!$C$491))</f>
        <v/>
      </c>
      <c r="G489" s="47">
        <f>IF(_imp!$C$491="","",INDEX(_imp!$I$4:$I$1503,_imp!$C$491))</f>
        <v/>
      </c>
      <c r="K489" s="47">
        <f>IF(_imp!$C$491="","",INDEX(_imp!$J$4:$J$1503,_imp!$C$491))</f>
        <v/>
      </c>
    </row>
    <row r="490">
      <c r="A490" s="47">
        <f>IF(_imp!$C$492="","",INDEX(_imp!$D$4:$D$1503,_imp!$C$492))</f>
        <v/>
      </c>
      <c r="B490" s="47">
        <f>IF(_imp!$C$492="","",INDEX(_imp!$E$4:$E$1503,_imp!$C$492))</f>
        <v/>
      </c>
      <c r="C490" s="47">
        <f>IF(_imp!$C$492="","",INDEX(_imp!$F$4:$F$1503,_imp!$C$492))</f>
        <v/>
      </c>
      <c r="E490" s="47">
        <f>IF(_imp!$C$492="","",INDEX(_imp!$G$4:$G$1503,_imp!$C$492))</f>
        <v/>
      </c>
      <c r="F490" s="47">
        <f>IF(_imp!$C$492="","",INDEX(_imp!$H$4:$H$1503,_imp!$C$492))</f>
        <v/>
      </c>
      <c r="G490" s="47">
        <f>IF(_imp!$C$492="","",INDEX(_imp!$I$4:$I$1503,_imp!$C$492))</f>
        <v/>
      </c>
      <c r="K490" s="47">
        <f>IF(_imp!$C$492="","",INDEX(_imp!$J$4:$J$1503,_imp!$C$492))</f>
        <v/>
      </c>
    </row>
    <row r="491">
      <c r="A491" s="47">
        <f>IF(_imp!$C$493="","",INDEX(_imp!$D$4:$D$1503,_imp!$C$493))</f>
        <v/>
      </c>
      <c r="B491" s="47">
        <f>IF(_imp!$C$493="","",INDEX(_imp!$E$4:$E$1503,_imp!$C$493))</f>
        <v/>
      </c>
      <c r="C491" s="47">
        <f>IF(_imp!$C$493="","",INDEX(_imp!$F$4:$F$1503,_imp!$C$493))</f>
        <v/>
      </c>
      <c r="E491" s="47">
        <f>IF(_imp!$C$493="","",INDEX(_imp!$G$4:$G$1503,_imp!$C$493))</f>
        <v/>
      </c>
      <c r="F491" s="47">
        <f>IF(_imp!$C$493="","",INDEX(_imp!$H$4:$H$1503,_imp!$C$493))</f>
        <v/>
      </c>
      <c r="G491" s="47">
        <f>IF(_imp!$C$493="","",INDEX(_imp!$I$4:$I$1503,_imp!$C$493))</f>
        <v/>
      </c>
      <c r="K491" s="47">
        <f>IF(_imp!$C$493="","",INDEX(_imp!$J$4:$J$1503,_imp!$C$493))</f>
        <v/>
      </c>
    </row>
    <row r="492">
      <c r="A492" s="47">
        <f>IF(_imp!$C$494="","",INDEX(_imp!$D$4:$D$1503,_imp!$C$494))</f>
        <v/>
      </c>
      <c r="B492" s="47">
        <f>IF(_imp!$C$494="","",INDEX(_imp!$E$4:$E$1503,_imp!$C$494))</f>
        <v/>
      </c>
      <c r="C492" s="47">
        <f>IF(_imp!$C$494="","",INDEX(_imp!$F$4:$F$1503,_imp!$C$494))</f>
        <v/>
      </c>
      <c r="E492" s="47">
        <f>IF(_imp!$C$494="","",INDEX(_imp!$G$4:$G$1503,_imp!$C$494))</f>
        <v/>
      </c>
      <c r="F492" s="47">
        <f>IF(_imp!$C$494="","",INDEX(_imp!$H$4:$H$1503,_imp!$C$494))</f>
        <v/>
      </c>
      <c r="G492" s="47">
        <f>IF(_imp!$C$494="","",INDEX(_imp!$I$4:$I$1503,_imp!$C$494))</f>
        <v/>
      </c>
      <c r="K492" s="47">
        <f>IF(_imp!$C$494="","",INDEX(_imp!$J$4:$J$1503,_imp!$C$494))</f>
        <v/>
      </c>
    </row>
    <row r="493">
      <c r="A493" s="47">
        <f>IF(_imp!$C$495="","",INDEX(_imp!$D$4:$D$1503,_imp!$C$495))</f>
        <v/>
      </c>
      <c r="B493" s="47">
        <f>IF(_imp!$C$495="","",INDEX(_imp!$E$4:$E$1503,_imp!$C$495))</f>
        <v/>
      </c>
      <c r="C493" s="47">
        <f>IF(_imp!$C$495="","",INDEX(_imp!$F$4:$F$1503,_imp!$C$495))</f>
        <v/>
      </c>
      <c r="E493" s="47">
        <f>IF(_imp!$C$495="","",INDEX(_imp!$G$4:$G$1503,_imp!$C$495))</f>
        <v/>
      </c>
      <c r="F493" s="47">
        <f>IF(_imp!$C$495="","",INDEX(_imp!$H$4:$H$1503,_imp!$C$495))</f>
        <v/>
      </c>
      <c r="G493" s="47">
        <f>IF(_imp!$C$495="","",INDEX(_imp!$I$4:$I$1503,_imp!$C$495))</f>
        <v/>
      </c>
      <c r="K493" s="47">
        <f>IF(_imp!$C$495="","",INDEX(_imp!$J$4:$J$1503,_imp!$C$495))</f>
        <v/>
      </c>
    </row>
    <row r="494">
      <c r="A494" s="47">
        <f>IF(_imp!$C$496="","",INDEX(_imp!$D$4:$D$1503,_imp!$C$496))</f>
        <v/>
      </c>
      <c r="B494" s="47">
        <f>IF(_imp!$C$496="","",INDEX(_imp!$E$4:$E$1503,_imp!$C$496))</f>
        <v/>
      </c>
      <c r="C494" s="47">
        <f>IF(_imp!$C$496="","",INDEX(_imp!$F$4:$F$1503,_imp!$C$496))</f>
        <v/>
      </c>
      <c r="E494" s="47">
        <f>IF(_imp!$C$496="","",INDEX(_imp!$G$4:$G$1503,_imp!$C$496))</f>
        <v/>
      </c>
      <c r="F494" s="47">
        <f>IF(_imp!$C$496="","",INDEX(_imp!$H$4:$H$1503,_imp!$C$496))</f>
        <v/>
      </c>
      <c r="G494" s="47">
        <f>IF(_imp!$C$496="","",INDEX(_imp!$I$4:$I$1503,_imp!$C$496))</f>
        <v/>
      </c>
      <c r="K494" s="47">
        <f>IF(_imp!$C$496="","",INDEX(_imp!$J$4:$J$1503,_imp!$C$496))</f>
        <v/>
      </c>
    </row>
    <row r="495">
      <c r="A495" s="47">
        <f>IF(_imp!$C$497="","",INDEX(_imp!$D$4:$D$1503,_imp!$C$497))</f>
        <v/>
      </c>
      <c r="B495" s="47">
        <f>IF(_imp!$C$497="","",INDEX(_imp!$E$4:$E$1503,_imp!$C$497))</f>
        <v/>
      </c>
      <c r="C495" s="47">
        <f>IF(_imp!$C$497="","",INDEX(_imp!$F$4:$F$1503,_imp!$C$497))</f>
        <v/>
      </c>
      <c r="E495" s="47">
        <f>IF(_imp!$C$497="","",INDEX(_imp!$G$4:$G$1503,_imp!$C$497))</f>
        <v/>
      </c>
      <c r="F495" s="47">
        <f>IF(_imp!$C$497="","",INDEX(_imp!$H$4:$H$1503,_imp!$C$497))</f>
        <v/>
      </c>
      <c r="G495" s="47">
        <f>IF(_imp!$C$497="","",INDEX(_imp!$I$4:$I$1503,_imp!$C$497))</f>
        <v/>
      </c>
      <c r="K495" s="47">
        <f>IF(_imp!$C$497="","",INDEX(_imp!$J$4:$J$1503,_imp!$C$497))</f>
        <v/>
      </c>
    </row>
    <row r="496">
      <c r="A496" s="47">
        <f>IF(_imp!$C$498="","",INDEX(_imp!$D$4:$D$1503,_imp!$C$498))</f>
        <v/>
      </c>
      <c r="B496" s="47">
        <f>IF(_imp!$C$498="","",INDEX(_imp!$E$4:$E$1503,_imp!$C$498))</f>
        <v/>
      </c>
      <c r="C496" s="47">
        <f>IF(_imp!$C$498="","",INDEX(_imp!$F$4:$F$1503,_imp!$C$498))</f>
        <v/>
      </c>
      <c r="E496" s="47">
        <f>IF(_imp!$C$498="","",INDEX(_imp!$G$4:$G$1503,_imp!$C$498))</f>
        <v/>
      </c>
      <c r="F496" s="47">
        <f>IF(_imp!$C$498="","",INDEX(_imp!$H$4:$H$1503,_imp!$C$498))</f>
        <v/>
      </c>
      <c r="G496" s="47">
        <f>IF(_imp!$C$498="","",INDEX(_imp!$I$4:$I$1503,_imp!$C$498))</f>
        <v/>
      </c>
      <c r="K496" s="47">
        <f>IF(_imp!$C$498="","",INDEX(_imp!$J$4:$J$1503,_imp!$C$498))</f>
        <v/>
      </c>
    </row>
    <row r="497">
      <c r="A497" s="47">
        <f>IF(_imp!$C$499="","",INDEX(_imp!$D$4:$D$1503,_imp!$C$499))</f>
        <v/>
      </c>
      <c r="B497" s="47">
        <f>IF(_imp!$C$499="","",INDEX(_imp!$E$4:$E$1503,_imp!$C$499))</f>
        <v/>
      </c>
      <c r="C497" s="47">
        <f>IF(_imp!$C$499="","",INDEX(_imp!$F$4:$F$1503,_imp!$C$499))</f>
        <v/>
      </c>
      <c r="E497" s="47">
        <f>IF(_imp!$C$499="","",INDEX(_imp!$G$4:$G$1503,_imp!$C$499))</f>
        <v/>
      </c>
      <c r="F497" s="47">
        <f>IF(_imp!$C$499="","",INDEX(_imp!$H$4:$H$1503,_imp!$C$499))</f>
        <v/>
      </c>
      <c r="G497" s="47">
        <f>IF(_imp!$C$499="","",INDEX(_imp!$I$4:$I$1503,_imp!$C$499))</f>
        <v/>
      </c>
      <c r="K497" s="47">
        <f>IF(_imp!$C$499="","",INDEX(_imp!$J$4:$J$1503,_imp!$C$499))</f>
        <v/>
      </c>
    </row>
    <row r="498">
      <c r="A498" s="47">
        <f>IF(_imp!$C$500="","",INDEX(_imp!$D$4:$D$1503,_imp!$C$500))</f>
        <v/>
      </c>
      <c r="B498" s="47">
        <f>IF(_imp!$C$500="","",INDEX(_imp!$E$4:$E$1503,_imp!$C$500))</f>
        <v/>
      </c>
      <c r="C498" s="47">
        <f>IF(_imp!$C$500="","",INDEX(_imp!$F$4:$F$1503,_imp!$C$500))</f>
        <v/>
      </c>
      <c r="E498" s="47">
        <f>IF(_imp!$C$500="","",INDEX(_imp!$G$4:$G$1503,_imp!$C$500))</f>
        <v/>
      </c>
      <c r="F498" s="47">
        <f>IF(_imp!$C$500="","",INDEX(_imp!$H$4:$H$1503,_imp!$C$500))</f>
        <v/>
      </c>
      <c r="G498" s="47">
        <f>IF(_imp!$C$500="","",INDEX(_imp!$I$4:$I$1503,_imp!$C$500))</f>
        <v/>
      </c>
      <c r="K498" s="47">
        <f>IF(_imp!$C$500="","",INDEX(_imp!$J$4:$J$1503,_imp!$C$500))</f>
        <v/>
      </c>
    </row>
    <row r="499">
      <c r="A499" s="47">
        <f>IF(_imp!$C$501="","",INDEX(_imp!$D$4:$D$1503,_imp!$C$501))</f>
        <v/>
      </c>
      <c r="B499" s="47">
        <f>IF(_imp!$C$501="","",INDEX(_imp!$E$4:$E$1503,_imp!$C$501))</f>
        <v/>
      </c>
      <c r="C499" s="47">
        <f>IF(_imp!$C$501="","",INDEX(_imp!$F$4:$F$1503,_imp!$C$501))</f>
        <v/>
      </c>
      <c r="E499" s="47">
        <f>IF(_imp!$C$501="","",INDEX(_imp!$G$4:$G$1503,_imp!$C$501))</f>
        <v/>
      </c>
      <c r="F499" s="47">
        <f>IF(_imp!$C$501="","",INDEX(_imp!$H$4:$H$1503,_imp!$C$501))</f>
        <v/>
      </c>
      <c r="G499" s="47">
        <f>IF(_imp!$C$501="","",INDEX(_imp!$I$4:$I$1503,_imp!$C$501))</f>
        <v/>
      </c>
      <c r="K499" s="47">
        <f>IF(_imp!$C$501="","",INDEX(_imp!$J$4:$J$1503,_imp!$C$501))</f>
        <v/>
      </c>
    </row>
    <row r="500">
      <c r="A500" s="47">
        <f>IF(_imp!$C$502="","",INDEX(_imp!$D$4:$D$1503,_imp!$C$502))</f>
        <v/>
      </c>
      <c r="B500" s="47">
        <f>IF(_imp!$C$502="","",INDEX(_imp!$E$4:$E$1503,_imp!$C$502))</f>
        <v/>
      </c>
      <c r="C500" s="47">
        <f>IF(_imp!$C$502="","",INDEX(_imp!$F$4:$F$1503,_imp!$C$502))</f>
        <v/>
      </c>
      <c r="E500" s="47">
        <f>IF(_imp!$C$502="","",INDEX(_imp!$G$4:$G$1503,_imp!$C$502))</f>
        <v/>
      </c>
      <c r="F500" s="47">
        <f>IF(_imp!$C$502="","",INDEX(_imp!$H$4:$H$1503,_imp!$C$502))</f>
        <v/>
      </c>
      <c r="G500" s="47">
        <f>IF(_imp!$C$502="","",INDEX(_imp!$I$4:$I$1503,_imp!$C$502))</f>
        <v/>
      </c>
      <c r="K500" s="47">
        <f>IF(_imp!$C$502="","",INDEX(_imp!$J$4:$J$1503,_imp!$C$502))</f>
        <v/>
      </c>
    </row>
    <row r="501">
      <c r="A501" s="47">
        <f>IF(_imp!$C$503="","",INDEX(_imp!$D$4:$D$1503,_imp!$C$503))</f>
        <v/>
      </c>
      <c r="B501" s="47">
        <f>IF(_imp!$C$503="","",INDEX(_imp!$E$4:$E$1503,_imp!$C$503))</f>
        <v/>
      </c>
      <c r="C501" s="47">
        <f>IF(_imp!$C$503="","",INDEX(_imp!$F$4:$F$1503,_imp!$C$503))</f>
        <v/>
      </c>
      <c r="E501" s="47">
        <f>IF(_imp!$C$503="","",INDEX(_imp!$G$4:$G$1503,_imp!$C$503))</f>
        <v/>
      </c>
      <c r="F501" s="47">
        <f>IF(_imp!$C$503="","",INDEX(_imp!$H$4:$H$1503,_imp!$C$503))</f>
        <v/>
      </c>
      <c r="G501" s="47">
        <f>IF(_imp!$C$503="","",INDEX(_imp!$I$4:$I$1503,_imp!$C$503))</f>
        <v/>
      </c>
      <c r="K501" s="47">
        <f>IF(_imp!$C$503="","",INDEX(_imp!$J$4:$J$1503,_imp!$C$503))</f>
        <v/>
      </c>
    </row>
    <row r="502">
      <c r="A502" s="47">
        <f>IF(_imp!$C$504="","",INDEX(_imp!$D$4:$D$1503,_imp!$C$504))</f>
        <v/>
      </c>
      <c r="B502" s="47">
        <f>IF(_imp!$C$504="","",INDEX(_imp!$E$4:$E$1503,_imp!$C$504))</f>
        <v/>
      </c>
      <c r="C502" s="47">
        <f>IF(_imp!$C$504="","",INDEX(_imp!$F$4:$F$1503,_imp!$C$504))</f>
        <v/>
      </c>
      <c r="E502" s="47">
        <f>IF(_imp!$C$504="","",INDEX(_imp!$G$4:$G$1503,_imp!$C$504))</f>
        <v/>
      </c>
      <c r="F502" s="47">
        <f>IF(_imp!$C$504="","",INDEX(_imp!$H$4:$H$1503,_imp!$C$504))</f>
        <v/>
      </c>
      <c r="G502" s="47">
        <f>IF(_imp!$C$504="","",INDEX(_imp!$I$4:$I$1503,_imp!$C$504))</f>
        <v/>
      </c>
      <c r="K502" s="47">
        <f>IF(_imp!$C$504="","",INDEX(_imp!$J$4:$J$1503,_imp!$C$504))</f>
        <v/>
      </c>
    </row>
    <row r="503">
      <c r="A503" s="47">
        <f>IF(_imp!$C$505="","",INDEX(_imp!$D$4:$D$1503,_imp!$C$505))</f>
        <v/>
      </c>
      <c r="B503" s="47">
        <f>IF(_imp!$C$505="","",INDEX(_imp!$E$4:$E$1503,_imp!$C$505))</f>
        <v/>
      </c>
      <c r="C503" s="47">
        <f>IF(_imp!$C$505="","",INDEX(_imp!$F$4:$F$1503,_imp!$C$505))</f>
        <v/>
      </c>
      <c r="E503" s="47">
        <f>IF(_imp!$C$505="","",INDEX(_imp!$G$4:$G$1503,_imp!$C$505))</f>
        <v/>
      </c>
      <c r="F503" s="47">
        <f>IF(_imp!$C$505="","",INDEX(_imp!$H$4:$H$1503,_imp!$C$505))</f>
        <v/>
      </c>
      <c r="G503" s="47">
        <f>IF(_imp!$C$505="","",INDEX(_imp!$I$4:$I$1503,_imp!$C$505))</f>
        <v/>
      </c>
      <c r="K503" s="47">
        <f>IF(_imp!$C$505="","",INDEX(_imp!$J$4:$J$1503,_imp!$C$505))</f>
        <v/>
      </c>
    </row>
    <row r="504">
      <c r="A504" s="47">
        <f>IF(_imp!$C$506="","",INDEX(_imp!$D$4:$D$1503,_imp!$C$506))</f>
        <v/>
      </c>
      <c r="B504" s="47">
        <f>IF(_imp!$C$506="","",INDEX(_imp!$E$4:$E$1503,_imp!$C$506))</f>
        <v/>
      </c>
      <c r="C504" s="47">
        <f>IF(_imp!$C$506="","",INDEX(_imp!$F$4:$F$1503,_imp!$C$506))</f>
        <v/>
      </c>
      <c r="E504" s="47">
        <f>IF(_imp!$C$506="","",INDEX(_imp!$G$4:$G$1503,_imp!$C$506))</f>
        <v/>
      </c>
      <c r="F504" s="47">
        <f>IF(_imp!$C$506="","",INDEX(_imp!$H$4:$H$1503,_imp!$C$506))</f>
        <v/>
      </c>
      <c r="G504" s="47">
        <f>IF(_imp!$C$506="","",INDEX(_imp!$I$4:$I$1503,_imp!$C$506))</f>
        <v/>
      </c>
      <c r="K504" s="47">
        <f>IF(_imp!$C$506="","",INDEX(_imp!$J$4:$J$1503,_imp!$C$506))</f>
        <v/>
      </c>
    </row>
    <row r="505">
      <c r="A505" s="47">
        <f>IF(_imp!$C$507="","",INDEX(_imp!$D$4:$D$1503,_imp!$C$507))</f>
        <v/>
      </c>
      <c r="B505" s="47">
        <f>IF(_imp!$C$507="","",INDEX(_imp!$E$4:$E$1503,_imp!$C$507))</f>
        <v/>
      </c>
      <c r="C505" s="47">
        <f>IF(_imp!$C$507="","",INDEX(_imp!$F$4:$F$1503,_imp!$C$507))</f>
        <v/>
      </c>
      <c r="E505" s="47">
        <f>IF(_imp!$C$507="","",INDEX(_imp!$G$4:$G$1503,_imp!$C$507))</f>
        <v/>
      </c>
      <c r="F505" s="47">
        <f>IF(_imp!$C$507="","",INDEX(_imp!$H$4:$H$1503,_imp!$C$507))</f>
        <v/>
      </c>
      <c r="G505" s="47">
        <f>IF(_imp!$C$507="","",INDEX(_imp!$I$4:$I$1503,_imp!$C$507))</f>
        <v/>
      </c>
      <c r="K505" s="47">
        <f>IF(_imp!$C$507="","",INDEX(_imp!$J$4:$J$1503,_imp!$C$507))</f>
        <v/>
      </c>
    </row>
    <row r="506">
      <c r="A506" s="47">
        <f>IF(_imp!$C$508="","",INDEX(_imp!$D$4:$D$1503,_imp!$C$508))</f>
        <v/>
      </c>
      <c r="B506" s="47">
        <f>IF(_imp!$C$508="","",INDEX(_imp!$E$4:$E$1503,_imp!$C$508))</f>
        <v/>
      </c>
      <c r="C506" s="47">
        <f>IF(_imp!$C$508="","",INDEX(_imp!$F$4:$F$1503,_imp!$C$508))</f>
        <v/>
      </c>
      <c r="E506" s="47">
        <f>IF(_imp!$C$508="","",INDEX(_imp!$G$4:$G$1503,_imp!$C$508))</f>
        <v/>
      </c>
      <c r="F506" s="47">
        <f>IF(_imp!$C$508="","",INDEX(_imp!$H$4:$H$1503,_imp!$C$508))</f>
        <v/>
      </c>
      <c r="G506" s="47">
        <f>IF(_imp!$C$508="","",INDEX(_imp!$I$4:$I$1503,_imp!$C$508))</f>
        <v/>
      </c>
      <c r="K506" s="47">
        <f>IF(_imp!$C$508="","",INDEX(_imp!$J$4:$J$1503,_imp!$C$508))</f>
        <v/>
      </c>
    </row>
    <row r="507">
      <c r="A507" s="47">
        <f>IF(_imp!$C$509="","",INDEX(_imp!$D$4:$D$1503,_imp!$C$509))</f>
        <v/>
      </c>
      <c r="B507" s="47">
        <f>IF(_imp!$C$509="","",INDEX(_imp!$E$4:$E$1503,_imp!$C$509))</f>
        <v/>
      </c>
      <c r="C507" s="47">
        <f>IF(_imp!$C$509="","",INDEX(_imp!$F$4:$F$1503,_imp!$C$509))</f>
        <v/>
      </c>
      <c r="E507" s="47">
        <f>IF(_imp!$C$509="","",INDEX(_imp!$G$4:$G$1503,_imp!$C$509))</f>
        <v/>
      </c>
      <c r="F507" s="47">
        <f>IF(_imp!$C$509="","",INDEX(_imp!$H$4:$H$1503,_imp!$C$509))</f>
        <v/>
      </c>
      <c r="G507" s="47">
        <f>IF(_imp!$C$509="","",INDEX(_imp!$I$4:$I$1503,_imp!$C$509))</f>
        <v/>
      </c>
      <c r="K507" s="47">
        <f>IF(_imp!$C$509="","",INDEX(_imp!$J$4:$J$1503,_imp!$C$509))</f>
        <v/>
      </c>
    </row>
    <row r="508">
      <c r="A508" s="47">
        <f>IF(_imp!$C$510="","",INDEX(_imp!$D$4:$D$1503,_imp!$C$510))</f>
        <v/>
      </c>
      <c r="B508" s="47">
        <f>IF(_imp!$C$510="","",INDEX(_imp!$E$4:$E$1503,_imp!$C$510))</f>
        <v/>
      </c>
      <c r="C508" s="47">
        <f>IF(_imp!$C$510="","",INDEX(_imp!$F$4:$F$1503,_imp!$C$510))</f>
        <v/>
      </c>
      <c r="E508" s="47">
        <f>IF(_imp!$C$510="","",INDEX(_imp!$G$4:$G$1503,_imp!$C$510))</f>
        <v/>
      </c>
      <c r="F508" s="47">
        <f>IF(_imp!$C$510="","",INDEX(_imp!$H$4:$H$1503,_imp!$C$510))</f>
        <v/>
      </c>
      <c r="G508" s="47">
        <f>IF(_imp!$C$510="","",INDEX(_imp!$I$4:$I$1503,_imp!$C$510))</f>
        <v/>
      </c>
      <c r="K508" s="47">
        <f>IF(_imp!$C$510="","",INDEX(_imp!$J$4:$J$1503,_imp!$C$510))</f>
        <v/>
      </c>
    </row>
    <row r="509">
      <c r="A509" s="47">
        <f>IF(_imp!$C$511="","",INDEX(_imp!$D$4:$D$1503,_imp!$C$511))</f>
        <v/>
      </c>
      <c r="B509" s="47">
        <f>IF(_imp!$C$511="","",INDEX(_imp!$E$4:$E$1503,_imp!$C$511))</f>
        <v/>
      </c>
      <c r="C509" s="47">
        <f>IF(_imp!$C$511="","",INDEX(_imp!$F$4:$F$1503,_imp!$C$511))</f>
        <v/>
      </c>
      <c r="E509" s="47">
        <f>IF(_imp!$C$511="","",INDEX(_imp!$G$4:$G$1503,_imp!$C$511))</f>
        <v/>
      </c>
      <c r="F509" s="47">
        <f>IF(_imp!$C$511="","",INDEX(_imp!$H$4:$H$1503,_imp!$C$511))</f>
        <v/>
      </c>
      <c r="G509" s="47">
        <f>IF(_imp!$C$511="","",INDEX(_imp!$I$4:$I$1503,_imp!$C$511))</f>
        <v/>
      </c>
      <c r="K509" s="47">
        <f>IF(_imp!$C$511="","",INDEX(_imp!$J$4:$J$1503,_imp!$C$511))</f>
        <v/>
      </c>
    </row>
    <row r="510">
      <c r="A510" s="47">
        <f>IF(_imp!$C$512="","",INDEX(_imp!$D$4:$D$1503,_imp!$C$512))</f>
        <v/>
      </c>
      <c r="B510" s="47">
        <f>IF(_imp!$C$512="","",INDEX(_imp!$E$4:$E$1503,_imp!$C$512))</f>
        <v/>
      </c>
      <c r="C510" s="47">
        <f>IF(_imp!$C$512="","",INDEX(_imp!$F$4:$F$1503,_imp!$C$512))</f>
        <v/>
      </c>
      <c r="E510" s="47">
        <f>IF(_imp!$C$512="","",INDEX(_imp!$G$4:$G$1503,_imp!$C$512))</f>
        <v/>
      </c>
      <c r="F510" s="47">
        <f>IF(_imp!$C$512="","",INDEX(_imp!$H$4:$H$1503,_imp!$C$512))</f>
        <v/>
      </c>
      <c r="G510" s="47">
        <f>IF(_imp!$C$512="","",INDEX(_imp!$I$4:$I$1503,_imp!$C$512))</f>
        <v/>
      </c>
      <c r="K510" s="47">
        <f>IF(_imp!$C$512="","",INDEX(_imp!$J$4:$J$1503,_imp!$C$512))</f>
        <v/>
      </c>
    </row>
    <row r="511">
      <c r="A511" s="47">
        <f>IF(_imp!$C$513="","",INDEX(_imp!$D$4:$D$1503,_imp!$C$513))</f>
        <v/>
      </c>
      <c r="B511" s="47">
        <f>IF(_imp!$C$513="","",INDEX(_imp!$E$4:$E$1503,_imp!$C$513))</f>
        <v/>
      </c>
      <c r="C511" s="47">
        <f>IF(_imp!$C$513="","",INDEX(_imp!$F$4:$F$1503,_imp!$C$513))</f>
        <v/>
      </c>
      <c r="E511" s="47">
        <f>IF(_imp!$C$513="","",INDEX(_imp!$G$4:$G$1503,_imp!$C$513))</f>
        <v/>
      </c>
      <c r="F511" s="47">
        <f>IF(_imp!$C$513="","",INDEX(_imp!$H$4:$H$1503,_imp!$C$513))</f>
        <v/>
      </c>
      <c r="G511" s="47">
        <f>IF(_imp!$C$513="","",INDEX(_imp!$I$4:$I$1503,_imp!$C$513))</f>
        <v/>
      </c>
      <c r="K511" s="47">
        <f>IF(_imp!$C$513="","",INDEX(_imp!$J$4:$J$1503,_imp!$C$513))</f>
        <v/>
      </c>
    </row>
    <row r="512">
      <c r="A512" s="47">
        <f>IF(_imp!$C$514="","",INDEX(_imp!$D$4:$D$1503,_imp!$C$514))</f>
        <v/>
      </c>
      <c r="B512" s="47">
        <f>IF(_imp!$C$514="","",INDEX(_imp!$E$4:$E$1503,_imp!$C$514))</f>
        <v/>
      </c>
      <c r="C512" s="47">
        <f>IF(_imp!$C$514="","",INDEX(_imp!$F$4:$F$1503,_imp!$C$514))</f>
        <v/>
      </c>
      <c r="E512" s="47">
        <f>IF(_imp!$C$514="","",INDEX(_imp!$G$4:$G$1503,_imp!$C$514))</f>
        <v/>
      </c>
      <c r="F512" s="47">
        <f>IF(_imp!$C$514="","",INDEX(_imp!$H$4:$H$1503,_imp!$C$514))</f>
        <v/>
      </c>
      <c r="G512" s="47">
        <f>IF(_imp!$C$514="","",INDEX(_imp!$I$4:$I$1503,_imp!$C$514))</f>
        <v/>
      </c>
      <c r="K512" s="47">
        <f>IF(_imp!$C$514="","",INDEX(_imp!$J$4:$J$1503,_imp!$C$514))</f>
        <v/>
      </c>
    </row>
    <row r="513">
      <c r="A513" s="47">
        <f>IF(_imp!$C$515="","",INDEX(_imp!$D$4:$D$1503,_imp!$C$515))</f>
        <v/>
      </c>
      <c r="B513" s="47">
        <f>IF(_imp!$C$515="","",INDEX(_imp!$E$4:$E$1503,_imp!$C$515))</f>
        <v/>
      </c>
      <c r="C513" s="47">
        <f>IF(_imp!$C$515="","",INDEX(_imp!$F$4:$F$1503,_imp!$C$515))</f>
        <v/>
      </c>
      <c r="E513" s="47">
        <f>IF(_imp!$C$515="","",INDEX(_imp!$G$4:$G$1503,_imp!$C$515))</f>
        <v/>
      </c>
      <c r="F513" s="47">
        <f>IF(_imp!$C$515="","",INDEX(_imp!$H$4:$H$1503,_imp!$C$515))</f>
        <v/>
      </c>
      <c r="G513" s="47">
        <f>IF(_imp!$C$515="","",INDEX(_imp!$I$4:$I$1503,_imp!$C$515))</f>
        <v/>
      </c>
      <c r="K513" s="47">
        <f>IF(_imp!$C$515="","",INDEX(_imp!$J$4:$J$1503,_imp!$C$515))</f>
        <v/>
      </c>
    </row>
    <row r="514">
      <c r="A514" s="47">
        <f>IF(_imp!$C$516="","",INDEX(_imp!$D$4:$D$1503,_imp!$C$516))</f>
        <v/>
      </c>
      <c r="B514" s="47">
        <f>IF(_imp!$C$516="","",INDEX(_imp!$E$4:$E$1503,_imp!$C$516))</f>
        <v/>
      </c>
      <c r="C514" s="47">
        <f>IF(_imp!$C$516="","",INDEX(_imp!$F$4:$F$1503,_imp!$C$516))</f>
        <v/>
      </c>
      <c r="E514" s="47">
        <f>IF(_imp!$C$516="","",INDEX(_imp!$G$4:$G$1503,_imp!$C$516))</f>
        <v/>
      </c>
      <c r="F514" s="47">
        <f>IF(_imp!$C$516="","",INDEX(_imp!$H$4:$H$1503,_imp!$C$516))</f>
        <v/>
      </c>
      <c r="G514" s="47">
        <f>IF(_imp!$C$516="","",INDEX(_imp!$I$4:$I$1503,_imp!$C$516))</f>
        <v/>
      </c>
      <c r="K514" s="47">
        <f>IF(_imp!$C$516="","",INDEX(_imp!$J$4:$J$1503,_imp!$C$516))</f>
        <v/>
      </c>
    </row>
    <row r="515">
      <c r="A515" s="47">
        <f>IF(_imp!$C$517="","",INDEX(_imp!$D$4:$D$1503,_imp!$C$517))</f>
        <v/>
      </c>
      <c r="B515" s="47">
        <f>IF(_imp!$C$517="","",INDEX(_imp!$E$4:$E$1503,_imp!$C$517))</f>
        <v/>
      </c>
      <c r="C515" s="47">
        <f>IF(_imp!$C$517="","",INDEX(_imp!$F$4:$F$1503,_imp!$C$517))</f>
        <v/>
      </c>
      <c r="E515" s="47">
        <f>IF(_imp!$C$517="","",INDEX(_imp!$G$4:$G$1503,_imp!$C$517))</f>
        <v/>
      </c>
      <c r="F515" s="47">
        <f>IF(_imp!$C$517="","",INDEX(_imp!$H$4:$H$1503,_imp!$C$517))</f>
        <v/>
      </c>
      <c r="G515" s="47">
        <f>IF(_imp!$C$517="","",INDEX(_imp!$I$4:$I$1503,_imp!$C$517))</f>
        <v/>
      </c>
      <c r="K515" s="47">
        <f>IF(_imp!$C$517="","",INDEX(_imp!$J$4:$J$1503,_imp!$C$517))</f>
        <v/>
      </c>
    </row>
    <row r="516">
      <c r="A516" s="47">
        <f>IF(_imp!$C$518="","",INDEX(_imp!$D$4:$D$1503,_imp!$C$518))</f>
        <v/>
      </c>
      <c r="B516" s="47">
        <f>IF(_imp!$C$518="","",INDEX(_imp!$E$4:$E$1503,_imp!$C$518))</f>
        <v/>
      </c>
      <c r="C516" s="47">
        <f>IF(_imp!$C$518="","",INDEX(_imp!$F$4:$F$1503,_imp!$C$518))</f>
        <v/>
      </c>
      <c r="E516" s="47">
        <f>IF(_imp!$C$518="","",INDEX(_imp!$G$4:$G$1503,_imp!$C$518))</f>
        <v/>
      </c>
      <c r="F516" s="47">
        <f>IF(_imp!$C$518="","",INDEX(_imp!$H$4:$H$1503,_imp!$C$518))</f>
        <v/>
      </c>
      <c r="G516" s="47">
        <f>IF(_imp!$C$518="","",INDEX(_imp!$I$4:$I$1503,_imp!$C$518))</f>
        <v/>
      </c>
      <c r="K516" s="47">
        <f>IF(_imp!$C$518="","",INDEX(_imp!$J$4:$J$1503,_imp!$C$518))</f>
        <v/>
      </c>
    </row>
    <row r="517">
      <c r="A517" s="47">
        <f>IF(_imp!$C$519="","",INDEX(_imp!$D$4:$D$1503,_imp!$C$519))</f>
        <v/>
      </c>
      <c r="B517" s="47">
        <f>IF(_imp!$C$519="","",INDEX(_imp!$E$4:$E$1503,_imp!$C$519))</f>
        <v/>
      </c>
      <c r="C517" s="47">
        <f>IF(_imp!$C$519="","",INDEX(_imp!$F$4:$F$1503,_imp!$C$519))</f>
        <v/>
      </c>
      <c r="E517" s="47">
        <f>IF(_imp!$C$519="","",INDEX(_imp!$G$4:$G$1503,_imp!$C$519))</f>
        <v/>
      </c>
      <c r="F517" s="47">
        <f>IF(_imp!$C$519="","",INDEX(_imp!$H$4:$H$1503,_imp!$C$519))</f>
        <v/>
      </c>
      <c r="G517" s="47">
        <f>IF(_imp!$C$519="","",INDEX(_imp!$I$4:$I$1503,_imp!$C$519))</f>
        <v/>
      </c>
      <c r="K517" s="47">
        <f>IF(_imp!$C$519="","",INDEX(_imp!$J$4:$J$1503,_imp!$C$519))</f>
        <v/>
      </c>
    </row>
    <row r="518">
      <c r="A518" s="47">
        <f>IF(_imp!$C$520="","",INDEX(_imp!$D$4:$D$1503,_imp!$C$520))</f>
        <v/>
      </c>
      <c r="B518" s="47">
        <f>IF(_imp!$C$520="","",INDEX(_imp!$E$4:$E$1503,_imp!$C$520))</f>
        <v/>
      </c>
      <c r="C518" s="47">
        <f>IF(_imp!$C$520="","",INDEX(_imp!$F$4:$F$1503,_imp!$C$520))</f>
        <v/>
      </c>
      <c r="E518" s="47">
        <f>IF(_imp!$C$520="","",INDEX(_imp!$G$4:$G$1503,_imp!$C$520))</f>
        <v/>
      </c>
      <c r="F518" s="47">
        <f>IF(_imp!$C$520="","",INDEX(_imp!$H$4:$H$1503,_imp!$C$520))</f>
        <v/>
      </c>
      <c r="G518" s="47">
        <f>IF(_imp!$C$520="","",INDEX(_imp!$I$4:$I$1503,_imp!$C$520))</f>
        <v/>
      </c>
      <c r="K518" s="47">
        <f>IF(_imp!$C$520="","",INDEX(_imp!$J$4:$J$1503,_imp!$C$520))</f>
        <v/>
      </c>
    </row>
    <row r="519">
      <c r="A519" s="47">
        <f>IF(_imp!$C$521="","",INDEX(_imp!$D$4:$D$1503,_imp!$C$521))</f>
        <v/>
      </c>
      <c r="B519" s="47">
        <f>IF(_imp!$C$521="","",INDEX(_imp!$E$4:$E$1503,_imp!$C$521))</f>
        <v/>
      </c>
      <c r="C519" s="47">
        <f>IF(_imp!$C$521="","",INDEX(_imp!$F$4:$F$1503,_imp!$C$521))</f>
        <v/>
      </c>
      <c r="E519" s="47">
        <f>IF(_imp!$C$521="","",INDEX(_imp!$G$4:$G$1503,_imp!$C$521))</f>
        <v/>
      </c>
      <c r="F519" s="47">
        <f>IF(_imp!$C$521="","",INDEX(_imp!$H$4:$H$1503,_imp!$C$521))</f>
        <v/>
      </c>
      <c r="G519" s="47">
        <f>IF(_imp!$C$521="","",INDEX(_imp!$I$4:$I$1503,_imp!$C$521))</f>
        <v/>
      </c>
      <c r="K519" s="47">
        <f>IF(_imp!$C$521="","",INDEX(_imp!$J$4:$J$1503,_imp!$C$521))</f>
        <v/>
      </c>
    </row>
    <row r="520">
      <c r="A520" s="47">
        <f>IF(_imp!$C$522="","",INDEX(_imp!$D$4:$D$1503,_imp!$C$522))</f>
        <v/>
      </c>
      <c r="B520" s="47">
        <f>IF(_imp!$C$522="","",INDEX(_imp!$E$4:$E$1503,_imp!$C$522))</f>
        <v/>
      </c>
      <c r="C520" s="47">
        <f>IF(_imp!$C$522="","",INDEX(_imp!$F$4:$F$1503,_imp!$C$522))</f>
        <v/>
      </c>
      <c r="E520" s="47">
        <f>IF(_imp!$C$522="","",INDEX(_imp!$G$4:$G$1503,_imp!$C$522))</f>
        <v/>
      </c>
      <c r="F520" s="47">
        <f>IF(_imp!$C$522="","",INDEX(_imp!$H$4:$H$1503,_imp!$C$522))</f>
        <v/>
      </c>
      <c r="G520" s="47">
        <f>IF(_imp!$C$522="","",INDEX(_imp!$I$4:$I$1503,_imp!$C$522))</f>
        <v/>
      </c>
      <c r="K520" s="47">
        <f>IF(_imp!$C$522="","",INDEX(_imp!$J$4:$J$1503,_imp!$C$522))</f>
        <v/>
      </c>
    </row>
    <row r="521">
      <c r="A521" s="47">
        <f>IF(_imp!$C$523="","",INDEX(_imp!$D$4:$D$1503,_imp!$C$523))</f>
        <v/>
      </c>
      <c r="B521" s="47">
        <f>IF(_imp!$C$523="","",INDEX(_imp!$E$4:$E$1503,_imp!$C$523))</f>
        <v/>
      </c>
      <c r="C521" s="47">
        <f>IF(_imp!$C$523="","",INDEX(_imp!$F$4:$F$1503,_imp!$C$523))</f>
        <v/>
      </c>
      <c r="E521" s="47">
        <f>IF(_imp!$C$523="","",INDEX(_imp!$G$4:$G$1503,_imp!$C$523))</f>
        <v/>
      </c>
      <c r="F521" s="47">
        <f>IF(_imp!$C$523="","",INDEX(_imp!$H$4:$H$1503,_imp!$C$523))</f>
        <v/>
      </c>
      <c r="G521" s="47">
        <f>IF(_imp!$C$523="","",INDEX(_imp!$I$4:$I$1503,_imp!$C$523))</f>
        <v/>
      </c>
      <c r="K521" s="47">
        <f>IF(_imp!$C$523="","",INDEX(_imp!$J$4:$J$1503,_imp!$C$523))</f>
        <v/>
      </c>
    </row>
    <row r="522">
      <c r="A522" s="47">
        <f>IF(_imp!$C$524="","",INDEX(_imp!$D$4:$D$1503,_imp!$C$524))</f>
        <v/>
      </c>
      <c r="B522" s="47">
        <f>IF(_imp!$C$524="","",INDEX(_imp!$E$4:$E$1503,_imp!$C$524))</f>
        <v/>
      </c>
      <c r="C522" s="47">
        <f>IF(_imp!$C$524="","",INDEX(_imp!$F$4:$F$1503,_imp!$C$524))</f>
        <v/>
      </c>
      <c r="E522" s="47">
        <f>IF(_imp!$C$524="","",INDEX(_imp!$G$4:$G$1503,_imp!$C$524))</f>
        <v/>
      </c>
      <c r="F522" s="47">
        <f>IF(_imp!$C$524="","",INDEX(_imp!$H$4:$H$1503,_imp!$C$524))</f>
        <v/>
      </c>
      <c r="G522" s="47">
        <f>IF(_imp!$C$524="","",INDEX(_imp!$I$4:$I$1503,_imp!$C$524))</f>
        <v/>
      </c>
      <c r="K522" s="47">
        <f>IF(_imp!$C$524="","",INDEX(_imp!$J$4:$J$1503,_imp!$C$524))</f>
        <v/>
      </c>
    </row>
    <row r="523">
      <c r="A523" s="47">
        <f>IF(_imp!$C$525="","",INDEX(_imp!$D$4:$D$1503,_imp!$C$525))</f>
        <v/>
      </c>
      <c r="B523" s="47">
        <f>IF(_imp!$C$525="","",INDEX(_imp!$E$4:$E$1503,_imp!$C$525))</f>
        <v/>
      </c>
      <c r="C523" s="47">
        <f>IF(_imp!$C$525="","",INDEX(_imp!$F$4:$F$1503,_imp!$C$525))</f>
        <v/>
      </c>
      <c r="E523" s="47">
        <f>IF(_imp!$C$525="","",INDEX(_imp!$G$4:$G$1503,_imp!$C$525))</f>
        <v/>
      </c>
      <c r="F523" s="47">
        <f>IF(_imp!$C$525="","",INDEX(_imp!$H$4:$H$1503,_imp!$C$525))</f>
        <v/>
      </c>
      <c r="G523" s="47">
        <f>IF(_imp!$C$525="","",INDEX(_imp!$I$4:$I$1503,_imp!$C$525))</f>
        <v/>
      </c>
      <c r="K523" s="47">
        <f>IF(_imp!$C$525="","",INDEX(_imp!$J$4:$J$1503,_imp!$C$525))</f>
        <v/>
      </c>
    </row>
    <row r="524">
      <c r="A524" s="47">
        <f>IF(_imp!$C$526="","",INDEX(_imp!$D$4:$D$1503,_imp!$C$526))</f>
        <v/>
      </c>
      <c r="B524" s="47">
        <f>IF(_imp!$C$526="","",INDEX(_imp!$E$4:$E$1503,_imp!$C$526))</f>
        <v/>
      </c>
      <c r="C524" s="47">
        <f>IF(_imp!$C$526="","",INDEX(_imp!$F$4:$F$1503,_imp!$C$526))</f>
        <v/>
      </c>
      <c r="E524" s="47">
        <f>IF(_imp!$C$526="","",INDEX(_imp!$G$4:$G$1503,_imp!$C$526))</f>
        <v/>
      </c>
      <c r="F524" s="47">
        <f>IF(_imp!$C$526="","",INDEX(_imp!$H$4:$H$1503,_imp!$C$526))</f>
        <v/>
      </c>
      <c r="G524" s="47">
        <f>IF(_imp!$C$526="","",INDEX(_imp!$I$4:$I$1503,_imp!$C$526))</f>
        <v/>
      </c>
      <c r="K524" s="47">
        <f>IF(_imp!$C$526="","",INDEX(_imp!$J$4:$J$1503,_imp!$C$526))</f>
        <v/>
      </c>
    </row>
    <row r="525">
      <c r="A525" s="47">
        <f>IF(_imp!$C$527="","",INDEX(_imp!$D$4:$D$1503,_imp!$C$527))</f>
        <v/>
      </c>
      <c r="B525" s="47">
        <f>IF(_imp!$C$527="","",INDEX(_imp!$E$4:$E$1503,_imp!$C$527))</f>
        <v/>
      </c>
      <c r="C525" s="47">
        <f>IF(_imp!$C$527="","",INDEX(_imp!$F$4:$F$1503,_imp!$C$527))</f>
        <v/>
      </c>
      <c r="E525" s="47">
        <f>IF(_imp!$C$527="","",INDEX(_imp!$G$4:$G$1503,_imp!$C$527))</f>
        <v/>
      </c>
      <c r="F525" s="47">
        <f>IF(_imp!$C$527="","",INDEX(_imp!$H$4:$H$1503,_imp!$C$527))</f>
        <v/>
      </c>
      <c r="G525" s="47">
        <f>IF(_imp!$C$527="","",INDEX(_imp!$I$4:$I$1503,_imp!$C$527))</f>
        <v/>
      </c>
      <c r="K525" s="47">
        <f>IF(_imp!$C$527="","",INDEX(_imp!$J$4:$J$1503,_imp!$C$527))</f>
        <v/>
      </c>
    </row>
    <row r="526">
      <c r="A526" s="47">
        <f>IF(_imp!$C$528="","",INDEX(_imp!$D$4:$D$1503,_imp!$C$528))</f>
        <v/>
      </c>
      <c r="B526" s="47">
        <f>IF(_imp!$C$528="","",INDEX(_imp!$E$4:$E$1503,_imp!$C$528))</f>
        <v/>
      </c>
      <c r="C526" s="47">
        <f>IF(_imp!$C$528="","",INDEX(_imp!$F$4:$F$1503,_imp!$C$528))</f>
        <v/>
      </c>
      <c r="E526" s="47">
        <f>IF(_imp!$C$528="","",INDEX(_imp!$G$4:$G$1503,_imp!$C$528))</f>
        <v/>
      </c>
      <c r="F526" s="47">
        <f>IF(_imp!$C$528="","",INDEX(_imp!$H$4:$H$1503,_imp!$C$528))</f>
        <v/>
      </c>
      <c r="G526" s="47">
        <f>IF(_imp!$C$528="","",INDEX(_imp!$I$4:$I$1503,_imp!$C$528))</f>
        <v/>
      </c>
      <c r="K526" s="47">
        <f>IF(_imp!$C$528="","",INDEX(_imp!$J$4:$J$1503,_imp!$C$528))</f>
        <v/>
      </c>
    </row>
    <row r="527">
      <c r="A527" s="47">
        <f>IF(_imp!$C$529="","",INDEX(_imp!$D$4:$D$1503,_imp!$C$529))</f>
        <v/>
      </c>
      <c r="B527" s="47">
        <f>IF(_imp!$C$529="","",INDEX(_imp!$E$4:$E$1503,_imp!$C$529))</f>
        <v/>
      </c>
      <c r="C527" s="47">
        <f>IF(_imp!$C$529="","",INDEX(_imp!$F$4:$F$1503,_imp!$C$529))</f>
        <v/>
      </c>
      <c r="E527" s="47">
        <f>IF(_imp!$C$529="","",INDEX(_imp!$G$4:$G$1503,_imp!$C$529))</f>
        <v/>
      </c>
      <c r="F527" s="47">
        <f>IF(_imp!$C$529="","",INDEX(_imp!$H$4:$H$1503,_imp!$C$529))</f>
        <v/>
      </c>
      <c r="G527" s="47">
        <f>IF(_imp!$C$529="","",INDEX(_imp!$I$4:$I$1503,_imp!$C$529))</f>
        <v/>
      </c>
      <c r="K527" s="47">
        <f>IF(_imp!$C$529="","",INDEX(_imp!$J$4:$J$1503,_imp!$C$529))</f>
        <v/>
      </c>
    </row>
    <row r="528">
      <c r="A528" s="47">
        <f>IF(_imp!$C$530="","",INDEX(_imp!$D$4:$D$1503,_imp!$C$530))</f>
        <v/>
      </c>
      <c r="B528" s="47">
        <f>IF(_imp!$C$530="","",INDEX(_imp!$E$4:$E$1503,_imp!$C$530))</f>
        <v/>
      </c>
      <c r="C528" s="47">
        <f>IF(_imp!$C$530="","",INDEX(_imp!$F$4:$F$1503,_imp!$C$530))</f>
        <v/>
      </c>
      <c r="E528" s="47">
        <f>IF(_imp!$C$530="","",INDEX(_imp!$G$4:$G$1503,_imp!$C$530))</f>
        <v/>
      </c>
      <c r="F528" s="47">
        <f>IF(_imp!$C$530="","",INDEX(_imp!$H$4:$H$1503,_imp!$C$530))</f>
        <v/>
      </c>
      <c r="G528" s="47">
        <f>IF(_imp!$C$530="","",INDEX(_imp!$I$4:$I$1503,_imp!$C$530))</f>
        <v/>
      </c>
      <c r="K528" s="47">
        <f>IF(_imp!$C$530="","",INDEX(_imp!$J$4:$J$1503,_imp!$C$530))</f>
        <v/>
      </c>
    </row>
    <row r="529">
      <c r="A529" s="47">
        <f>IF(_imp!$C$531="","",INDEX(_imp!$D$4:$D$1503,_imp!$C$531))</f>
        <v/>
      </c>
      <c r="B529" s="47">
        <f>IF(_imp!$C$531="","",INDEX(_imp!$E$4:$E$1503,_imp!$C$531))</f>
        <v/>
      </c>
      <c r="C529" s="47">
        <f>IF(_imp!$C$531="","",INDEX(_imp!$F$4:$F$1503,_imp!$C$531))</f>
        <v/>
      </c>
      <c r="E529" s="47">
        <f>IF(_imp!$C$531="","",INDEX(_imp!$G$4:$G$1503,_imp!$C$531))</f>
        <v/>
      </c>
      <c r="F529" s="47">
        <f>IF(_imp!$C$531="","",INDEX(_imp!$H$4:$H$1503,_imp!$C$531))</f>
        <v/>
      </c>
      <c r="G529" s="47">
        <f>IF(_imp!$C$531="","",INDEX(_imp!$I$4:$I$1503,_imp!$C$531))</f>
        <v/>
      </c>
      <c r="K529" s="47">
        <f>IF(_imp!$C$531="","",INDEX(_imp!$J$4:$J$1503,_imp!$C$531))</f>
        <v/>
      </c>
    </row>
    <row r="530">
      <c r="A530" s="47">
        <f>IF(_imp!$C$532="","",INDEX(_imp!$D$4:$D$1503,_imp!$C$532))</f>
        <v/>
      </c>
      <c r="B530" s="47">
        <f>IF(_imp!$C$532="","",INDEX(_imp!$E$4:$E$1503,_imp!$C$532))</f>
        <v/>
      </c>
      <c r="C530" s="47">
        <f>IF(_imp!$C$532="","",INDEX(_imp!$F$4:$F$1503,_imp!$C$532))</f>
        <v/>
      </c>
      <c r="E530" s="47">
        <f>IF(_imp!$C$532="","",INDEX(_imp!$G$4:$G$1503,_imp!$C$532))</f>
        <v/>
      </c>
      <c r="F530" s="47">
        <f>IF(_imp!$C$532="","",INDEX(_imp!$H$4:$H$1503,_imp!$C$532))</f>
        <v/>
      </c>
      <c r="G530" s="47">
        <f>IF(_imp!$C$532="","",INDEX(_imp!$I$4:$I$1503,_imp!$C$532))</f>
        <v/>
      </c>
      <c r="K530" s="47">
        <f>IF(_imp!$C$532="","",INDEX(_imp!$J$4:$J$1503,_imp!$C$532))</f>
        <v/>
      </c>
    </row>
    <row r="531">
      <c r="A531" s="47">
        <f>IF(_imp!$C$533="","",INDEX(_imp!$D$4:$D$1503,_imp!$C$533))</f>
        <v/>
      </c>
      <c r="B531" s="47">
        <f>IF(_imp!$C$533="","",INDEX(_imp!$E$4:$E$1503,_imp!$C$533))</f>
        <v/>
      </c>
      <c r="C531" s="47">
        <f>IF(_imp!$C$533="","",INDEX(_imp!$F$4:$F$1503,_imp!$C$533))</f>
        <v/>
      </c>
      <c r="E531" s="47">
        <f>IF(_imp!$C$533="","",INDEX(_imp!$G$4:$G$1503,_imp!$C$533))</f>
        <v/>
      </c>
      <c r="F531" s="47">
        <f>IF(_imp!$C$533="","",INDEX(_imp!$H$4:$H$1503,_imp!$C$533))</f>
        <v/>
      </c>
      <c r="G531" s="47">
        <f>IF(_imp!$C$533="","",INDEX(_imp!$I$4:$I$1503,_imp!$C$533))</f>
        <v/>
      </c>
      <c r="K531" s="47">
        <f>IF(_imp!$C$533="","",INDEX(_imp!$J$4:$J$1503,_imp!$C$533))</f>
        <v/>
      </c>
    </row>
    <row r="532">
      <c r="A532" s="47">
        <f>IF(_imp!$C$534="","",INDEX(_imp!$D$4:$D$1503,_imp!$C$534))</f>
        <v/>
      </c>
      <c r="B532" s="47">
        <f>IF(_imp!$C$534="","",INDEX(_imp!$E$4:$E$1503,_imp!$C$534))</f>
        <v/>
      </c>
      <c r="C532" s="47">
        <f>IF(_imp!$C$534="","",INDEX(_imp!$F$4:$F$1503,_imp!$C$534))</f>
        <v/>
      </c>
      <c r="E532" s="47">
        <f>IF(_imp!$C$534="","",INDEX(_imp!$G$4:$G$1503,_imp!$C$534))</f>
        <v/>
      </c>
      <c r="F532" s="47">
        <f>IF(_imp!$C$534="","",INDEX(_imp!$H$4:$H$1503,_imp!$C$534))</f>
        <v/>
      </c>
      <c r="G532" s="47">
        <f>IF(_imp!$C$534="","",INDEX(_imp!$I$4:$I$1503,_imp!$C$534))</f>
        <v/>
      </c>
      <c r="K532" s="47">
        <f>IF(_imp!$C$534="","",INDEX(_imp!$J$4:$J$1503,_imp!$C$534))</f>
        <v/>
      </c>
    </row>
    <row r="533">
      <c r="A533" s="47">
        <f>IF(_imp!$C$535="","",INDEX(_imp!$D$4:$D$1503,_imp!$C$535))</f>
        <v/>
      </c>
      <c r="B533" s="47">
        <f>IF(_imp!$C$535="","",INDEX(_imp!$E$4:$E$1503,_imp!$C$535))</f>
        <v/>
      </c>
      <c r="C533" s="47">
        <f>IF(_imp!$C$535="","",INDEX(_imp!$F$4:$F$1503,_imp!$C$535))</f>
        <v/>
      </c>
      <c r="E533" s="47">
        <f>IF(_imp!$C$535="","",INDEX(_imp!$G$4:$G$1503,_imp!$C$535))</f>
        <v/>
      </c>
      <c r="F533" s="47">
        <f>IF(_imp!$C$535="","",INDEX(_imp!$H$4:$H$1503,_imp!$C$535))</f>
        <v/>
      </c>
      <c r="G533" s="47">
        <f>IF(_imp!$C$535="","",INDEX(_imp!$I$4:$I$1503,_imp!$C$535))</f>
        <v/>
      </c>
      <c r="K533" s="47">
        <f>IF(_imp!$C$535="","",INDEX(_imp!$J$4:$J$1503,_imp!$C$535))</f>
        <v/>
      </c>
    </row>
    <row r="534">
      <c r="A534" s="47">
        <f>IF(_imp!$C$536="","",INDEX(_imp!$D$4:$D$1503,_imp!$C$536))</f>
        <v/>
      </c>
      <c r="B534" s="47">
        <f>IF(_imp!$C$536="","",INDEX(_imp!$E$4:$E$1503,_imp!$C$536))</f>
        <v/>
      </c>
      <c r="C534" s="47">
        <f>IF(_imp!$C$536="","",INDEX(_imp!$F$4:$F$1503,_imp!$C$536))</f>
        <v/>
      </c>
      <c r="E534" s="47">
        <f>IF(_imp!$C$536="","",INDEX(_imp!$G$4:$G$1503,_imp!$C$536))</f>
        <v/>
      </c>
      <c r="F534" s="47">
        <f>IF(_imp!$C$536="","",INDEX(_imp!$H$4:$H$1503,_imp!$C$536))</f>
        <v/>
      </c>
      <c r="G534" s="47">
        <f>IF(_imp!$C$536="","",INDEX(_imp!$I$4:$I$1503,_imp!$C$536))</f>
        <v/>
      </c>
      <c r="K534" s="47">
        <f>IF(_imp!$C$536="","",INDEX(_imp!$J$4:$J$1503,_imp!$C$536))</f>
        <v/>
      </c>
    </row>
    <row r="535">
      <c r="A535" s="47">
        <f>IF(_imp!$C$537="","",INDEX(_imp!$D$4:$D$1503,_imp!$C$537))</f>
        <v/>
      </c>
      <c r="B535" s="47">
        <f>IF(_imp!$C$537="","",INDEX(_imp!$E$4:$E$1503,_imp!$C$537))</f>
        <v/>
      </c>
      <c r="C535" s="47">
        <f>IF(_imp!$C$537="","",INDEX(_imp!$F$4:$F$1503,_imp!$C$537))</f>
        <v/>
      </c>
      <c r="E535" s="47">
        <f>IF(_imp!$C$537="","",INDEX(_imp!$G$4:$G$1503,_imp!$C$537))</f>
        <v/>
      </c>
      <c r="F535" s="47">
        <f>IF(_imp!$C$537="","",INDEX(_imp!$H$4:$H$1503,_imp!$C$537))</f>
        <v/>
      </c>
      <c r="G535" s="47">
        <f>IF(_imp!$C$537="","",INDEX(_imp!$I$4:$I$1503,_imp!$C$537))</f>
        <v/>
      </c>
      <c r="K535" s="47">
        <f>IF(_imp!$C$537="","",INDEX(_imp!$J$4:$J$1503,_imp!$C$537))</f>
        <v/>
      </c>
    </row>
    <row r="536">
      <c r="A536" s="47">
        <f>IF(_imp!$C$538="","",INDEX(_imp!$D$4:$D$1503,_imp!$C$538))</f>
        <v/>
      </c>
      <c r="B536" s="47">
        <f>IF(_imp!$C$538="","",INDEX(_imp!$E$4:$E$1503,_imp!$C$538))</f>
        <v/>
      </c>
      <c r="C536" s="47">
        <f>IF(_imp!$C$538="","",INDEX(_imp!$F$4:$F$1503,_imp!$C$538))</f>
        <v/>
      </c>
      <c r="E536" s="47">
        <f>IF(_imp!$C$538="","",INDEX(_imp!$G$4:$G$1503,_imp!$C$538))</f>
        <v/>
      </c>
      <c r="F536" s="47">
        <f>IF(_imp!$C$538="","",INDEX(_imp!$H$4:$H$1503,_imp!$C$538))</f>
        <v/>
      </c>
      <c r="G536" s="47">
        <f>IF(_imp!$C$538="","",INDEX(_imp!$I$4:$I$1503,_imp!$C$538))</f>
        <v/>
      </c>
      <c r="K536" s="47">
        <f>IF(_imp!$C$538="","",INDEX(_imp!$J$4:$J$1503,_imp!$C$538))</f>
        <v/>
      </c>
    </row>
    <row r="537">
      <c r="A537" s="47">
        <f>IF(_imp!$C$539="","",INDEX(_imp!$D$4:$D$1503,_imp!$C$539))</f>
        <v/>
      </c>
      <c r="B537" s="47">
        <f>IF(_imp!$C$539="","",INDEX(_imp!$E$4:$E$1503,_imp!$C$539))</f>
        <v/>
      </c>
      <c r="C537" s="47">
        <f>IF(_imp!$C$539="","",INDEX(_imp!$F$4:$F$1503,_imp!$C$539))</f>
        <v/>
      </c>
      <c r="E537" s="47">
        <f>IF(_imp!$C$539="","",INDEX(_imp!$G$4:$G$1503,_imp!$C$539))</f>
        <v/>
      </c>
      <c r="F537" s="47">
        <f>IF(_imp!$C$539="","",INDEX(_imp!$H$4:$H$1503,_imp!$C$539))</f>
        <v/>
      </c>
      <c r="G537" s="47">
        <f>IF(_imp!$C$539="","",INDEX(_imp!$I$4:$I$1503,_imp!$C$539))</f>
        <v/>
      </c>
      <c r="K537" s="47">
        <f>IF(_imp!$C$539="","",INDEX(_imp!$J$4:$J$1503,_imp!$C$539))</f>
        <v/>
      </c>
    </row>
    <row r="538">
      <c r="A538" s="47">
        <f>IF(_imp!$C$540="","",INDEX(_imp!$D$4:$D$1503,_imp!$C$540))</f>
        <v/>
      </c>
      <c r="B538" s="47">
        <f>IF(_imp!$C$540="","",INDEX(_imp!$E$4:$E$1503,_imp!$C$540))</f>
        <v/>
      </c>
      <c r="C538" s="47">
        <f>IF(_imp!$C$540="","",INDEX(_imp!$F$4:$F$1503,_imp!$C$540))</f>
        <v/>
      </c>
      <c r="E538" s="47">
        <f>IF(_imp!$C$540="","",INDEX(_imp!$G$4:$G$1503,_imp!$C$540))</f>
        <v/>
      </c>
      <c r="F538" s="47">
        <f>IF(_imp!$C$540="","",INDEX(_imp!$H$4:$H$1503,_imp!$C$540))</f>
        <v/>
      </c>
      <c r="G538" s="47">
        <f>IF(_imp!$C$540="","",INDEX(_imp!$I$4:$I$1503,_imp!$C$540))</f>
        <v/>
      </c>
      <c r="K538" s="47">
        <f>IF(_imp!$C$540="","",INDEX(_imp!$J$4:$J$1503,_imp!$C$540))</f>
        <v/>
      </c>
    </row>
    <row r="539">
      <c r="A539" s="47">
        <f>IF(_imp!$C$541="","",INDEX(_imp!$D$4:$D$1503,_imp!$C$541))</f>
        <v/>
      </c>
      <c r="B539" s="47">
        <f>IF(_imp!$C$541="","",INDEX(_imp!$E$4:$E$1503,_imp!$C$541))</f>
        <v/>
      </c>
      <c r="C539" s="47">
        <f>IF(_imp!$C$541="","",INDEX(_imp!$F$4:$F$1503,_imp!$C$541))</f>
        <v/>
      </c>
      <c r="E539" s="47">
        <f>IF(_imp!$C$541="","",INDEX(_imp!$G$4:$G$1503,_imp!$C$541))</f>
        <v/>
      </c>
      <c r="F539" s="47">
        <f>IF(_imp!$C$541="","",INDEX(_imp!$H$4:$H$1503,_imp!$C$541))</f>
        <v/>
      </c>
      <c r="G539" s="47">
        <f>IF(_imp!$C$541="","",INDEX(_imp!$I$4:$I$1503,_imp!$C$541))</f>
        <v/>
      </c>
      <c r="K539" s="47">
        <f>IF(_imp!$C$541="","",INDEX(_imp!$J$4:$J$1503,_imp!$C$541))</f>
        <v/>
      </c>
    </row>
    <row r="540">
      <c r="A540" s="47">
        <f>IF(_imp!$C$542="","",INDEX(_imp!$D$4:$D$1503,_imp!$C$542))</f>
        <v/>
      </c>
      <c r="B540" s="47">
        <f>IF(_imp!$C$542="","",INDEX(_imp!$E$4:$E$1503,_imp!$C$542))</f>
        <v/>
      </c>
      <c r="C540" s="47">
        <f>IF(_imp!$C$542="","",INDEX(_imp!$F$4:$F$1503,_imp!$C$542))</f>
        <v/>
      </c>
      <c r="E540" s="47">
        <f>IF(_imp!$C$542="","",INDEX(_imp!$G$4:$G$1503,_imp!$C$542))</f>
        <v/>
      </c>
      <c r="F540" s="47">
        <f>IF(_imp!$C$542="","",INDEX(_imp!$H$4:$H$1503,_imp!$C$542))</f>
        <v/>
      </c>
      <c r="G540" s="47">
        <f>IF(_imp!$C$542="","",INDEX(_imp!$I$4:$I$1503,_imp!$C$542))</f>
        <v/>
      </c>
      <c r="K540" s="47">
        <f>IF(_imp!$C$542="","",INDEX(_imp!$J$4:$J$1503,_imp!$C$542))</f>
        <v/>
      </c>
    </row>
    <row r="541">
      <c r="A541" s="47">
        <f>IF(_imp!$C$543="","",INDEX(_imp!$D$4:$D$1503,_imp!$C$543))</f>
        <v/>
      </c>
      <c r="B541" s="47">
        <f>IF(_imp!$C$543="","",INDEX(_imp!$E$4:$E$1503,_imp!$C$543))</f>
        <v/>
      </c>
      <c r="C541" s="47">
        <f>IF(_imp!$C$543="","",INDEX(_imp!$F$4:$F$1503,_imp!$C$543))</f>
        <v/>
      </c>
      <c r="E541" s="47">
        <f>IF(_imp!$C$543="","",INDEX(_imp!$G$4:$G$1503,_imp!$C$543))</f>
        <v/>
      </c>
      <c r="F541" s="47">
        <f>IF(_imp!$C$543="","",INDEX(_imp!$H$4:$H$1503,_imp!$C$543))</f>
        <v/>
      </c>
      <c r="G541" s="47">
        <f>IF(_imp!$C$543="","",INDEX(_imp!$I$4:$I$1503,_imp!$C$543))</f>
        <v/>
      </c>
      <c r="K541" s="47">
        <f>IF(_imp!$C$543="","",INDEX(_imp!$J$4:$J$1503,_imp!$C$543))</f>
        <v/>
      </c>
    </row>
    <row r="542">
      <c r="A542" s="47">
        <f>IF(_imp!$C$544="","",INDEX(_imp!$D$4:$D$1503,_imp!$C$544))</f>
        <v/>
      </c>
      <c r="B542" s="47">
        <f>IF(_imp!$C$544="","",INDEX(_imp!$E$4:$E$1503,_imp!$C$544))</f>
        <v/>
      </c>
      <c r="C542" s="47">
        <f>IF(_imp!$C$544="","",INDEX(_imp!$F$4:$F$1503,_imp!$C$544))</f>
        <v/>
      </c>
      <c r="E542" s="47">
        <f>IF(_imp!$C$544="","",INDEX(_imp!$G$4:$G$1503,_imp!$C$544))</f>
        <v/>
      </c>
      <c r="F542" s="47">
        <f>IF(_imp!$C$544="","",INDEX(_imp!$H$4:$H$1503,_imp!$C$544))</f>
        <v/>
      </c>
      <c r="G542" s="47">
        <f>IF(_imp!$C$544="","",INDEX(_imp!$I$4:$I$1503,_imp!$C$544))</f>
        <v/>
      </c>
      <c r="K542" s="47">
        <f>IF(_imp!$C$544="","",INDEX(_imp!$J$4:$J$1503,_imp!$C$544))</f>
        <v/>
      </c>
    </row>
    <row r="543">
      <c r="A543" s="47">
        <f>IF(_imp!$C$545="","",INDEX(_imp!$D$4:$D$1503,_imp!$C$545))</f>
        <v/>
      </c>
      <c r="B543" s="47">
        <f>IF(_imp!$C$545="","",INDEX(_imp!$E$4:$E$1503,_imp!$C$545))</f>
        <v/>
      </c>
      <c r="C543" s="47">
        <f>IF(_imp!$C$545="","",INDEX(_imp!$F$4:$F$1503,_imp!$C$545))</f>
        <v/>
      </c>
      <c r="E543" s="47">
        <f>IF(_imp!$C$545="","",INDEX(_imp!$G$4:$G$1503,_imp!$C$545))</f>
        <v/>
      </c>
      <c r="F543" s="47">
        <f>IF(_imp!$C$545="","",INDEX(_imp!$H$4:$H$1503,_imp!$C$545))</f>
        <v/>
      </c>
      <c r="G543" s="47">
        <f>IF(_imp!$C$545="","",INDEX(_imp!$I$4:$I$1503,_imp!$C$545))</f>
        <v/>
      </c>
      <c r="K543" s="47">
        <f>IF(_imp!$C$545="","",INDEX(_imp!$J$4:$J$1503,_imp!$C$545))</f>
        <v/>
      </c>
    </row>
    <row r="544">
      <c r="A544" s="47">
        <f>IF(_imp!$C$546="","",INDEX(_imp!$D$4:$D$1503,_imp!$C$546))</f>
        <v/>
      </c>
      <c r="B544" s="47">
        <f>IF(_imp!$C$546="","",INDEX(_imp!$E$4:$E$1503,_imp!$C$546))</f>
        <v/>
      </c>
      <c r="C544" s="47">
        <f>IF(_imp!$C$546="","",INDEX(_imp!$F$4:$F$1503,_imp!$C$546))</f>
        <v/>
      </c>
      <c r="E544" s="47">
        <f>IF(_imp!$C$546="","",INDEX(_imp!$G$4:$G$1503,_imp!$C$546))</f>
        <v/>
      </c>
      <c r="F544" s="47">
        <f>IF(_imp!$C$546="","",INDEX(_imp!$H$4:$H$1503,_imp!$C$546))</f>
        <v/>
      </c>
      <c r="G544" s="47">
        <f>IF(_imp!$C$546="","",INDEX(_imp!$I$4:$I$1503,_imp!$C$546))</f>
        <v/>
      </c>
      <c r="K544" s="47">
        <f>IF(_imp!$C$546="","",INDEX(_imp!$J$4:$J$1503,_imp!$C$546))</f>
        <v/>
      </c>
    </row>
    <row r="545">
      <c r="A545" s="47">
        <f>IF(_imp!$C$547="","",INDEX(_imp!$D$4:$D$1503,_imp!$C$547))</f>
        <v/>
      </c>
      <c r="B545" s="47">
        <f>IF(_imp!$C$547="","",INDEX(_imp!$E$4:$E$1503,_imp!$C$547))</f>
        <v/>
      </c>
      <c r="C545" s="47">
        <f>IF(_imp!$C$547="","",INDEX(_imp!$F$4:$F$1503,_imp!$C$547))</f>
        <v/>
      </c>
      <c r="E545" s="47">
        <f>IF(_imp!$C$547="","",INDEX(_imp!$G$4:$G$1503,_imp!$C$547))</f>
        <v/>
      </c>
      <c r="F545" s="47">
        <f>IF(_imp!$C$547="","",INDEX(_imp!$H$4:$H$1503,_imp!$C$547))</f>
        <v/>
      </c>
      <c r="G545" s="47">
        <f>IF(_imp!$C$547="","",INDEX(_imp!$I$4:$I$1503,_imp!$C$547))</f>
        <v/>
      </c>
      <c r="K545" s="47">
        <f>IF(_imp!$C$547="","",INDEX(_imp!$J$4:$J$1503,_imp!$C$547))</f>
        <v/>
      </c>
    </row>
    <row r="546">
      <c r="A546" s="47">
        <f>IF(_imp!$C$548="","",INDEX(_imp!$D$4:$D$1503,_imp!$C$548))</f>
        <v/>
      </c>
      <c r="B546" s="47">
        <f>IF(_imp!$C$548="","",INDEX(_imp!$E$4:$E$1503,_imp!$C$548))</f>
        <v/>
      </c>
      <c r="C546" s="47">
        <f>IF(_imp!$C$548="","",INDEX(_imp!$F$4:$F$1503,_imp!$C$548))</f>
        <v/>
      </c>
      <c r="E546" s="47">
        <f>IF(_imp!$C$548="","",INDEX(_imp!$G$4:$G$1503,_imp!$C$548))</f>
        <v/>
      </c>
      <c r="F546" s="47">
        <f>IF(_imp!$C$548="","",INDEX(_imp!$H$4:$H$1503,_imp!$C$548))</f>
        <v/>
      </c>
      <c r="G546" s="47">
        <f>IF(_imp!$C$548="","",INDEX(_imp!$I$4:$I$1503,_imp!$C$548))</f>
        <v/>
      </c>
      <c r="K546" s="47">
        <f>IF(_imp!$C$548="","",INDEX(_imp!$J$4:$J$1503,_imp!$C$548))</f>
        <v/>
      </c>
    </row>
    <row r="547">
      <c r="A547" s="47">
        <f>IF(_imp!$C$549="","",INDEX(_imp!$D$4:$D$1503,_imp!$C$549))</f>
        <v/>
      </c>
      <c r="B547" s="47">
        <f>IF(_imp!$C$549="","",INDEX(_imp!$E$4:$E$1503,_imp!$C$549))</f>
        <v/>
      </c>
      <c r="C547" s="47">
        <f>IF(_imp!$C$549="","",INDEX(_imp!$F$4:$F$1503,_imp!$C$549))</f>
        <v/>
      </c>
      <c r="E547" s="47">
        <f>IF(_imp!$C$549="","",INDEX(_imp!$G$4:$G$1503,_imp!$C$549))</f>
        <v/>
      </c>
      <c r="F547" s="47">
        <f>IF(_imp!$C$549="","",INDEX(_imp!$H$4:$H$1503,_imp!$C$549))</f>
        <v/>
      </c>
      <c r="G547" s="47">
        <f>IF(_imp!$C$549="","",INDEX(_imp!$I$4:$I$1503,_imp!$C$549))</f>
        <v/>
      </c>
      <c r="K547" s="47">
        <f>IF(_imp!$C$549="","",INDEX(_imp!$J$4:$J$1503,_imp!$C$549))</f>
        <v/>
      </c>
    </row>
    <row r="548">
      <c r="A548" s="47">
        <f>IF(_imp!$C$550="","",INDEX(_imp!$D$4:$D$1503,_imp!$C$550))</f>
        <v/>
      </c>
      <c r="B548" s="47">
        <f>IF(_imp!$C$550="","",INDEX(_imp!$E$4:$E$1503,_imp!$C$550))</f>
        <v/>
      </c>
      <c r="C548" s="47">
        <f>IF(_imp!$C$550="","",INDEX(_imp!$F$4:$F$1503,_imp!$C$550))</f>
        <v/>
      </c>
      <c r="E548" s="47">
        <f>IF(_imp!$C$550="","",INDEX(_imp!$G$4:$G$1503,_imp!$C$550))</f>
        <v/>
      </c>
      <c r="F548" s="47">
        <f>IF(_imp!$C$550="","",INDEX(_imp!$H$4:$H$1503,_imp!$C$550))</f>
        <v/>
      </c>
      <c r="G548" s="47">
        <f>IF(_imp!$C$550="","",INDEX(_imp!$I$4:$I$1503,_imp!$C$550))</f>
        <v/>
      </c>
      <c r="K548" s="47">
        <f>IF(_imp!$C$550="","",INDEX(_imp!$J$4:$J$1503,_imp!$C$550))</f>
        <v/>
      </c>
    </row>
    <row r="549">
      <c r="A549" s="47">
        <f>IF(_imp!$C$551="","",INDEX(_imp!$D$4:$D$1503,_imp!$C$551))</f>
        <v/>
      </c>
      <c r="B549" s="47">
        <f>IF(_imp!$C$551="","",INDEX(_imp!$E$4:$E$1503,_imp!$C$551))</f>
        <v/>
      </c>
      <c r="C549" s="47">
        <f>IF(_imp!$C$551="","",INDEX(_imp!$F$4:$F$1503,_imp!$C$551))</f>
        <v/>
      </c>
      <c r="E549" s="47">
        <f>IF(_imp!$C$551="","",INDEX(_imp!$G$4:$G$1503,_imp!$C$551))</f>
        <v/>
      </c>
      <c r="F549" s="47">
        <f>IF(_imp!$C$551="","",INDEX(_imp!$H$4:$H$1503,_imp!$C$551))</f>
        <v/>
      </c>
      <c r="G549" s="47">
        <f>IF(_imp!$C$551="","",INDEX(_imp!$I$4:$I$1503,_imp!$C$551))</f>
        <v/>
      </c>
      <c r="K549" s="47">
        <f>IF(_imp!$C$551="","",INDEX(_imp!$J$4:$J$1503,_imp!$C$551))</f>
        <v/>
      </c>
    </row>
    <row r="550">
      <c r="A550" s="47">
        <f>IF(_imp!$C$552="","",INDEX(_imp!$D$4:$D$1503,_imp!$C$552))</f>
        <v/>
      </c>
      <c r="B550" s="47">
        <f>IF(_imp!$C$552="","",INDEX(_imp!$E$4:$E$1503,_imp!$C$552))</f>
        <v/>
      </c>
      <c r="C550" s="47">
        <f>IF(_imp!$C$552="","",INDEX(_imp!$F$4:$F$1503,_imp!$C$552))</f>
        <v/>
      </c>
      <c r="E550" s="47">
        <f>IF(_imp!$C$552="","",INDEX(_imp!$G$4:$G$1503,_imp!$C$552))</f>
        <v/>
      </c>
      <c r="F550" s="47">
        <f>IF(_imp!$C$552="","",INDEX(_imp!$H$4:$H$1503,_imp!$C$552))</f>
        <v/>
      </c>
      <c r="G550" s="47">
        <f>IF(_imp!$C$552="","",INDEX(_imp!$I$4:$I$1503,_imp!$C$552))</f>
        <v/>
      </c>
      <c r="K550" s="47">
        <f>IF(_imp!$C$552="","",INDEX(_imp!$J$4:$J$1503,_imp!$C$552))</f>
        <v/>
      </c>
    </row>
    <row r="551">
      <c r="A551" s="47">
        <f>IF(_imp!$C$553="","",INDEX(_imp!$D$4:$D$1503,_imp!$C$553))</f>
        <v/>
      </c>
      <c r="B551" s="47">
        <f>IF(_imp!$C$553="","",INDEX(_imp!$E$4:$E$1503,_imp!$C$553))</f>
        <v/>
      </c>
      <c r="C551" s="47">
        <f>IF(_imp!$C$553="","",INDEX(_imp!$F$4:$F$1503,_imp!$C$553))</f>
        <v/>
      </c>
      <c r="E551" s="47">
        <f>IF(_imp!$C$553="","",INDEX(_imp!$G$4:$G$1503,_imp!$C$553))</f>
        <v/>
      </c>
      <c r="F551" s="47">
        <f>IF(_imp!$C$553="","",INDEX(_imp!$H$4:$H$1503,_imp!$C$553))</f>
        <v/>
      </c>
      <c r="G551" s="47">
        <f>IF(_imp!$C$553="","",INDEX(_imp!$I$4:$I$1503,_imp!$C$553))</f>
        <v/>
      </c>
      <c r="K551" s="47">
        <f>IF(_imp!$C$553="","",INDEX(_imp!$J$4:$J$1503,_imp!$C$553))</f>
        <v/>
      </c>
    </row>
    <row r="552">
      <c r="A552" s="47">
        <f>IF(_imp!$C$554="","",INDEX(_imp!$D$4:$D$1503,_imp!$C$554))</f>
        <v/>
      </c>
      <c r="B552" s="47">
        <f>IF(_imp!$C$554="","",INDEX(_imp!$E$4:$E$1503,_imp!$C$554))</f>
        <v/>
      </c>
      <c r="C552" s="47">
        <f>IF(_imp!$C$554="","",INDEX(_imp!$F$4:$F$1503,_imp!$C$554))</f>
        <v/>
      </c>
      <c r="E552" s="47">
        <f>IF(_imp!$C$554="","",INDEX(_imp!$G$4:$G$1503,_imp!$C$554))</f>
        <v/>
      </c>
      <c r="F552" s="47">
        <f>IF(_imp!$C$554="","",INDEX(_imp!$H$4:$H$1503,_imp!$C$554))</f>
        <v/>
      </c>
      <c r="G552" s="47">
        <f>IF(_imp!$C$554="","",INDEX(_imp!$I$4:$I$1503,_imp!$C$554))</f>
        <v/>
      </c>
      <c r="K552" s="47">
        <f>IF(_imp!$C$554="","",INDEX(_imp!$J$4:$J$1503,_imp!$C$554))</f>
        <v/>
      </c>
    </row>
    <row r="553">
      <c r="A553" s="47">
        <f>IF(_imp!$C$555="","",INDEX(_imp!$D$4:$D$1503,_imp!$C$555))</f>
        <v/>
      </c>
      <c r="B553" s="47">
        <f>IF(_imp!$C$555="","",INDEX(_imp!$E$4:$E$1503,_imp!$C$555))</f>
        <v/>
      </c>
      <c r="C553" s="47">
        <f>IF(_imp!$C$555="","",INDEX(_imp!$F$4:$F$1503,_imp!$C$555))</f>
        <v/>
      </c>
      <c r="E553" s="47">
        <f>IF(_imp!$C$555="","",INDEX(_imp!$G$4:$G$1503,_imp!$C$555))</f>
        <v/>
      </c>
      <c r="F553" s="47">
        <f>IF(_imp!$C$555="","",INDEX(_imp!$H$4:$H$1503,_imp!$C$555))</f>
        <v/>
      </c>
      <c r="G553" s="47">
        <f>IF(_imp!$C$555="","",INDEX(_imp!$I$4:$I$1503,_imp!$C$555))</f>
        <v/>
      </c>
      <c r="K553" s="47">
        <f>IF(_imp!$C$555="","",INDEX(_imp!$J$4:$J$1503,_imp!$C$555))</f>
        <v/>
      </c>
    </row>
    <row r="554">
      <c r="A554" s="47">
        <f>IF(_imp!$C$556="","",INDEX(_imp!$D$4:$D$1503,_imp!$C$556))</f>
        <v/>
      </c>
      <c r="B554" s="47">
        <f>IF(_imp!$C$556="","",INDEX(_imp!$E$4:$E$1503,_imp!$C$556))</f>
        <v/>
      </c>
      <c r="C554" s="47">
        <f>IF(_imp!$C$556="","",INDEX(_imp!$F$4:$F$1503,_imp!$C$556))</f>
        <v/>
      </c>
      <c r="E554" s="47">
        <f>IF(_imp!$C$556="","",INDEX(_imp!$G$4:$G$1503,_imp!$C$556))</f>
        <v/>
      </c>
      <c r="F554" s="47">
        <f>IF(_imp!$C$556="","",INDEX(_imp!$H$4:$H$1503,_imp!$C$556))</f>
        <v/>
      </c>
      <c r="G554" s="47">
        <f>IF(_imp!$C$556="","",INDEX(_imp!$I$4:$I$1503,_imp!$C$556))</f>
        <v/>
      </c>
      <c r="K554" s="47">
        <f>IF(_imp!$C$556="","",INDEX(_imp!$J$4:$J$1503,_imp!$C$556))</f>
        <v/>
      </c>
    </row>
    <row r="555">
      <c r="A555" s="47">
        <f>IF(_imp!$C$557="","",INDEX(_imp!$D$4:$D$1503,_imp!$C$557))</f>
        <v/>
      </c>
      <c r="B555" s="47">
        <f>IF(_imp!$C$557="","",INDEX(_imp!$E$4:$E$1503,_imp!$C$557))</f>
        <v/>
      </c>
      <c r="C555" s="47">
        <f>IF(_imp!$C$557="","",INDEX(_imp!$F$4:$F$1503,_imp!$C$557))</f>
        <v/>
      </c>
      <c r="E555" s="47">
        <f>IF(_imp!$C$557="","",INDEX(_imp!$G$4:$G$1503,_imp!$C$557))</f>
        <v/>
      </c>
      <c r="F555" s="47">
        <f>IF(_imp!$C$557="","",INDEX(_imp!$H$4:$H$1503,_imp!$C$557))</f>
        <v/>
      </c>
      <c r="G555" s="47">
        <f>IF(_imp!$C$557="","",INDEX(_imp!$I$4:$I$1503,_imp!$C$557))</f>
        <v/>
      </c>
      <c r="K555" s="47">
        <f>IF(_imp!$C$557="","",INDEX(_imp!$J$4:$J$1503,_imp!$C$557))</f>
        <v/>
      </c>
    </row>
    <row r="556">
      <c r="A556" s="47">
        <f>IF(_imp!$C$558="","",INDEX(_imp!$D$4:$D$1503,_imp!$C$558))</f>
        <v/>
      </c>
      <c r="B556" s="47">
        <f>IF(_imp!$C$558="","",INDEX(_imp!$E$4:$E$1503,_imp!$C$558))</f>
        <v/>
      </c>
      <c r="C556" s="47">
        <f>IF(_imp!$C$558="","",INDEX(_imp!$F$4:$F$1503,_imp!$C$558))</f>
        <v/>
      </c>
      <c r="E556" s="47">
        <f>IF(_imp!$C$558="","",INDEX(_imp!$G$4:$G$1503,_imp!$C$558))</f>
        <v/>
      </c>
      <c r="F556" s="47">
        <f>IF(_imp!$C$558="","",INDEX(_imp!$H$4:$H$1503,_imp!$C$558))</f>
        <v/>
      </c>
      <c r="G556" s="47">
        <f>IF(_imp!$C$558="","",INDEX(_imp!$I$4:$I$1503,_imp!$C$558))</f>
        <v/>
      </c>
      <c r="K556" s="47">
        <f>IF(_imp!$C$558="","",INDEX(_imp!$J$4:$J$1503,_imp!$C$558))</f>
        <v/>
      </c>
    </row>
    <row r="557">
      <c r="A557" s="47">
        <f>IF(_imp!$C$559="","",INDEX(_imp!$D$4:$D$1503,_imp!$C$559))</f>
        <v/>
      </c>
      <c r="B557" s="47">
        <f>IF(_imp!$C$559="","",INDEX(_imp!$E$4:$E$1503,_imp!$C$559))</f>
        <v/>
      </c>
      <c r="C557" s="47">
        <f>IF(_imp!$C$559="","",INDEX(_imp!$F$4:$F$1503,_imp!$C$559))</f>
        <v/>
      </c>
      <c r="E557" s="47">
        <f>IF(_imp!$C$559="","",INDEX(_imp!$G$4:$G$1503,_imp!$C$559))</f>
        <v/>
      </c>
      <c r="F557" s="47">
        <f>IF(_imp!$C$559="","",INDEX(_imp!$H$4:$H$1503,_imp!$C$559))</f>
        <v/>
      </c>
      <c r="G557" s="47">
        <f>IF(_imp!$C$559="","",INDEX(_imp!$I$4:$I$1503,_imp!$C$559))</f>
        <v/>
      </c>
      <c r="K557" s="47">
        <f>IF(_imp!$C$559="","",INDEX(_imp!$J$4:$J$1503,_imp!$C$559))</f>
        <v/>
      </c>
    </row>
    <row r="558">
      <c r="A558" s="47">
        <f>IF(_imp!$C$560="","",INDEX(_imp!$D$4:$D$1503,_imp!$C$560))</f>
        <v/>
      </c>
      <c r="B558" s="47">
        <f>IF(_imp!$C$560="","",INDEX(_imp!$E$4:$E$1503,_imp!$C$560))</f>
        <v/>
      </c>
      <c r="C558" s="47">
        <f>IF(_imp!$C$560="","",INDEX(_imp!$F$4:$F$1503,_imp!$C$560))</f>
        <v/>
      </c>
      <c r="E558" s="47">
        <f>IF(_imp!$C$560="","",INDEX(_imp!$G$4:$G$1503,_imp!$C$560))</f>
        <v/>
      </c>
      <c r="F558" s="47">
        <f>IF(_imp!$C$560="","",INDEX(_imp!$H$4:$H$1503,_imp!$C$560))</f>
        <v/>
      </c>
      <c r="G558" s="47">
        <f>IF(_imp!$C$560="","",INDEX(_imp!$I$4:$I$1503,_imp!$C$560))</f>
        <v/>
      </c>
      <c r="K558" s="47">
        <f>IF(_imp!$C$560="","",INDEX(_imp!$J$4:$J$1503,_imp!$C$560))</f>
        <v/>
      </c>
    </row>
    <row r="559">
      <c r="A559" s="47">
        <f>IF(_imp!$C$561="","",INDEX(_imp!$D$4:$D$1503,_imp!$C$561))</f>
        <v/>
      </c>
      <c r="B559" s="47">
        <f>IF(_imp!$C$561="","",INDEX(_imp!$E$4:$E$1503,_imp!$C$561))</f>
        <v/>
      </c>
      <c r="C559" s="47">
        <f>IF(_imp!$C$561="","",INDEX(_imp!$F$4:$F$1503,_imp!$C$561))</f>
        <v/>
      </c>
      <c r="E559" s="47">
        <f>IF(_imp!$C$561="","",INDEX(_imp!$G$4:$G$1503,_imp!$C$561))</f>
        <v/>
      </c>
      <c r="F559" s="47">
        <f>IF(_imp!$C$561="","",INDEX(_imp!$H$4:$H$1503,_imp!$C$561))</f>
        <v/>
      </c>
      <c r="G559" s="47">
        <f>IF(_imp!$C$561="","",INDEX(_imp!$I$4:$I$1503,_imp!$C$561))</f>
        <v/>
      </c>
      <c r="K559" s="47">
        <f>IF(_imp!$C$561="","",INDEX(_imp!$J$4:$J$1503,_imp!$C$561))</f>
        <v/>
      </c>
    </row>
    <row r="560">
      <c r="A560" s="47">
        <f>IF(_imp!$C$562="","",INDEX(_imp!$D$4:$D$1503,_imp!$C$562))</f>
        <v/>
      </c>
      <c r="B560" s="47">
        <f>IF(_imp!$C$562="","",INDEX(_imp!$E$4:$E$1503,_imp!$C$562))</f>
        <v/>
      </c>
      <c r="C560" s="47">
        <f>IF(_imp!$C$562="","",INDEX(_imp!$F$4:$F$1503,_imp!$C$562))</f>
        <v/>
      </c>
      <c r="E560" s="47">
        <f>IF(_imp!$C$562="","",INDEX(_imp!$G$4:$G$1503,_imp!$C$562))</f>
        <v/>
      </c>
      <c r="F560" s="47">
        <f>IF(_imp!$C$562="","",INDEX(_imp!$H$4:$H$1503,_imp!$C$562))</f>
        <v/>
      </c>
      <c r="G560" s="47">
        <f>IF(_imp!$C$562="","",INDEX(_imp!$I$4:$I$1503,_imp!$C$562))</f>
        <v/>
      </c>
      <c r="K560" s="47">
        <f>IF(_imp!$C$562="","",INDEX(_imp!$J$4:$J$1503,_imp!$C$562))</f>
        <v/>
      </c>
    </row>
    <row r="561">
      <c r="A561" s="47">
        <f>IF(_imp!$C$563="","",INDEX(_imp!$D$4:$D$1503,_imp!$C$563))</f>
        <v/>
      </c>
      <c r="B561" s="47">
        <f>IF(_imp!$C$563="","",INDEX(_imp!$E$4:$E$1503,_imp!$C$563))</f>
        <v/>
      </c>
      <c r="C561" s="47">
        <f>IF(_imp!$C$563="","",INDEX(_imp!$F$4:$F$1503,_imp!$C$563))</f>
        <v/>
      </c>
      <c r="E561" s="47">
        <f>IF(_imp!$C$563="","",INDEX(_imp!$G$4:$G$1503,_imp!$C$563))</f>
        <v/>
      </c>
      <c r="F561" s="47">
        <f>IF(_imp!$C$563="","",INDEX(_imp!$H$4:$H$1503,_imp!$C$563))</f>
        <v/>
      </c>
      <c r="G561" s="47">
        <f>IF(_imp!$C$563="","",INDEX(_imp!$I$4:$I$1503,_imp!$C$563))</f>
        <v/>
      </c>
      <c r="K561" s="47">
        <f>IF(_imp!$C$563="","",INDEX(_imp!$J$4:$J$1503,_imp!$C$563))</f>
        <v/>
      </c>
    </row>
    <row r="562">
      <c r="A562" s="47">
        <f>IF(_imp!$C$564="","",INDEX(_imp!$D$4:$D$1503,_imp!$C$564))</f>
        <v/>
      </c>
      <c r="B562" s="47">
        <f>IF(_imp!$C$564="","",INDEX(_imp!$E$4:$E$1503,_imp!$C$564))</f>
        <v/>
      </c>
      <c r="C562" s="47">
        <f>IF(_imp!$C$564="","",INDEX(_imp!$F$4:$F$1503,_imp!$C$564))</f>
        <v/>
      </c>
      <c r="E562" s="47">
        <f>IF(_imp!$C$564="","",INDEX(_imp!$G$4:$G$1503,_imp!$C$564))</f>
        <v/>
      </c>
      <c r="F562" s="47">
        <f>IF(_imp!$C$564="","",INDEX(_imp!$H$4:$H$1503,_imp!$C$564))</f>
        <v/>
      </c>
      <c r="G562" s="47">
        <f>IF(_imp!$C$564="","",INDEX(_imp!$I$4:$I$1503,_imp!$C$564))</f>
        <v/>
      </c>
      <c r="K562" s="47">
        <f>IF(_imp!$C$564="","",INDEX(_imp!$J$4:$J$1503,_imp!$C$564))</f>
        <v/>
      </c>
    </row>
    <row r="563">
      <c r="A563" s="47">
        <f>IF(_imp!$C$565="","",INDEX(_imp!$D$4:$D$1503,_imp!$C$565))</f>
        <v/>
      </c>
      <c r="B563" s="47">
        <f>IF(_imp!$C$565="","",INDEX(_imp!$E$4:$E$1503,_imp!$C$565))</f>
        <v/>
      </c>
      <c r="C563" s="47">
        <f>IF(_imp!$C$565="","",INDEX(_imp!$F$4:$F$1503,_imp!$C$565))</f>
        <v/>
      </c>
      <c r="E563" s="47">
        <f>IF(_imp!$C$565="","",INDEX(_imp!$G$4:$G$1503,_imp!$C$565))</f>
        <v/>
      </c>
      <c r="F563" s="47">
        <f>IF(_imp!$C$565="","",INDEX(_imp!$H$4:$H$1503,_imp!$C$565))</f>
        <v/>
      </c>
      <c r="G563" s="47">
        <f>IF(_imp!$C$565="","",INDEX(_imp!$I$4:$I$1503,_imp!$C$565))</f>
        <v/>
      </c>
      <c r="K563" s="47">
        <f>IF(_imp!$C$565="","",INDEX(_imp!$J$4:$J$1503,_imp!$C$565))</f>
        <v/>
      </c>
    </row>
    <row r="564">
      <c r="A564" s="47">
        <f>IF(_imp!$C$566="","",INDEX(_imp!$D$4:$D$1503,_imp!$C$566))</f>
        <v/>
      </c>
      <c r="B564" s="47">
        <f>IF(_imp!$C$566="","",INDEX(_imp!$E$4:$E$1503,_imp!$C$566))</f>
        <v/>
      </c>
      <c r="C564" s="47">
        <f>IF(_imp!$C$566="","",INDEX(_imp!$F$4:$F$1503,_imp!$C$566))</f>
        <v/>
      </c>
      <c r="E564" s="47">
        <f>IF(_imp!$C$566="","",INDEX(_imp!$G$4:$G$1503,_imp!$C$566))</f>
        <v/>
      </c>
      <c r="F564" s="47">
        <f>IF(_imp!$C$566="","",INDEX(_imp!$H$4:$H$1503,_imp!$C$566))</f>
        <v/>
      </c>
      <c r="G564" s="47">
        <f>IF(_imp!$C$566="","",INDEX(_imp!$I$4:$I$1503,_imp!$C$566))</f>
        <v/>
      </c>
      <c r="K564" s="47">
        <f>IF(_imp!$C$566="","",INDEX(_imp!$J$4:$J$1503,_imp!$C$566))</f>
        <v/>
      </c>
    </row>
    <row r="565">
      <c r="A565" s="47">
        <f>IF(_imp!$C$567="","",INDEX(_imp!$D$4:$D$1503,_imp!$C$567))</f>
        <v/>
      </c>
      <c r="B565" s="47">
        <f>IF(_imp!$C$567="","",INDEX(_imp!$E$4:$E$1503,_imp!$C$567))</f>
        <v/>
      </c>
      <c r="C565" s="47">
        <f>IF(_imp!$C$567="","",INDEX(_imp!$F$4:$F$1503,_imp!$C$567))</f>
        <v/>
      </c>
      <c r="E565" s="47">
        <f>IF(_imp!$C$567="","",INDEX(_imp!$G$4:$G$1503,_imp!$C$567))</f>
        <v/>
      </c>
      <c r="F565" s="47">
        <f>IF(_imp!$C$567="","",INDEX(_imp!$H$4:$H$1503,_imp!$C$567))</f>
        <v/>
      </c>
      <c r="G565" s="47">
        <f>IF(_imp!$C$567="","",INDEX(_imp!$I$4:$I$1503,_imp!$C$567))</f>
        <v/>
      </c>
      <c r="K565" s="47">
        <f>IF(_imp!$C$567="","",INDEX(_imp!$J$4:$J$1503,_imp!$C$567))</f>
        <v/>
      </c>
    </row>
    <row r="566">
      <c r="A566" s="47">
        <f>IF(_imp!$C$568="","",INDEX(_imp!$D$4:$D$1503,_imp!$C$568))</f>
        <v/>
      </c>
      <c r="B566" s="47">
        <f>IF(_imp!$C$568="","",INDEX(_imp!$E$4:$E$1503,_imp!$C$568))</f>
        <v/>
      </c>
      <c r="C566" s="47">
        <f>IF(_imp!$C$568="","",INDEX(_imp!$F$4:$F$1503,_imp!$C$568))</f>
        <v/>
      </c>
      <c r="E566" s="47">
        <f>IF(_imp!$C$568="","",INDEX(_imp!$G$4:$G$1503,_imp!$C$568))</f>
        <v/>
      </c>
      <c r="F566" s="47">
        <f>IF(_imp!$C$568="","",INDEX(_imp!$H$4:$H$1503,_imp!$C$568))</f>
        <v/>
      </c>
      <c r="G566" s="47">
        <f>IF(_imp!$C$568="","",INDEX(_imp!$I$4:$I$1503,_imp!$C$568))</f>
        <v/>
      </c>
      <c r="K566" s="47">
        <f>IF(_imp!$C$568="","",INDEX(_imp!$J$4:$J$1503,_imp!$C$568))</f>
        <v/>
      </c>
    </row>
    <row r="567">
      <c r="A567" s="47">
        <f>IF(_imp!$C$569="","",INDEX(_imp!$D$4:$D$1503,_imp!$C$569))</f>
        <v/>
      </c>
      <c r="B567" s="47">
        <f>IF(_imp!$C$569="","",INDEX(_imp!$E$4:$E$1503,_imp!$C$569))</f>
        <v/>
      </c>
      <c r="C567" s="47">
        <f>IF(_imp!$C$569="","",INDEX(_imp!$F$4:$F$1503,_imp!$C$569))</f>
        <v/>
      </c>
      <c r="E567" s="47">
        <f>IF(_imp!$C$569="","",INDEX(_imp!$G$4:$G$1503,_imp!$C$569))</f>
        <v/>
      </c>
      <c r="F567" s="47">
        <f>IF(_imp!$C$569="","",INDEX(_imp!$H$4:$H$1503,_imp!$C$569))</f>
        <v/>
      </c>
      <c r="G567" s="47">
        <f>IF(_imp!$C$569="","",INDEX(_imp!$I$4:$I$1503,_imp!$C$569))</f>
        <v/>
      </c>
      <c r="K567" s="47">
        <f>IF(_imp!$C$569="","",INDEX(_imp!$J$4:$J$1503,_imp!$C$569))</f>
        <v/>
      </c>
    </row>
    <row r="568">
      <c r="A568" s="47">
        <f>IF(_imp!$C$570="","",INDEX(_imp!$D$4:$D$1503,_imp!$C$570))</f>
        <v/>
      </c>
      <c r="B568" s="47">
        <f>IF(_imp!$C$570="","",INDEX(_imp!$E$4:$E$1503,_imp!$C$570))</f>
        <v/>
      </c>
      <c r="C568" s="47">
        <f>IF(_imp!$C$570="","",INDEX(_imp!$F$4:$F$1503,_imp!$C$570))</f>
        <v/>
      </c>
      <c r="E568" s="47">
        <f>IF(_imp!$C$570="","",INDEX(_imp!$G$4:$G$1503,_imp!$C$570))</f>
        <v/>
      </c>
      <c r="F568" s="47">
        <f>IF(_imp!$C$570="","",INDEX(_imp!$H$4:$H$1503,_imp!$C$570))</f>
        <v/>
      </c>
      <c r="G568" s="47">
        <f>IF(_imp!$C$570="","",INDEX(_imp!$I$4:$I$1503,_imp!$C$570))</f>
        <v/>
      </c>
      <c r="K568" s="47">
        <f>IF(_imp!$C$570="","",INDEX(_imp!$J$4:$J$1503,_imp!$C$570))</f>
        <v/>
      </c>
    </row>
    <row r="569">
      <c r="A569" s="47">
        <f>IF(_imp!$C$571="","",INDEX(_imp!$D$4:$D$1503,_imp!$C$571))</f>
        <v/>
      </c>
      <c r="B569" s="47">
        <f>IF(_imp!$C$571="","",INDEX(_imp!$E$4:$E$1503,_imp!$C$571))</f>
        <v/>
      </c>
      <c r="C569" s="47">
        <f>IF(_imp!$C$571="","",INDEX(_imp!$F$4:$F$1503,_imp!$C$571))</f>
        <v/>
      </c>
      <c r="E569" s="47">
        <f>IF(_imp!$C$571="","",INDEX(_imp!$G$4:$G$1503,_imp!$C$571))</f>
        <v/>
      </c>
      <c r="F569" s="47">
        <f>IF(_imp!$C$571="","",INDEX(_imp!$H$4:$H$1503,_imp!$C$571))</f>
        <v/>
      </c>
      <c r="G569" s="47">
        <f>IF(_imp!$C$571="","",INDEX(_imp!$I$4:$I$1503,_imp!$C$571))</f>
        <v/>
      </c>
      <c r="K569" s="47">
        <f>IF(_imp!$C$571="","",INDEX(_imp!$J$4:$J$1503,_imp!$C$571))</f>
        <v/>
      </c>
    </row>
    <row r="570">
      <c r="A570" s="47">
        <f>IF(_imp!$C$572="","",INDEX(_imp!$D$4:$D$1503,_imp!$C$572))</f>
        <v/>
      </c>
      <c r="B570" s="47">
        <f>IF(_imp!$C$572="","",INDEX(_imp!$E$4:$E$1503,_imp!$C$572))</f>
        <v/>
      </c>
      <c r="C570" s="47">
        <f>IF(_imp!$C$572="","",INDEX(_imp!$F$4:$F$1503,_imp!$C$572))</f>
        <v/>
      </c>
      <c r="E570" s="47">
        <f>IF(_imp!$C$572="","",INDEX(_imp!$G$4:$G$1503,_imp!$C$572))</f>
        <v/>
      </c>
      <c r="F570" s="47">
        <f>IF(_imp!$C$572="","",INDEX(_imp!$H$4:$H$1503,_imp!$C$572))</f>
        <v/>
      </c>
      <c r="G570" s="47">
        <f>IF(_imp!$C$572="","",INDEX(_imp!$I$4:$I$1503,_imp!$C$572))</f>
        <v/>
      </c>
      <c r="K570" s="47">
        <f>IF(_imp!$C$572="","",INDEX(_imp!$J$4:$J$1503,_imp!$C$572))</f>
        <v/>
      </c>
    </row>
    <row r="571">
      <c r="A571" s="47">
        <f>IF(_imp!$C$573="","",INDEX(_imp!$D$4:$D$1503,_imp!$C$573))</f>
        <v/>
      </c>
      <c r="B571" s="47">
        <f>IF(_imp!$C$573="","",INDEX(_imp!$E$4:$E$1503,_imp!$C$573))</f>
        <v/>
      </c>
      <c r="C571" s="47">
        <f>IF(_imp!$C$573="","",INDEX(_imp!$F$4:$F$1503,_imp!$C$573))</f>
        <v/>
      </c>
      <c r="E571" s="47">
        <f>IF(_imp!$C$573="","",INDEX(_imp!$G$4:$G$1503,_imp!$C$573))</f>
        <v/>
      </c>
      <c r="F571" s="47">
        <f>IF(_imp!$C$573="","",INDEX(_imp!$H$4:$H$1503,_imp!$C$573))</f>
        <v/>
      </c>
      <c r="G571" s="47">
        <f>IF(_imp!$C$573="","",INDEX(_imp!$I$4:$I$1503,_imp!$C$573))</f>
        <v/>
      </c>
      <c r="K571" s="47">
        <f>IF(_imp!$C$573="","",INDEX(_imp!$J$4:$J$1503,_imp!$C$573))</f>
        <v/>
      </c>
    </row>
    <row r="572">
      <c r="A572" s="47">
        <f>IF(_imp!$C$574="","",INDEX(_imp!$D$4:$D$1503,_imp!$C$574))</f>
        <v/>
      </c>
      <c r="B572" s="47">
        <f>IF(_imp!$C$574="","",INDEX(_imp!$E$4:$E$1503,_imp!$C$574))</f>
        <v/>
      </c>
      <c r="C572" s="47">
        <f>IF(_imp!$C$574="","",INDEX(_imp!$F$4:$F$1503,_imp!$C$574))</f>
        <v/>
      </c>
      <c r="E572" s="47">
        <f>IF(_imp!$C$574="","",INDEX(_imp!$G$4:$G$1503,_imp!$C$574))</f>
        <v/>
      </c>
      <c r="F572" s="47">
        <f>IF(_imp!$C$574="","",INDEX(_imp!$H$4:$H$1503,_imp!$C$574))</f>
        <v/>
      </c>
      <c r="G572" s="47">
        <f>IF(_imp!$C$574="","",INDEX(_imp!$I$4:$I$1503,_imp!$C$574))</f>
        <v/>
      </c>
      <c r="K572" s="47">
        <f>IF(_imp!$C$574="","",INDEX(_imp!$J$4:$J$1503,_imp!$C$574))</f>
        <v/>
      </c>
    </row>
    <row r="573">
      <c r="A573" s="47">
        <f>IF(_imp!$C$575="","",INDEX(_imp!$D$4:$D$1503,_imp!$C$575))</f>
        <v/>
      </c>
      <c r="B573" s="47">
        <f>IF(_imp!$C$575="","",INDEX(_imp!$E$4:$E$1503,_imp!$C$575))</f>
        <v/>
      </c>
      <c r="C573" s="47">
        <f>IF(_imp!$C$575="","",INDEX(_imp!$F$4:$F$1503,_imp!$C$575))</f>
        <v/>
      </c>
      <c r="E573" s="47">
        <f>IF(_imp!$C$575="","",INDEX(_imp!$G$4:$G$1503,_imp!$C$575))</f>
        <v/>
      </c>
      <c r="F573" s="47">
        <f>IF(_imp!$C$575="","",INDEX(_imp!$H$4:$H$1503,_imp!$C$575))</f>
        <v/>
      </c>
      <c r="G573" s="47">
        <f>IF(_imp!$C$575="","",INDEX(_imp!$I$4:$I$1503,_imp!$C$575))</f>
        <v/>
      </c>
      <c r="K573" s="47">
        <f>IF(_imp!$C$575="","",INDEX(_imp!$J$4:$J$1503,_imp!$C$575))</f>
        <v/>
      </c>
    </row>
    <row r="574">
      <c r="A574" s="47">
        <f>IF(_imp!$C$576="","",INDEX(_imp!$D$4:$D$1503,_imp!$C$576))</f>
        <v/>
      </c>
      <c r="B574" s="47">
        <f>IF(_imp!$C$576="","",INDEX(_imp!$E$4:$E$1503,_imp!$C$576))</f>
        <v/>
      </c>
      <c r="C574" s="47">
        <f>IF(_imp!$C$576="","",INDEX(_imp!$F$4:$F$1503,_imp!$C$576))</f>
        <v/>
      </c>
      <c r="E574" s="47">
        <f>IF(_imp!$C$576="","",INDEX(_imp!$G$4:$G$1503,_imp!$C$576))</f>
        <v/>
      </c>
      <c r="F574" s="47">
        <f>IF(_imp!$C$576="","",INDEX(_imp!$H$4:$H$1503,_imp!$C$576))</f>
        <v/>
      </c>
      <c r="G574" s="47">
        <f>IF(_imp!$C$576="","",INDEX(_imp!$I$4:$I$1503,_imp!$C$576))</f>
        <v/>
      </c>
      <c r="K574" s="47">
        <f>IF(_imp!$C$576="","",INDEX(_imp!$J$4:$J$1503,_imp!$C$576))</f>
        <v/>
      </c>
    </row>
    <row r="575">
      <c r="A575" s="47">
        <f>IF(_imp!$C$577="","",INDEX(_imp!$D$4:$D$1503,_imp!$C$577))</f>
        <v/>
      </c>
      <c r="B575" s="47">
        <f>IF(_imp!$C$577="","",INDEX(_imp!$E$4:$E$1503,_imp!$C$577))</f>
        <v/>
      </c>
      <c r="C575" s="47">
        <f>IF(_imp!$C$577="","",INDEX(_imp!$F$4:$F$1503,_imp!$C$577))</f>
        <v/>
      </c>
      <c r="E575" s="47">
        <f>IF(_imp!$C$577="","",INDEX(_imp!$G$4:$G$1503,_imp!$C$577))</f>
        <v/>
      </c>
      <c r="F575" s="47">
        <f>IF(_imp!$C$577="","",INDEX(_imp!$H$4:$H$1503,_imp!$C$577))</f>
        <v/>
      </c>
      <c r="G575" s="47">
        <f>IF(_imp!$C$577="","",INDEX(_imp!$I$4:$I$1503,_imp!$C$577))</f>
        <v/>
      </c>
      <c r="K575" s="47">
        <f>IF(_imp!$C$577="","",INDEX(_imp!$J$4:$J$1503,_imp!$C$577))</f>
        <v/>
      </c>
    </row>
    <row r="576">
      <c r="A576" s="47">
        <f>IF(_imp!$C$578="","",INDEX(_imp!$D$4:$D$1503,_imp!$C$578))</f>
        <v/>
      </c>
      <c r="B576" s="47">
        <f>IF(_imp!$C$578="","",INDEX(_imp!$E$4:$E$1503,_imp!$C$578))</f>
        <v/>
      </c>
      <c r="C576" s="47">
        <f>IF(_imp!$C$578="","",INDEX(_imp!$F$4:$F$1503,_imp!$C$578))</f>
        <v/>
      </c>
      <c r="E576" s="47">
        <f>IF(_imp!$C$578="","",INDEX(_imp!$G$4:$G$1503,_imp!$C$578))</f>
        <v/>
      </c>
      <c r="F576" s="47">
        <f>IF(_imp!$C$578="","",INDEX(_imp!$H$4:$H$1503,_imp!$C$578))</f>
        <v/>
      </c>
      <c r="G576" s="47">
        <f>IF(_imp!$C$578="","",INDEX(_imp!$I$4:$I$1503,_imp!$C$578))</f>
        <v/>
      </c>
      <c r="K576" s="47">
        <f>IF(_imp!$C$578="","",INDEX(_imp!$J$4:$J$1503,_imp!$C$578))</f>
        <v/>
      </c>
    </row>
    <row r="577">
      <c r="A577" s="47">
        <f>IF(_imp!$C$579="","",INDEX(_imp!$D$4:$D$1503,_imp!$C$579))</f>
        <v/>
      </c>
      <c r="B577" s="47">
        <f>IF(_imp!$C$579="","",INDEX(_imp!$E$4:$E$1503,_imp!$C$579))</f>
        <v/>
      </c>
      <c r="C577" s="47">
        <f>IF(_imp!$C$579="","",INDEX(_imp!$F$4:$F$1503,_imp!$C$579))</f>
        <v/>
      </c>
      <c r="E577" s="47">
        <f>IF(_imp!$C$579="","",INDEX(_imp!$G$4:$G$1503,_imp!$C$579))</f>
        <v/>
      </c>
      <c r="F577" s="47">
        <f>IF(_imp!$C$579="","",INDEX(_imp!$H$4:$H$1503,_imp!$C$579))</f>
        <v/>
      </c>
      <c r="G577" s="47">
        <f>IF(_imp!$C$579="","",INDEX(_imp!$I$4:$I$1503,_imp!$C$579))</f>
        <v/>
      </c>
      <c r="K577" s="47">
        <f>IF(_imp!$C$579="","",INDEX(_imp!$J$4:$J$1503,_imp!$C$579))</f>
        <v/>
      </c>
    </row>
    <row r="578">
      <c r="A578" s="47">
        <f>IF(_imp!$C$580="","",INDEX(_imp!$D$4:$D$1503,_imp!$C$580))</f>
        <v/>
      </c>
      <c r="B578" s="47">
        <f>IF(_imp!$C$580="","",INDEX(_imp!$E$4:$E$1503,_imp!$C$580))</f>
        <v/>
      </c>
      <c r="C578" s="47">
        <f>IF(_imp!$C$580="","",INDEX(_imp!$F$4:$F$1503,_imp!$C$580))</f>
        <v/>
      </c>
      <c r="E578" s="47">
        <f>IF(_imp!$C$580="","",INDEX(_imp!$G$4:$G$1503,_imp!$C$580))</f>
        <v/>
      </c>
      <c r="F578" s="47">
        <f>IF(_imp!$C$580="","",INDEX(_imp!$H$4:$H$1503,_imp!$C$580))</f>
        <v/>
      </c>
      <c r="G578" s="47">
        <f>IF(_imp!$C$580="","",INDEX(_imp!$I$4:$I$1503,_imp!$C$580))</f>
        <v/>
      </c>
      <c r="K578" s="47">
        <f>IF(_imp!$C$580="","",INDEX(_imp!$J$4:$J$1503,_imp!$C$580))</f>
        <v/>
      </c>
    </row>
    <row r="579">
      <c r="A579" s="47">
        <f>IF(_imp!$C$581="","",INDEX(_imp!$D$4:$D$1503,_imp!$C$581))</f>
        <v/>
      </c>
      <c r="B579" s="47">
        <f>IF(_imp!$C$581="","",INDEX(_imp!$E$4:$E$1503,_imp!$C$581))</f>
        <v/>
      </c>
      <c r="C579" s="47">
        <f>IF(_imp!$C$581="","",INDEX(_imp!$F$4:$F$1503,_imp!$C$581))</f>
        <v/>
      </c>
      <c r="E579" s="47">
        <f>IF(_imp!$C$581="","",INDEX(_imp!$G$4:$G$1503,_imp!$C$581))</f>
        <v/>
      </c>
      <c r="F579" s="47">
        <f>IF(_imp!$C$581="","",INDEX(_imp!$H$4:$H$1503,_imp!$C$581))</f>
        <v/>
      </c>
      <c r="G579" s="47">
        <f>IF(_imp!$C$581="","",INDEX(_imp!$I$4:$I$1503,_imp!$C$581))</f>
        <v/>
      </c>
      <c r="K579" s="47">
        <f>IF(_imp!$C$581="","",INDEX(_imp!$J$4:$J$1503,_imp!$C$581))</f>
        <v/>
      </c>
    </row>
    <row r="580">
      <c r="A580" s="47">
        <f>IF(_imp!$C$582="","",INDEX(_imp!$D$4:$D$1503,_imp!$C$582))</f>
        <v/>
      </c>
      <c r="B580" s="47">
        <f>IF(_imp!$C$582="","",INDEX(_imp!$E$4:$E$1503,_imp!$C$582))</f>
        <v/>
      </c>
      <c r="C580" s="47">
        <f>IF(_imp!$C$582="","",INDEX(_imp!$F$4:$F$1503,_imp!$C$582))</f>
        <v/>
      </c>
      <c r="E580" s="47">
        <f>IF(_imp!$C$582="","",INDEX(_imp!$G$4:$G$1503,_imp!$C$582))</f>
        <v/>
      </c>
      <c r="F580" s="47">
        <f>IF(_imp!$C$582="","",INDEX(_imp!$H$4:$H$1503,_imp!$C$582))</f>
        <v/>
      </c>
      <c r="G580" s="47">
        <f>IF(_imp!$C$582="","",INDEX(_imp!$I$4:$I$1503,_imp!$C$582))</f>
        <v/>
      </c>
      <c r="K580" s="47">
        <f>IF(_imp!$C$582="","",INDEX(_imp!$J$4:$J$1503,_imp!$C$582))</f>
        <v/>
      </c>
    </row>
    <row r="581">
      <c r="A581" s="47">
        <f>IF(_imp!$C$583="","",INDEX(_imp!$D$4:$D$1503,_imp!$C$583))</f>
        <v/>
      </c>
      <c r="B581" s="47">
        <f>IF(_imp!$C$583="","",INDEX(_imp!$E$4:$E$1503,_imp!$C$583))</f>
        <v/>
      </c>
      <c r="C581" s="47">
        <f>IF(_imp!$C$583="","",INDEX(_imp!$F$4:$F$1503,_imp!$C$583))</f>
        <v/>
      </c>
      <c r="E581" s="47">
        <f>IF(_imp!$C$583="","",INDEX(_imp!$G$4:$G$1503,_imp!$C$583))</f>
        <v/>
      </c>
      <c r="F581" s="47">
        <f>IF(_imp!$C$583="","",INDEX(_imp!$H$4:$H$1503,_imp!$C$583))</f>
        <v/>
      </c>
      <c r="G581" s="47">
        <f>IF(_imp!$C$583="","",INDEX(_imp!$I$4:$I$1503,_imp!$C$583))</f>
        <v/>
      </c>
      <c r="K581" s="47">
        <f>IF(_imp!$C$583="","",INDEX(_imp!$J$4:$J$1503,_imp!$C$583))</f>
        <v/>
      </c>
    </row>
    <row r="582">
      <c r="A582" s="47">
        <f>IF(_imp!$C$584="","",INDEX(_imp!$D$4:$D$1503,_imp!$C$584))</f>
        <v/>
      </c>
      <c r="B582" s="47">
        <f>IF(_imp!$C$584="","",INDEX(_imp!$E$4:$E$1503,_imp!$C$584))</f>
        <v/>
      </c>
      <c r="C582" s="47">
        <f>IF(_imp!$C$584="","",INDEX(_imp!$F$4:$F$1503,_imp!$C$584))</f>
        <v/>
      </c>
      <c r="E582" s="47">
        <f>IF(_imp!$C$584="","",INDEX(_imp!$G$4:$G$1503,_imp!$C$584))</f>
        <v/>
      </c>
      <c r="F582" s="47">
        <f>IF(_imp!$C$584="","",INDEX(_imp!$H$4:$H$1503,_imp!$C$584))</f>
        <v/>
      </c>
      <c r="G582" s="47">
        <f>IF(_imp!$C$584="","",INDEX(_imp!$I$4:$I$1503,_imp!$C$584))</f>
        <v/>
      </c>
      <c r="K582" s="47">
        <f>IF(_imp!$C$584="","",INDEX(_imp!$J$4:$J$1503,_imp!$C$584))</f>
        <v/>
      </c>
    </row>
    <row r="583">
      <c r="A583" s="47">
        <f>IF(_imp!$C$585="","",INDEX(_imp!$D$4:$D$1503,_imp!$C$585))</f>
        <v/>
      </c>
      <c r="B583" s="47">
        <f>IF(_imp!$C$585="","",INDEX(_imp!$E$4:$E$1503,_imp!$C$585))</f>
        <v/>
      </c>
      <c r="C583" s="47">
        <f>IF(_imp!$C$585="","",INDEX(_imp!$F$4:$F$1503,_imp!$C$585))</f>
        <v/>
      </c>
      <c r="E583" s="47">
        <f>IF(_imp!$C$585="","",INDEX(_imp!$G$4:$G$1503,_imp!$C$585))</f>
        <v/>
      </c>
      <c r="F583" s="47">
        <f>IF(_imp!$C$585="","",INDEX(_imp!$H$4:$H$1503,_imp!$C$585))</f>
        <v/>
      </c>
      <c r="G583" s="47">
        <f>IF(_imp!$C$585="","",INDEX(_imp!$I$4:$I$1503,_imp!$C$585))</f>
        <v/>
      </c>
      <c r="K583" s="47">
        <f>IF(_imp!$C$585="","",INDEX(_imp!$J$4:$J$1503,_imp!$C$585))</f>
        <v/>
      </c>
    </row>
    <row r="584">
      <c r="A584" s="47">
        <f>IF(_imp!$C$586="","",INDEX(_imp!$D$4:$D$1503,_imp!$C$586))</f>
        <v/>
      </c>
      <c r="B584" s="47">
        <f>IF(_imp!$C$586="","",INDEX(_imp!$E$4:$E$1503,_imp!$C$586))</f>
        <v/>
      </c>
      <c r="C584" s="47">
        <f>IF(_imp!$C$586="","",INDEX(_imp!$F$4:$F$1503,_imp!$C$586))</f>
        <v/>
      </c>
      <c r="E584" s="47">
        <f>IF(_imp!$C$586="","",INDEX(_imp!$G$4:$G$1503,_imp!$C$586))</f>
        <v/>
      </c>
      <c r="F584" s="47">
        <f>IF(_imp!$C$586="","",INDEX(_imp!$H$4:$H$1503,_imp!$C$586))</f>
        <v/>
      </c>
      <c r="G584" s="47">
        <f>IF(_imp!$C$586="","",INDEX(_imp!$I$4:$I$1503,_imp!$C$586))</f>
        <v/>
      </c>
      <c r="K584" s="47">
        <f>IF(_imp!$C$586="","",INDEX(_imp!$J$4:$J$1503,_imp!$C$586))</f>
        <v/>
      </c>
    </row>
    <row r="585">
      <c r="A585" s="47">
        <f>IF(_imp!$C$587="","",INDEX(_imp!$D$4:$D$1503,_imp!$C$587))</f>
        <v/>
      </c>
      <c r="B585" s="47">
        <f>IF(_imp!$C$587="","",INDEX(_imp!$E$4:$E$1503,_imp!$C$587))</f>
        <v/>
      </c>
      <c r="C585" s="47">
        <f>IF(_imp!$C$587="","",INDEX(_imp!$F$4:$F$1503,_imp!$C$587))</f>
        <v/>
      </c>
      <c r="E585" s="47">
        <f>IF(_imp!$C$587="","",INDEX(_imp!$G$4:$G$1503,_imp!$C$587))</f>
        <v/>
      </c>
      <c r="F585" s="47">
        <f>IF(_imp!$C$587="","",INDEX(_imp!$H$4:$H$1503,_imp!$C$587))</f>
        <v/>
      </c>
      <c r="G585" s="47">
        <f>IF(_imp!$C$587="","",INDEX(_imp!$I$4:$I$1503,_imp!$C$587))</f>
        <v/>
      </c>
      <c r="K585" s="47">
        <f>IF(_imp!$C$587="","",INDEX(_imp!$J$4:$J$1503,_imp!$C$587))</f>
        <v/>
      </c>
    </row>
    <row r="586">
      <c r="A586" s="47">
        <f>IF(_imp!$C$588="","",INDEX(_imp!$D$4:$D$1503,_imp!$C$588))</f>
        <v/>
      </c>
      <c r="B586" s="47">
        <f>IF(_imp!$C$588="","",INDEX(_imp!$E$4:$E$1503,_imp!$C$588))</f>
        <v/>
      </c>
      <c r="C586" s="47">
        <f>IF(_imp!$C$588="","",INDEX(_imp!$F$4:$F$1503,_imp!$C$588))</f>
        <v/>
      </c>
      <c r="E586" s="47">
        <f>IF(_imp!$C$588="","",INDEX(_imp!$G$4:$G$1503,_imp!$C$588))</f>
        <v/>
      </c>
      <c r="F586" s="47">
        <f>IF(_imp!$C$588="","",INDEX(_imp!$H$4:$H$1503,_imp!$C$588))</f>
        <v/>
      </c>
      <c r="G586" s="47">
        <f>IF(_imp!$C$588="","",INDEX(_imp!$I$4:$I$1503,_imp!$C$588))</f>
        <v/>
      </c>
      <c r="K586" s="47">
        <f>IF(_imp!$C$588="","",INDEX(_imp!$J$4:$J$1503,_imp!$C$588))</f>
        <v/>
      </c>
    </row>
    <row r="587">
      <c r="A587" s="47">
        <f>IF(_imp!$C$589="","",INDEX(_imp!$D$4:$D$1503,_imp!$C$589))</f>
        <v/>
      </c>
      <c r="B587" s="47">
        <f>IF(_imp!$C$589="","",INDEX(_imp!$E$4:$E$1503,_imp!$C$589))</f>
        <v/>
      </c>
      <c r="C587" s="47">
        <f>IF(_imp!$C$589="","",INDEX(_imp!$F$4:$F$1503,_imp!$C$589))</f>
        <v/>
      </c>
      <c r="E587" s="47">
        <f>IF(_imp!$C$589="","",INDEX(_imp!$G$4:$G$1503,_imp!$C$589))</f>
        <v/>
      </c>
      <c r="F587" s="47">
        <f>IF(_imp!$C$589="","",INDEX(_imp!$H$4:$H$1503,_imp!$C$589))</f>
        <v/>
      </c>
      <c r="G587" s="47">
        <f>IF(_imp!$C$589="","",INDEX(_imp!$I$4:$I$1503,_imp!$C$589))</f>
        <v/>
      </c>
      <c r="K587" s="47">
        <f>IF(_imp!$C$589="","",INDEX(_imp!$J$4:$J$1503,_imp!$C$589))</f>
        <v/>
      </c>
    </row>
    <row r="588">
      <c r="A588" s="47">
        <f>IF(_imp!$C$590="","",INDEX(_imp!$D$4:$D$1503,_imp!$C$590))</f>
        <v/>
      </c>
      <c r="B588" s="47">
        <f>IF(_imp!$C$590="","",INDEX(_imp!$E$4:$E$1503,_imp!$C$590))</f>
        <v/>
      </c>
      <c r="C588" s="47">
        <f>IF(_imp!$C$590="","",INDEX(_imp!$F$4:$F$1503,_imp!$C$590))</f>
        <v/>
      </c>
      <c r="E588" s="47">
        <f>IF(_imp!$C$590="","",INDEX(_imp!$G$4:$G$1503,_imp!$C$590))</f>
        <v/>
      </c>
      <c r="F588" s="47">
        <f>IF(_imp!$C$590="","",INDEX(_imp!$H$4:$H$1503,_imp!$C$590))</f>
        <v/>
      </c>
      <c r="G588" s="47">
        <f>IF(_imp!$C$590="","",INDEX(_imp!$I$4:$I$1503,_imp!$C$590))</f>
        <v/>
      </c>
      <c r="K588" s="47">
        <f>IF(_imp!$C$590="","",INDEX(_imp!$J$4:$J$1503,_imp!$C$590))</f>
        <v/>
      </c>
    </row>
    <row r="589">
      <c r="A589" s="47">
        <f>IF(_imp!$C$591="","",INDEX(_imp!$D$4:$D$1503,_imp!$C$591))</f>
        <v/>
      </c>
      <c r="B589" s="47">
        <f>IF(_imp!$C$591="","",INDEX(_imp!$E$4:$E$1503,_imp!$C$591))</f>
        <v/>
      </c>
      <c r="C589" s="47">
        <f>IF(_imp!$C$591="","",INDEX(_imp!$F$4:$F$1503,_imp!$C$591))</f>
        <v/>
      </c>
      <c r="E589" s="47">
        <f>IF(_imp!$C$591="","",INDEX(_imp!$G$4:$G$1503,_imp!$C$591))</f>
        <v/>
      </c>
      <c r="F589" s="47">
        <f>IF(_imp!$C$591="","",INDEX(_imp!$H$4:$H$1503,_imp!$C$591))</f>
        <v/>
      </c>
      <c r="G589" s="47">
        <f>IF(_imp!$C$591="","",INDEX(_imp!$I$4:$I$1503,_imp!$C$591))</f>
        <v/>
      </c>
      <c r="K589" s="47">
        <f>IF(_imp!$C$591="","",INDEX(_imp!$J$4:$J$1503,_imp!$C$591))</f>
        <v/>
      </c>
    </row>
    <row r="590">
      <c r="A590" s="47">
        <f>IF(_imp!$C$592="","",INDEX(_imp!$D$4:$D$1503,_imp!$C$592))</f>
        <v/>
      </c>
      <c r="B590" s="47">
        <f>IF(_imp!$C$592="","",INDEX(_imp!$E$4:$E$1503,_imp!$C$592))</f>
        <v/>
      </c>
      <c r="C590" s="47">
        <f>IF(_imp!$C$592="","",INDEX(_imp!$F$4:$F$1503,_imp!$C$592))</f>
        <v/>
      </c>
      <c r="E590" s="47">
        <f>IF(_imp!$C$592="","",INDEX(_imp!$G$4:$G$1503,_imp!$C$592))</f>
        <v/>
      </c>
      <c r="F590" s="47">
        <f>IF(_imp!$C$592="","",INDEX(_imp!$H$4:$H$1503,_imp!$C$592))</f>
        <v/>
      </c>
      <c r="G590" s="47">
        <f>IF(_imp!$C$592="","",INDEX(_imp!$I$4:$I$1503,_imp!$C$592))</f>
        <v/>
      </c>
      <c r="K590" s="47">
        <f>IF(_imp!$C$592="","",INDEX(_imp!$J$4:$J$1503,_imp!$C$592))</f>
        <v/>
      </c>
    </row>
    <row r="591">
      <c r="A591" s="47">
        <f>IF(_imp!$C$593="","",INDEX(_imp!$D$4:$D$1503,_imp!$C$593))</f>
        <v/>
      </c>
      <c r="B591" s="47">
        <f>IF(_imp!$C$593="","",INDEX(_imp!$E$4:$E$1503,_imp!$C$593))</f>
        <v/>
      </c>
      <c r="C591" s="47">
        <f>IF(_imp!$C$593="","",INDEX(_imp!$F$4:$F$1503,_imp!$C$593))</f>
        <v/>
      </c>
      <c r="E591" s="47">
        <f>IF(_imp!$C$593="","",INDEX(_imp!$G$4:$G$1503,_imp!$C$593))</f>
        <v/>
      </c>
      <c r="F591" s="47">
        <f>IF(_imp!$C$593="","",INDEX(_imp!$H$4:$H$1503,_imp!$C$593))</f>
        <v/>
      </c>
      <c r="G591" s="47">
        <f>IF(_imp!$C$593="","",INDEX(_imp!$I$4:$I$1503,_imp!$C$593))</f>
        <v/>
      </c>
      <c r="K591" s="47">
        <f>IF(_imp!$C$593="","",INDEX(_imp!$J$4:$J$1503,_imp!$C$593))</f>
        <v/>
      </c>
    </row>
    <row r="592">
      <c r="A592" s="47">
        <f>IF(_imp!$C$594="","",INDEX(_imp!$D$4:$D$1503,_imp!$C$594))</f>
        <v/>
      </c>
      <c r="B592" s="47">
        <f>IF(_imp!$C$594="","",INDEX(_imp!$E$4:$E$1503,_imp!$C$594))</f>
        <v/>
      </c>
      <c r="C592" s="47">
        <f>IF(_imp!$C$594="","",INDEX(_imp!$F$4:$F$1503,_imp!$C$594))</f>
        <v/>
      </c>
      <c r="E592" s="47">
        <f>IF(_imp!$C$594="","",INDEX(_imp!$G$4:$G$1503,_imp!$C$594))</f>
        <v/>
      </c>
      <c r="F592" s="47">
        <f>IF(_imp!$C$594="","",INDEX(_imp!$H$4:$H$1503,_imp!$C$594))</f>
        <v/>
      </c>
      <c r="G592" s="47">
        <f>IF(_imp!$C$594="","",INDEX(_imp!$I$4:$I$1503,_imp!$C$594))</f>
        <v/>
      </c>
      <c r="K592" s="47">
        <f>IF(_imp!$C$594="","",INDEX(_imp!$J$4:$J$1503,_imp!$C$594))</f>
        <v/>
      </c>
    </row>
    <row r="593">
      <c r="A593" s="47">
        <f>IF(_imp!$C$595="","",INDEX(_imp!$D$4:$D$1503,_imp!$C$595))</f>
        <v/>
      </c>
      <c r="B593" s="47">
        <f>IF(_imp!$C$595="","",INDEX(_imp!$E$4:$E$1503,_imp!$C$595))</f>
        <v/>
      </c>
      <c r="C593" s="47">
        <f>IF(_imp!$C$595="","",INDEX(_imp!$F$4:$F$1503,_imp!$C$595))</f>
        <v/>
      </c>
      <c r="E593" s="47">
        <f>IF(_imp!$C$595="","",INDEX(_imp!$G$4:$G$1503,_imp!$C$595))</f>
        <v/>
      </c>
      <c r="F593" s="47">
        <f>IF(_imp!$C$595="","",INDEX(_imp!$H$4:$H$1503,_imp!$C$595))</f>
        <v/>
      </c>
      <c r="G593" s="47">
        <f>IF(_imp!$C$595="","",INDEX(_imp!$I$4:$I$1503,_imp!$C$595))</f>
        <v/>
      </c>
      <c r="K593" s="47">
        <f>IF(_imp!$C$595="","",INDEX(_imp!$J$4:$J$1503,_imp!$C$595))</f>
        <v/>
      </c>
    </row>
    <row r="594">
      <c r="A594" s="47">
        <f>IF(_imp!$C$596="","",INDEX(_imp!$D$4:$D$1503,_imp!$C$596))</f>
        <v/>
      </c>
      <c r="B594" s="47">
        <f>IF(_imp!$C$596="","",INDEX(_imp!$E$4:$E$1503,_imp!$C$596))</f>
        <v/>
      </c>
      <c r="C594" s="47">
        <f>IF(_imp!$C$596="","",INDEX(_imp!$F$4:$F$1503,_imp!$C$596))</f>
        <v/>
      </c>
      <c r="E594" s="47">
        <f>IF(_imp!$C$596="","",INDEX(_imp!$G$4:$G$1503,_imp!$C$596))</f>
        <v/>
      </c>
      <c r="F594" s="47">
        <f>IF(_imp!$C$596="","",INDEX(_imp!$H$4:$H$1503,_imp!$C$596))</f>
        <v/>
      </c>
      <c r="G594" s="47">
        <f>IF(_imp!$C$596="","",INDEX(_imp!$I$4:$I$1503,_imp!$C$596))</f>
        <v/>
      </c>
      <c r="K594" s="47">
        <f>IF(_imp!$C$596="","",INDEX(_imp!$J$4:$J$1503,_imp!$C$596))</f>
        <v/>
      </c>
    </row>
    <row r="595">
      <c r="A595" s="47">
        <f>IF(_imp!$C$597="","",INDEX(_imp!$D$4:$D$1503,_imp!$C$597))</f>
        <v/>
      </c>
      <c r="B595" s="47">
        <f>IF(_imp!$C$597="","",INDEX(_imp!$E$4:$E$1503,_imp!$C$597))</f>
        <v/>
      </c>
      <c r="C595" s="47">
        <f>IF(_imp!$C$597="","",INDEX(_imp!$F$4:$F$1503,_imp!$C$597))</f>
        <v/>
      </c>
      <c r="E595" s="47">
        <f>IF(_imp!$C$597="","",INDEX(_imp!$G$4:$G$1503,_imp!$C$597))</f>
        <v/>
      </c>
      <c r="F595" s="47">
        <f>IF(_imp!$C$597="","",INDEX(_imp!$H$4:$H$1503,_imp!$C$597))</f>
        <v/>
      </c>
      <c r="G595" s="47">
        <f>IF(_imp!$C$597="","",INDEX(_imp!$I$4:$I$1503,_imp!$C$597))</f>
        <v/>
      </c>
      <c r="K595" s="47">
        <f>IF(_imp!$C$597="","",INDEX(_imp!$J$4:$J$1503,_imp!$C$597))</f>
        <v/>
      </c>
    </row>
    <row r="596">
      <c r="A596" s="47">
        <f>IF(_imp!$C$598="","",INDEX(_imp!$D$4:$D$1503,_imp!$C$598))</f>
        <v/>
      </c>
      <c r="B596" s="47">
        <f>IF(_imp!$C$598="","",INDEX(_imp!$E$4:$E$1503,_imp!$C$598))</f>
        <v/>
      </c>
      <c r="C596" s="47">
        <f>IF(_imp!$C$598="","",INDEX(_imp!$F$4:$F$1503,_imp!$C$598))</f>
        <v/>
      </c>
      <c r="E596" s="47">
        <f>IF(_imp!$C$598="","",INDEX(_imp!$G$4:$G$1503,_imp!$C$598))</f>
        <v/>
      </c>
      <c r="F596" s="47">
        <f>IF(_imp!$C$598="","",INDEX(_imp!$H$4:$H$1503,_imp!$C$598))</f>
        <v/>
      </c>
      <c r="G596" s="47">
        <f>IF(_imp!$C$598="","",INDEX(_imp!$I$4:$I$1503,_imp!$C$598))</f>
        <v/>
      </c>
      <c r="K596" s="47">
        <f>IF(_imp!$C$598="","",INDEX(_imp!$J$4:$J$1503,_imp!$C$598))</f>
        <v/>
      </c>
    </row>
    <row r="597">
      <c r="A597" s="47">
        <f>IF(_imp!$C$599="","",INDEX(_imp!$D$4:$D$1503,_imp!$C$599))</f>
        <v/>
      </c>
      <c r="B597" s="47">
        <f>IF(_imp!$C$599="","",INDEX(_imp!$E$4:$E$1503,_imp!$C$599))</f>
        <v/>
      </c>
      <c r="C597" s="47">
        <f>IF(_imp!$C$599="","",INDEX(_imp!$F$4:$F$1503,_imp!$C$599))</f>
        <v/>
      </c>
      <c r="E597" s="47">
        <f>IF(_imp!$C$599="","",INDEX(_imp!$G$4:$G$1503,_imp!$C$599))</f>
        <v/>
      </c>
      <c r="F597" s="47">
        <f>IF(_imp!$C$599="","",INDEX(_imp!$H$4:$H$1503,_imp!$C$599))</f>
        <v/>
      </c>
      <c r="G597" s="47">
        <f>IF(_imp!$C$599="","",INDEX(_imp!$I$4:$I$1503,_imp!$C$599))</f>
        <v/>
      </c>
      <c r="K597" s="47">
        <f>IF(_imp!$C$599="","",INDEX(_imp!$J$4:$J$1503,_imp!$C$599))</f>
        <v/>
      </c>
    </row>
    <row r="598">
      <c r="A598" s="47">
        <f>IF(_imp!$C$600="","",INDEX(_imp!$D$4:$D$1503,_imp!$C$600))</f>
        <v/>
      </c>
      <c r="B598" s="47">
        <f>IF(_imp!$C$600="","",INDEX(_imp!$E$4:$E$1503,_imp!$C$600))</f>
        <v/>
      </c>
      <c r="C598" s="47">
        <f>IF(_imp!$C$600="","",INDEX(_imp!$F$4:$F$1503,_imp!$C$600))</f>
        <v/>
      </c>
      <c r="E598" s="47">
        <f>IF(_imp!$C$600="","",INDEX(_imp!$G$4:$G$1503,_imp!$C$600))</f>
        <v/>
      </c>
      <c r="F598" s="47">
        <f>IF(_imp!$C$600="","",INDEX(_imp!$H$4:$H$1503,_imp!$C$600))</f>
        <v/>
      </c>
      <c r="G598" s="47">
        <f>IF(_imp!$C$600="","",INDEX(_imp!$I$4:$I$1503,_imp!$C$600))</f>
        <v/>
      </c>
      <c r="K598" s="47">
        <f>IF(_imp!$C$600="","",INDEX(_imp!$J$4:$J$1503,_imp!$C$600))</f>
        <v/>
      </c>
    </row>
    <row r="599">
      <c r="A599" s="47">
        <f>IF(_imp!$C$601="","",INDEX(_imp!$D$4:$D$1503,_imp!$C$601))</f>
        <v/>
      </c>
      <c r="B599" s="47">
        <f>IF(_imp!$C$601="","",INDEX(_imp!$E$4:$E$1503,_imp!$C$601))</f>
        <v/>
      </c>
      <c r="C599" s="47">
        <f>IF(_imp!$C$601="","",INDEX(_imp!$F$4:$F$1503,_imp!$C$601))</f>
        <v/>
      </c>
      <c r="E599" s="47">
        <f>IF(_imp!$C$601="","",INDEX(_imp!$G$4:$G$1503,_imp!$C$601))</f>
        <v/>
      </c>
      <c r="F599" s="47">
        <f>IF(_imp!$C$601="","",INDEX(_imp!$H$4:$H$1503,_imp!$C$601))</f>
        <v/>
      </c>
      <c r="G599" s="47">
        <f>IF(_imp!$C$601="","",INDEX(_imp!$I$4:$I$1503,_imp!$C$601))</f>
        <v/>
      </c>
      <c r="K599" s="47">
        <f>IF(_imp!$C$601="","",INDEX(_imp!$J$4:$J$1503,_imp!$C$601))</f>
        <v/>
      </c>
    </row>
    <row r="600">
      <c r="A600" s="47">
        <f>IF(_imp!$C$602="","",INDEX(_imp!$D$4:$D$1503,_imp!$C$602))</f>
        <v/>
      </c>
      <c r="B600" s="47">
        <f>IF(_imp!$C$602="","",INDEX(_imp!$E$4:$E$1503,_imp!$C$602))</f>
        <v/>
      </c>
      <c r="C600" s="47">
        <f>IF(_imp!$C$602="","",INDEX(_imp!$F$4:$F$1503,_imp!$C$602))</f>
        <v/>
      </c>
      <c r="E600" s="47">
        <f>IF(_imp!$C$602="","",INDEX(_imp!$G$4:$G$1503,_imp!$C$602))</f>
        <v/>
      </c>
      <c r="F600" s="47">
        <f>IF(_imp!$C$602="","",INDEX(_imp!$H$4:$H$1503,_imp!$C$602))</f>
        <v/>
      </c>
      <c r="G600" s="47">
        <f>IF(_imp!$C$602="","",INDEX(_imp!$I$4:$I$1503,_imp!$C$602))</f>
        <v/>
      </c>
      <c r="K600" s="47">
        <f>IF(_imp!$C$602="","",INDEX(_imp!$J$4:$J$1503,_imp!$C$602))</f>
        <v/>
      </c>
    </row>
    <row r="601">
      <c r="A601" s="47">
        <f>IF(_imp!$C$603="","",INDEX(_imp!$D$4:$D$1503,_imp!$C$603))</f>
        <v/>
      </c>
      <c r="B601" s="47">
        <f>IF(_imp!$C$603="","",INDEX(_imp!$E$4:$E$1503,_imp!$C$603))</f>
        <v/>
      </c>
      <c r="C601" s="47">
        <f>IF(_imp!$C$603="","",INDEX(_imp!$F$4:$F$1503,_imp!$C$603))</f>
        <v/>
      </c>
      <c r="E601" s="47">
        <f>IF(_imp!$C$603="","",INDEX(_imp!$G$4:$G$1503,_imp!$C$603))</f>
        <v/>
      </c>
      <c r="F601" s="47">
        <f>IF(_imp!$C$603="","",INDEX(_imp!$H$4:$H$1503,_imp!$C$603))</f>
        <v/>
      </c>
      <c r="G601" s="47">
        <f>IF(_imp!$C$603="","",INDEX(_imp!$I$4:$I$1503,_imp!$C$603))</f>
        <v/>
      </c>
      <c r="K601" s="47">
        <f>IF(_imp!$C$603="","",INDEX(_imp!$J$4:$J$1503,_imp!$C$603))</f>
        <v/>
      </c>
    </row>
    <row r="602">
      <c r="A602" s="47">
        <f>IF(_imp!$C$604="","",INDEX(_imp!$D$4:$D$1503,_imp!$C$604))</f>
        <v/>
      </c>
      <c r="B602" s="47">
        <f>IF(_imp!$C$604="","",INDEX(_imp!$E$4:$E$1503,_imp!$C$604))</f>
        <v/>
      </c>
      <c r="C602" s="47">
        <f>IF(_imp!$C$604="","",INDEX(_imp!$F$4:$F$1503,_imp!$C$604))</f>
        <v/>
      </c>
      <c r="E602" s="47">
        <f>IF(_imp!$C$604="","",INDEX(_imp!$G$4:$G$1503,_imp!$C$604))</f>
        <v/>
      </c>
      <c r="F602" s="47">
        <f>IF(_imp!$C$604="","",INDEX(_imp!$H$4:$H$1503,_imp!$C$604))</f>
        <v/>
      </c>
      <c r="G602" s="47">
        <f>IF(_imp!$C$604="","",INDEX(_imp!$I$4:$I$1503,_imp!$C$604))</f>
        <v/>
      </c>
      <c r="K602" s="47">
        <f>IF(_imp!$C$604="","",INDEX(_imp!$J$4:$J$1503,_imp!$C$604))</f>
        <v/>
      </c>
    </row>
    <row r="603">
      <c r="A603" s="47">
        <f>IF(_imp!$C$605="","",INDEX(_imp!$D$4:$D$1503,_imp!$C$605))</f>
        <v/>
      </c>
      <c r="B603" s="47">
        <f>IF(_imp!$C$605="","",INDEX(_imp!$E$4:$E$1503,_imp!$C$605))</f>
        <v/>
      </c>
      <c r="C603" s="47">
        <f>IF(_imp!$C$605="","",INDEX(_imp!$F$4:$F$1503,_imp!$C$605))</f>
        <v/>
      </c>
      <c r="E603" s="47">
        <f>IF(_imp!$C$605="","",INDEX(_imp!$G$4:$G$1503,_imp!$C$605))</f>
        <v/>
      </c>
      <c r="F603" s="47">
        <f>IF(_imp!$C$605="","",INDEX(_imp!$H$4:$H$1503,_imp!$C$605))</f>
        <v/>
      </c>
      <c r="G603" s="47">
        <f>IF(_imp!$C$605="","",INDEX(_imp!$I$4:$I$1503,_imp!$C$605))</f>
        <v/>
      </c>
      <c r="K603" s="47">
        <f>IF(_imp!$C$605="","",INDEX(_imp!$J$4:$J$1503,_imp!$C$605))</f>
        <v/>
      </c>
    </row>
    <row r="604">
      <c r="A604" s="47">
        <f>IF(_imp!$C$606="","",INDEX(_imp!$D$4:$D$1503,_imp!$C$606))</f>
        <v/>
      </c>
      <c r="B604" s="47">
        <f>IF(_imp!$C$606="","",INDEX(_imp!$E$4:$E$1503,_imp!$C$606))</f>
        <v/>
      </c>
      <c r="C604" s="47">
        <f>IF(_imp!$C$606="","",INDEX(_imp!$F$4:$F$1503,_imp!$C$606))</f>
        <v/>
      </c>
      <c r="E604" s="47">
        <f>IF(_imp!$C$606="","",INDEX(_imp!$G$4:$G$1503,_imp!$C$606))</f>
        <v/>
      </c>
      <c r="F604" s="47">
        <f>IF(_imp!$C$606="","",INDEX(_imp!$H$4:$H$1503,_imp!$C$606))</f>
        <v/>
      </c>
      <c r="G604" s="47">
        <f>IF(_imp!$C$606="","",INDEX(_imp!$I$4:$I$1503,_imp!$C$606))</f>
        <v/>
      </c>
      <c r="K604" s="47">
        <f>IF(_imp!$C$606="","",INDEX(_imp!$J$4:$J$1503,_imp!$C$606))</f>
        <v/>
      </c>
    </row>
    <row r="605">
      <c r="A605" s="47">
        <f>IF(_imp!$C$607="","",INDEX(_imp!$D$4:$D$1503,_imp!$C$607))</f>
        <v/>
      </c>
      <c r="B605" s="47">
        <f>IF(_imp!$C$607="","",INDEX(_imp!$E$4:$E$1503,_imp!$C$607))</f>
        <v/>
      </c>
      <c r="C605" s="47">
        <f>IF(_imp!$C$607="","",INDEX(_imp!$F$4:$F$1503,_imp!$C$607))</f>
        <v/>
      </c>
      <c r="E605" s="47">
        <f>IF(_imp!$C$607="","",INDEX(_imp!$G$4:$G$1503,_imp!$C$607))</f>
        <v/>
      </c>
      <c r="F605" s="47">
        <f>IF(_imp!$C$607="","",INDEX(_imp!$H$4:$H$1503,_imp!$C$607))</f>
        <v/>
      </c>
      <c r="G605" s="47">
        <f>IF(_imp!$C$607="","",INDEX(_imp!$I$4:$I$1503,_imp!$C$607))</f>
        <v/>
      </c>
      <c r="K605" s="47">
        <f>IF(_imp!$C$607="","",INDEX(_imp!$J$4:$J$1503,_imp!$C$607))</f>
        <v/>
      </c>
    </row>
    <row r="606">
      <c r="A606" s="47">
        <f>IF(_imp!$C$608="","",INDEX(_imp!$D$4:$D$1503,_imp!$C$608))</f>
        <v/>
      </c>
      <c r="B606" s="47">
        <f>IF(_imp!$C$608="","",INDEX(_imp!$E$4:$E$1503,_imp!$C$608))</f>
        <v/>
      </c>
      <c r="C606" s="47">
        <f>IF(_imp!$C$608="","",INDEX(_imp!$F$4:$F$1503,_imp!$C$608))</f>
        <v/>
      </c>
      <c r="E606" s="47">
        <f>IF(_imp!$C$608="","",INDEX(_imp!$G$4:$G$1503,_imp!$C$608))</f>
        <v/>
      </c>
      <c r="F606" s="47">
        <f>IF(_imp!$C$608="","",INDEX(_imp!$H$4:$H$1503,_imp!$C$608))</f>
        <v/>
      </c>
      <c r="G606" s="47">
        <f>IF(_imp!$C$608="","",INDEX(_imp!$I$4:$I$1503,_imp!$C$608))</f>
        <v/>
      </c>
      <c r="K606" s="47">
        <f>IF(_imp!$C$608="","",INDEX(_imp!$J$4:$J$1503,_imp!$C$608))</f>
        <v/>
      </c>
    </row>
    <row r="607">
      <c r="A607" s="47">
        <f>IF(_imp!$C$609="","",INDEX(_imp!$D$4:$D$1503,_imp!$C$609))</f>
        <v/>
      </c>
      <c r="B607" s="47">
        <f>IF(_imp!$C$609="","",INDEX(_imp!$E$4:$E$1503,_imp!$C$609))</f>
        <v/>
      </c>
      <c r="C607" s="47">
        <f>IF(_imp!$C$609="","",INDEX(_imp!$F$4:$F$1503,_imp!$C$609))</f>
        <v/>
      </c>
      <c r="E607" s="47">
        <f>IF(_imp!$C$609="","",INDEX(_imp!$G$4:$G$1503,_imp!$C$609))</f>
        <v/>
      </c>
      <c r="F607" s="47">
        <f>IF(_imp!$C$609="","",INDEX(_imp!$H$4:$H$1503,_imp!$C$609))</f>
        <v/>
      </c>
      <c r="G607" s="47">
        <f>IF(_imp!$C$609="","",INDEX(_imp!$I$4:$I$1503,_imp!$C$609))</f>
        <v/>
      </c>
      <c r="K607" s="47">
        <f>IF(_imp!$C$609="","",INDEX(_imp!$J$4:$J$1503,_imp!$C$609))</f>
        <v/>
      </c>
    </row>
    <row r="608">
      <c r="A608" s="47">
        <f>IF(_imp!$C$610="","",INDEX(_imp!$D$4:$D$1503,_imp!$C$610))</f>
        <v/>
      </c>
      <c r="B608" s="47">
        <f>IF(_imp!$C$610="","",INDEX(_imp!$E$4:$E$1503,_imp!$C$610))</f>
        <v/>
      </c>
      <c r="C608" s="47">
        <f>IF(_imp!$C$610="","",INDEX(_imp!$F$4:$F$1503,_imp!$C$610))</f>
        <v/>
      </c>
      <c r="E608" s="47">
        <f>IF(_imp!$C$610="","",INDEX(_imp!$G$4:$G$1503,_imp!$C$610))</f>
        <v/>
      </c>
      <c r="F608" s="47">
        <f>IF(_imp!$C$610="","",INDEX(_imp!$H$4:$H$1503,_imp!$C$610))</f>
        <v/>
      </c>
      <c r="G608" s="47">
        <f>IF(_imp!$C$610="","",INDEX(_imp!$I$4:$I$1503,_imp!$C$610))</f>
        <v/>
      </c>
      <c r="K608" s="47">
        <f>IF(_imp!$C$610="","",INDEX(_imp!$J$4:$J$1503,_imp!$C$610))</f>
        <v/>
      </c>
    </row>
    <row r="609">
      <c r="A609" s="47">
        <f>IF(_imp!$C$611="","",INDEX(_imp!$D$4:$D$1503,_imp!$C$611))</f>
        <v/>
      </c>
      <c r="B609" s="47">
        <f>IF(_imp!$C$611="","",INDEX(_imp!$E$4:$E$1503,_imp!$C$611))</f>
        <v/>
      </c>
      <c r="C609" s="47">
        <f>IF(_imp!$C$611="","",INDEX(_imp!$F$4:$F$1503,_imp!$C$611))</f>
        <v/>
      </c>
      <c r="E609" s="47">
        <f>IF(_imp!$C$611="","",INDEX(_imp!$G$4:$G$1503,_imp!$C$611))</f>
        <v/>
      </c>
      <c r="F609" s="47">
        <f>IF(_imp!$C$611="","",INDEX(_imp!$H$4:$H$1503,_imp!$C$611))</f>
        <v/>
      </c>
      <c r="G609" s="47">
        <f>IF(_imp!$C$611="","",INDEX(_imp!$I$4:$I$1503,_imp!$C$611))</f>
        <v/>
      </c>
      <c r="K609" s="47">
        <f>IF(_imp!$C$611="","",INDEX(_imp!$J$4:$J$1503,_imp!$C$611))</f>
        <v/>
      </c>
    </row>
    <row r="610">
      <c r="A610" s="47">
        <f>IF(_imp!$C$612="","",INDEX(_imp!$D$4:$D$1503,_imp!$C$612))</f>
        <v/>
      </c>
      <c r="B610" s="47">
        <f>IF(_imp!$C$612="","",INDEX(_imp!$E$4:$E$1503,_imp!$C$612))</f>
        <v/>
      </c>
      <c r="C610" s="47">
        <f>IF(_imp!$C$612="","",INDEX(_imp!$F$4:$F$1503,_imp!$C$612))</f>
        <v/>
      </c>
      <c r="E610" s="47">
        <f>IF(_imp!$C$612="","",INDEX(_imp!$G$4:$G$1503,_imp!$C$612))</f>
        <v/>
      </c>
      <c r="F610" s="47">
        <f>IF(_imp!$C$612="","",INDEX(_imp!$H$4:$H$1503,_imp!$C$612))</f>
        <v/>
      </c>
      <c r="G610" s="47">
        <f>IF(_imp!$C$612="","",INDEX(_imp!$I$4:$I$1503,_imp!$C$612))</f>
        <v/>
      </c>
      <c r="K610" s="47">
        <f>IF(_imp!$C$612="","",INDEX(_imp!$J$4:$J$1503,_imp!$C$612))</f>
        <v/>
      </c>
    </row>
    <row r="611">
      <c r="A611" s="47">
        <f>IF(_imp!$C$613="","",INDEX(_imp!$D$4:$D$1503,_imp!$C$613))</f>
        <v/>
      </c>
      <c r="B611" s="47">
        <f>IF(_imp!$C$613="","",INDEX(_imp!$E$4:$E$1503,_imp!$C$613))</f>
        <v/>
      </c>
      <c r="C611" s="47">
        <f>IF(_imp!$C$613="","",INDEX(_imp!$F$4:$F$1503,_imp!$C$613))</f>
        <v/>
      </c>
      <c r="E611" s="47">
        <f>IF(_imp!$C$613="","",INDEX(_imp!$G$4:$G$1503,_imp!$C$613))</f>
        <v/>
      </c>
      <c r="F611" s="47">
        <f>IF(_imp!$C$613="","",INDEX(_imp!$H$4:$H$1503,_imp!$C$613))</f>
        <v/>
      </c>
      <c r="G611" s="47">
        <f>IF(_imp!$C$613="","",INDEX(_imp!$I$4:$I$1503,_imp!$C$613))</f>
        <v/>
      </c>
      <c r="K611" s="47">
        <f>IF(_imp!$C$613="","",INDEX(_imp!$J$4:$J$1503,_imp!$C$613))</f>
        <v/>
      </c>
    </row>
    <row r="612">
      <c r="A612" s="47">
        <f>IF(_imp!$C$614="","",INDEX(_imp!$D$4:$D$1503,_imp!$C$614))</f>
        <v/>
      </c>
      <c r="B612" s="47">
        <f>IF(_imp!$C$614="","",INDEX(_imp!$E$4:$E$1503,_imp!$C$614))</f>
        <v/>
      </c>
      <c r="C612" s="47">
        <f>IF(_imp!$C$614="","",INDEX(_imp!$F$4:$F$1503,_imp!$C$614))</f>
        <v/>
      </c>
      <c r="E612" s="47">
        <f>IF(_imp!$C$614="","",INDEX(_imp!$G$4:$G$1503,_imp!$C$614))</f>
        <v/>
      </c>
      <c r="F612" s="47">
        <f>IF(_imp!$C$614="","",INDEX(_imp!$H$4:$H$1503,_imp!$C$614))</f>
        <v/>
      </c>
      <c r="G612" s="47">
        <f>IF(_imp!$C$614="","",INDEX(_imp!$I$4:$I$1503,_imp!$C$614))</f>
        <v/>
      </c>
      <c r="K612" s="47">
        <f>IF(_imp!$C$614="","",INDEX(_imp!$J$4:$J$1503,_imp!$C$614))</f>
        <v/>
      </c>
    </row>
    <row r="613">
      <c r="A613" s="47">
        <f>IF(_imp!$C$615="","",INDEX(_imp!$D$4:$D$1503,_imp!$C$615))</f>
        <v/>
      </c>
      <c r="B613" s="47">
        <f>IF(_imp!$C$615="","",INDEX(_imp!$E$4:$E$1503,_imp!$C$615))</f>
        <v/>
      </c>
      <c r="C613" s="47">
        <f>IF(_imp!$C$615="","",INDEX(_imp!$F$4:$F$1503,_imp!$C$615))</f>
        <v/>
      </c>
      <c r="E613" s="47">
        <f>IF(_imp!$C$615="","",INDEX(_imp!$G$4:$G$1503,_imp!$C$615))</f>
        <v/>
      </c>
      <c r="F613" s="47">
        <f>IF(_imp!$C$615="","",INDEX(_imp!$H$4:$H$1503,_imp!$C$615))</f>
        <v/>
      </c>
      <c r="G613" s="47">
        <f>IF(_imp!$C$615="","",INDEX(_imp!$I$4:$I$1503,_imp!$C$615))</f>
        <v/>
      </c>
      <c r="K613" s="47">
        <f>IF(_imp!$C$615="","",INDEX(_imp!$J$4:$J$1503,_imp!$C$615))</f>
        <v/>
      </c>
    </row>
    <row r="614">
      <c r="A614" s="47">
        <f>IF(_imp!$C$616="","",INDEX(_imp!$D$4:$D$1503,_imp!$C$616))</f>
        <v/>
      </c>
      <c r="B614" s="47">
        <f>IF(_imp!$C$616="","",INDEX(_imp!$E$4:$E$1503,_imp!$C$616))</f>
        <v/>
      </c>
      <c r="C614" s="47">
        <f>IF(_imp!$C$616="","",INDEX(_imp!$F$4:$F$1503,_imp!$C$616))</f>
        <v/>
      </c>
      <c r="E614" s="47">
        <f>IF(_imp!$C$616="","",INDEX(_imp!$G$4:$G$1503,_imp!$C$616))</f>
        <v/>
      </c>
      <c r="F614" s="47">
        <f>IF(_imp!$C$616="","",INDEX(_imp!$H$4:$H$1503,_imp!$C$616))</f>
        <v/>
      </c>
      <c r="G614" s="47">
        <f>IF(_imp!$C$616="","",INDEX(_imp!$I$4:$I$1503,_imp!$C$616))</f>
        <v/>
      </c>
      <c r="K614" s="47">
        <f>IF(_imp!$C$616="","",INDEX(_imp!$J$4:$J$1503,_imp!$C$616))</f>
        <v/>
      </c>
    </row>
    <row r="615">
      <c r="A615" s="47">
        <f>IF(_imp!$C$617="","",INDEX(_imp!$D$4:$D$1503,_imp!$C$617))</f>
        <v/>
      </c>
      <c r="B615" s="47">
        <f>IF(_imp!$C$617="","",INDEX(_imp!$E$4:$E$1503,_imp!$C$617))</f>
        <v/>
      </c>
      <c r="C615" s="47">
        <f>IF(_imp!$C$617="","",INDEX(_imp!$F$4:$F$1503,_imp!$C$617))</f>
        <v/>
      </c>
      <c r="E615" s="47">
        <f>IF(_imp!$C$617="","",INDEX(_imp!$G$4:$G$1503,_imp!$C$617))</f>
        <v/>
      </c>
      <c r="F615" s="47">
        <f>IF(_imp!$C$617="","",INDEX(_imp!$H$4:$H$1503,_imp!$C$617))</f>
        <v/>
      </c>
      <c r="G615" s="47">
        <f>IF(_imp!$C$617="","",INDEX(_imp!$I$4:$I$1503,_imp!$C$617))</f>
        <v/>
      </c>
      <c r="K615" s="47">
        <f>IF(_imp!$C$617="","",INDEX(_imp!$J$4:$J$1503,_imp!$C$617))</f>
        <v/>
      </c>
    </row>
    <row r="616">
      <c r="A616" s="47">
        <f>IF(_imp!$C$618="","",INDEX(_imp!$D$4:$D$1503,_imp!$C$618))</f>
        <v/>
      </c>
      <c r="B616" s="47">
        <f>IF(_imp!$C$618="","",INDEX(_imp!$E$4:$E$1503,_imp!$C$618))</f>
        <v/>
      </c>
      <c r="C616" s="47">
        <f>IF(_imp!$C$618="","",INDEX(_imp!$F$4:$F$1503,_imp!$C$618))</f>
        <v/>
      </c>
      <c r="E616" s="47">
        <f>IF(_imp!$C$618="","",INDEX(_imp!$G$4:$G$1503,_imp!$C$618))</f>
        <v/>
      </c>
      <c r="F616" s="47">
        <f>IF(_imp!$C$618="","",INDEX(_imp!$H$4:$H$1503,_imp!$C$618))</f>
        <v/>
      </c>
      <c r="G616" s="47">
        <f>IF(_imp!$C$618="","",INDEX(_imp!$I$4:$I$1503,_imp!$C$618))</f>
        <v/>
      </c>
      <c r="K616" s="47">
        <f>IF(_imp!$C$618="","",INDEX(_imp!$J$4:$J$1503,_imp!$C$618))</f>
        <v/>
      </c>
    </row>
    <row r="617">
      <c r="A617" s="47">
        <f>IF(_imp!$C$619="","",INDEX(_imp!$D$4:$D$1503,_imp!$C$619))</f>
        <v/>
      </c>
      <c r="B617" s="47">
        <f>IF(_imp!$C$619="","",INDEX(_imp!$E$4:$E$1503,_imp!$C$619))</f>
        <v/>
      </c>
      <c r="C617" s="47">
        <f>IF(_imp!$C$619="","",INDEX(_imp!$F$4:$F$1503,_imp!$C$619))</f>
        <v/>
      </c>
      <c r="E617" s="47">
        <f>IF(_imp!$C$619="","",INDEX(_imp!$G$4:$G$1503,_imp!$C$619))</f>
        <v/>
      </c>
      <c r="F617" s="47">
        <f>IF(_imp!$C$619="","",INDEX(_imp!$H$4:$H$1503,_imp!$C$619))</f>
        <v/>
      </c>
      <c r="G617" s="47">
        <f>IF(_imp!$C$619="","",INDEX(_imp!$I$4:$I$1503,_imp!$C$619))</f>
        <v/>
      </c>
      <c r="K617" s="47">
        <f>IF(_imp!$C$619="","",INDEX(_imp!$J$4:$J$1503,_imp!$C$619))</f>
        <v/>
      </c>
    </row>
    <row r="618">
      <c r="A618" s="47">
        <f>IF(_imp!$C$620="","",INDEX(_imp!$D$4:$D$1503,_imp!$C$620))</f>
        <v/>
      </c>
      <c r="B618" s="47">
        <f>IF(_imp!$C$620="","",INDEX(_imp!$E$4:$E$1503,_imp!$C$620))</f>
        <v/>
      </c>
      <c r="C618" s="47">
        <f>IF(_imp!$C$620="","",INDEX(_imp!$F$4:$F$1503,_imp!$C$620))</f>
        <v/>
      </c>
      <c r="E618" s="47">
        <f>IF(_imp!$C$620="","",INDEX(_imp!$G$4:$G$1503,_imp!$C$620))</f>
        <v/>
      </c>
      <c r="F618" s="47">
        <f>IF(_imp!$C$620="","",INDEX(_imp!$H$4:$H$1503,_imp!$C$620))</f>
        <v/>
      </c>
      <c r="G618" s="47">
        <f>IF(_imp!$C$620="","",INDEX(_imp!$I$4:$I$1503,_imp!$C$620))</f>
        <v/>
      </c>
      <c r="K618" s="47">
        <f>IF(_imp!$C$620="","",INDEX(_imp!$J$4:$J$1503,_imp!$C$620))</f>
        <v/>
      </c>
    </row>
    <row r="619">
      <c r="A619" s="47">
        <f>IF(_imp!$C$621="","",INDEX(_imp!$D$4:$D$1503,_imp!$C$621))</f>
        <v/>
      </c>
      <c r="B619" s="47">
        <f>IF(_imp!$C$621="","",INDEX(_imp!$E$4:$E$1503,_imp!$C$621))</f>
        <v/>
      </c>
      <c r="C619" s="47">
        <f>IF(_imp!$C$621="","",INDEX(_imp!$F$4:$F$1503,_imp!$C$621))</f>
        <v/>
      </c>
      <c r="E619" s="47">
        <f>IF(_imp!$C$621="","",INDEX(_imp!$G$4:$G$1503,_imp!$C$621))</f>
        <v/>
      </c>
      <c r="F619" s="47">
        <f>IF(_imp!$C$621="","",INDEX(_imp!$H$4:$H$1503,_imp!$C$621))</f>
        <v/>
      </c>
      <c r="G619" s="47">
        <f>IF(_imp!$C$621="","",INDEX(_imp!$I$4:$I$1503,_imp!$C$621))</f>
        <v/>
      </c>
      <c r="K619" s="47">
        <f>IF(_imp!$C$621="","",INDEX(_imp!$J$4:$J$1503,_imp!$C$621))</f>
        <v/>
      </c>
    </row>
    <row r="620">
      <c r="A620" s="47">
        <f>IF(_imp!$C$622="","",INDEX(_imp!$D$4:$D$1503,_imp!$C$622))</f>
        <v/>
      </c>
      <c r="B620" s="47">
        <f>IF(_imp!$C$622="","",INDEX(_imp!$E$4:$E$1503,_imp!$C$622))</f>
        <v/>
      </c>
      <c r="C620" s="47">
        <f>IF(_imp!$C$622="","",INDEX(_imp!$F$4:$F$1503,_imp!$C$622))</f>
        <v/>
      </c>
      <c r="E620" s="47">
        <f>IF(_imp!$C$622="","",INDEX(_imp!$G$4:$G$1503,_imp!$C$622))</f>
        <v/>
      </c>
      <c r="F620" s="47">
        <f>IF(_imp!$C$622="","",INDEX(_imp!$H$4:$H$1503,_imp!$C$622))</f>
        <v/>
      </c>
      <c r="G620" s="47">
        <f>IF(_imp!$C$622="","",INDEX(_imp!$I$4:$I$1503,_imp!$C$622))</f>
        <v/>
      </c>
      <c r="K620" s="47">
        <f>IF(_imp!$C$622="","",INDEX(_imp!$J$4:$J$1503,_imp!$C$622))</f>
        <v/>
      </c>
    </row>
    <row r="621">
      <c r="A621" s="47">
        <f>IF(_imp!$C$623="","",INDEX(_imp!$D$4:$D$1503,_imp!$C$623))</f>
        <v/>
      </c>
      <c r="B621" s="47">
        <f>IF(_imp!$C$623="","",INDEX(_imp!$E$4:$E$1503,_imp!$C$623))</f>
        <v/>
      </c>
      <c r="C621" s="47">
        <f>IF(_imp!$C$623="","",INDEX(_imp!$F$4:$F$1503,_imp!$C$623))</f>
        <v/>
      </c>
      <c r="E621" s="47">
        <f>IF(_imp!$C$623="","",INDEX(_imp!$G$4:$G$1503,_imp!$C$623))</f>
        <v/>
      </c>
      <c r="F621" s="47">
        <f>IF(_imp!$C$623="","",INDEX(_imp!$H$4:$H$1503,_imp!$C$623))</f>
        <v/>
      </c>
      <c r="G621" s="47">
        <f>IF(_imp!$C$623="","",INDEX(_imp!$I$4:$I$1503,_imp!$C$623))</f>
        <v/>
      </c>
      <c r="K621" s="47">
        <f>IF(_imp!$C$623="","",INDEX(_imp!$J$4:$J$1503,_imp!$C$623))</f>
        <v/>
      </c>
    </row>
    <row r="622">
      <c r="A622" s="47">
        <f>IF(_imp!$C$624="","",INDEX(_imp!$D$4:$D$1503,_imp!$C$624))</f>
        <v/>
      </c>
      <c r="B622" s="47">
        <f>IF(_imp!$C$624="","",INDEX(_imp!$E$4:$E$1503,_imp!$C$624))</f>
        <v/>
      </c>
      <c r="C622" s="47">
        <f>IF(_imp!$C$624="","",INDEX(_imp!$F$4:$F$1503,_imp!$C$624))</f>
        <v/>
      </c>
      <c r="E622" s="47">
        <f>IF(_imp!$C$624="","",INDEX(_imp!$G$4:$G$1503,_imp!$C$624))</f>
        <v/>
      </c>
      <c r="F622" s="47">
        <f>IF(_imp!$C$624="","",INDEX(_imp!$H$4:$H$1503,_imp!$C$624))</f>
        <v/>
      </c>
      <c r="G622" s="47">
        <f>IF(_imp!$C$624="","",INDEX(_imp!$I$4:$I$1503,_imp!$C$624))</f>
        <v/>
      </c>
      <c r="K622" s="47">
        <f>IF(_imp!$C$624="","",INDEX(_imp!$J$4:$J$1503,_imp!$C$624))</f>
        <v/>
      </c>
    </row>
    <row r="623">
      <c r="A623" s="47">
        <f>IF(_imp!$C$625="","",INDEX(_imp!$D$4:$D$1503,_imp!$C$625))</f>
        <v/>
      </c>
      <c r="B623" s="47">
        <f>IF(_imp!$C$625="","",INDEX(_imp!$E$4:$E$1503,_imp!$C$625))</f>
        <v/>
      </c>
      <c r="C623" s="47">
        <f>IF(_imp!$C$625="","",INDEX(_imp!$F$4:$F$1503,_imp!$C$625))</f>
        <v/>
      </c>
      <c r="E623" s="47">
        <f>IF(_imp!$C$625="","",INDEX(_imp!$G$4:$G$1503,_imp!$C$625))</f>
        <v/>
      </c>
      <c r="F623" s="47">
        <f>IF(_imp!$C$625="","",INDEX(_imp!$H$4:$H$1503,_imp!$C$625))</f>
        <v/>
      </c>
      <c r="G623" s="47">
        <f>IF(_imp!$C$625="","",INDEX(_imp!$I$4:$I$1503,_imp!$C$625))</f>
        <v/>
      </c>
      <c r="K623" s="47">
        <f>IF(_imp!$C$625="","",INDEX(_imp!$J$4:$J$1503,_imp!$C$625))</f>
        <v/>
      </c>
    </row>
    <row r="624">
      <c r="A624" s="47">
        <f>IF(_imp!$C$626="","",INDEX(_imp!$D$4:$D$1503,_imp!$C$626))</f>
        <v/>
      </c>
      <c r="B624" s="47">
        <f>IF(_imp!$C$626="","",INDEX(_imp!$E$4:$E$1503,_imp!$C$626))</f>
        <v/>
      </c>
      <c r="C624" s="47">
        <f>IF(_imp!$C$626="","",INDEX(_imp!$F$4:$F$1503,_imp!$C$626))</f>
        <v/>
      </c>
      <c r="E624" s="47">
        <f>IF(_imp!$C$626="","",INDEX(_imp!$G$4:$G$1503,_imp!$C$626))</f>
        <v/>
      </c>
      <c r="F624" s="47">
        <f>IF(_imp!$C$626="","",INDEX(_imp!$H$4:$H$1503,_imp!$C$626))</f>
        <v/>
      </c>
      <c r="G624" s="47">
        <f>IF(_imp!$C$626="","",INDEX(_imp!$I$4:$I$1503,_imp!$C$626))</f>
        <v/>
      </c>
      <c r="K624" s="47">
        <f>IF(_imp!$C$626="","",INDEX(_imp!$J$4:$J$1503,_imp!$C$626))</f>
        <v/>
      </c>
    </row>
    <row r="625">
      <c r="A625" s="47">
        <f>IF(_imp!$C$627="","",INDEX(_imp!$D$4:$D$1503,_imp!$C$627))</f>
        <v/>
      </c>
      <c r="B625" s="47">
        <f>IF(_imp!$C$627="","",INDEX(_imp!$E$4:$E$1503,_imp!$C$627))</f>
        <v/>
      </c>
      <c r="C625" s="47">
        <f>IF(_imp!$C$627="","",INDEX(_imp!$F$4:$F$1503,_imp!$C$627))</f>
        <v/>
      </c>
      <c r="E625" s="47">
        <f>IF(_imp!$C$627="","",INDEX(_imp!$G$4:$G$1503,_imp!$C$627))</f>
        <v/>
      </c>
      <c r="F625" s="47">
        <f>IF(_imp!$C$627="","",INDEX(_imp!$H$4:$H$1503,_imp!$C$627))</f>
        <v/>
      </c>
      <c r="G625" s="47">
        <f>IF(_imp!$C$627="","",INDEX(_imp!$I$4:$I$1503,_imp!$C$627))</f>
        <v/>
      </c>
      <c r="K625" s="47">
        <f>IF(_imp!$C$627="","",INDEX(_imp!$J$4:$J$1503,_imp!$C$627))</f>
        <v/>
      </c>
    </row>
    <row r="626">
      <c r="A626" s="47">
        <f>IF(_imp!$C$628="","",INDEX(_imp!$D$4:$D$1503,_imp!$C$628))</f>
        <v/>
      </c>
      <c r="B626" s="47">
        <f>IF(_imp!$C$628="","",INDEX(_imp!$E$4:$E$1503,_imp!$C$628))</f>
        <v/>
      </c>
      <c r="C626" s="47">
        <f>IF(_imp!$C$628="","",INDEX(_imp!$F$4:$F$1503,_imp!$C$628))</f>
        <v/>
      </c>
      <c r="E626" s="47">
        <f>IF(_imp!$C$628="","",INDEX(_imp!$G$4:$G$1503,_imp!$C$628))</f>
        <v/>
      </c>
      <c r="F626" s="47">
        <f>IF(_imp!$C$628="","",INDEX(_imp!$H$4:$H$1503,_imp!$C$628))</f>
        <v/>
      </c>
      <c r="G626" s="47">
        <f>IF(_imp!$C$628="","",INDEX(_imp!$I$4:$I$1503,_imp!$C$628))</f>
        <v/>
      </c>
      <c r="K626" s="47">
        <f>IF(_imp!$C$628="","",INDEX(_imp!$J$4:$J$1503,_imp!$C$628))</f>
        <v/>
      </c>
    </row>
    <row r="627">
      <c r="A627" s="47">
        <f>IF(_imp!$C$629="","",INDEX(_imp!$D$4:$D$1503,_imp!$C$629))</f>
        <v/>
      </c>
      <c r="B627" s="47">
        <f>IF(_imp!$C$629="","",INDEX(_imp!$E$4:$E$1503,_imp!$C$629))</f>
        <v/>
      </c>
      <c r="C627" s="47">
        <f>IF(_imp!$C$629="","",INDEX(_imp!$F$4:$F$1503,_imp!$C$629))</f>
        <v/>
      </c>
      <c r="E627" s="47">
        <f>IF(_imp!$C$629="","",INDEX(_imp!$G$4:$G$1503,_imp!$C$629))</f>
        <v/>
      </c>
      <c r="F627" s="47">
        <f>IF(_imp!$C$629="","",INDEX(_imp!$H$4:$H$1503,_imp!$C$629))</f>
        <v/>
      </c>
      <c r="G627" s="47">
        <f>IF(_imp!$C$629="","",INDEX(_imp!$I$4:$I$1503,_imp!$C$629))</f>
        <v/>
      </c>
      <c r="K627" s="47">
        <f>IF(_imp!$C$629="","",INDEX(_imp!$J$4:$J$1503,_imp!$C$629))</f>
        <v/>
      </c>
    </row>
    <row r="628">
      <c r="A628" s="47">
        <f>IF(_imp!$C$630="","",INDEX(_imp!$D$4:$D$1503,_imp!$C$630))</f>
        <v/>
      </c>
      <c r="B628" s="47">
        <f>IF(_imp!$C$630="","",INDEX(_imp!$E$4:$E$1503,_imp!$C$630))</f>
        <v/>
      </c>
      <c r="C628" s="47">
        <f>IF(_imp!$C$630="","",INDEX(_imp!$F$4:$F$1503,_imp!$C$630))</f>
        <v/>
      </c>
      <c r="E628" s="47">
        <f>IF(_imp!$C$630="","",INDEX(_imp!$G$4:$G$1503,_imp!$C$630))</f>
        <v/>
      </c>
      <c r="F628" s="47">
        <f>IF(_imp!$C$630="","",INDEX(_imp!$H$4:$H$1503,_imp!$C$630))</f>
        <v/>
      </c>
      <c r="G628" s="47">
        <f>IF(_imp!$C$630="","",INDEX(_imp!$I$4:$I$1503,_imp!$C$630))</f>
        <v/>
      </c>
      <c r="K628" s="47">
        <f>IF(_imp!$C$630="","",INDEX(_imp!$J$4:$J$1503,_imp!$C$630))</f>
        <v/>
      </c>
    </row>
    <row r="629">
      <c r="A629" s="47">
        <f>IF(_imp!$C$631="","",INDEX(_imp!$D$4:$D$1503,_imp!$C$631))</f>
        <v/>
      </c>
      <c r="B629" s="47">
        <f>IF(_imp!$C$631="","",INDEX(_imp!$E$4:$E$1503,_imp!$C$631))</f>
        <v/>
      </c>
      <c r="C629" s="47">
        <f>IF(_imp!$C$631="","",INDEX(_imp!$F$4:$F$1503,_imp!$C$631))</f>
        <v/>
      </c>
      <c r="E629" s="47">
        <f>IF(_imp!$C$631="","",INDEX(_imp!$G$4:$G$1503,_imp!$C$631))</f>
        <v/>
      </c>
      <c r="F629" s="47">
        <f>IF(_imp!$C$631="","",INDEX(_imp!$H$4:$H$1503,_imp!$C$631))</f>
        <v/>
      </c>
      <c r="G629" s="47">
        <f>IF(_imp!$C$631="","",INDEX(_imp!$I$4:$I$1503,_imp!$C$631))</f>
        <v/>
      </c>
      <c r="K629" s="47">
        <f>IF(_imp!$C$631="","",INDEX(_imp!$J$4:$J$1503,_imp!$C$631))</f>
        <v/>
      </c>
    </row>
    <row r="630">
      <c r="A630" s="47">
        <f>IF(_imp!$C$632="","",INDEX(_imp!$D$4:$D$1503,_imp!$C$632))</f>
        <v/>
      </c>
      <c r="B630" s="47">
        <f>IF(_imp!$C$632="","",INDEX(_imp!$E$4:$E$1503,_imp!$C$632))</f>
        <v/>
      </c>
      <c r="C630" s="47">
        <f>IF(_imp!$C$632="","",INDEX(_imp!$F$4:$F$1503,_imp!$C$632))</f>
        <v/>
      </c>
      <c r="E630" s="47">
        <f>IF(_imp!$C$632="","",INDEX(_imp!$G$4:$G$1503,_imp!$C$632))</f>
        <v/>
      </c>
      <c r="F630" s="47">
        <f>IF(_imp!$C$632="","",INDEX(_imp!$H$4:$H$1503,_imp!$C$632))</f>
        <v/>
      </c>
      <c r="G630" s="47">
        <f>IF(_imp!$C$632="","",INDEX(_imp!$I$4:$I$1503,_imp!$C$632))</f>
        <v/>
      </c>
      <c r="K630" s="47">
        <f>IF(_imp!$C$632="","",INDEX(_imp!$J$4:$J$1503,_imp!$C$632))</f>
        <v/>
      </c>
    </row>
    <row r="631">
      <c r="A631" s="47">
        <f>IF(_imp!$C$633="","",INDEX(_imp!$D$4:$D$1503,_imp!$C$633))</f>
        <v/>
      </c>
      <c r="B631" s="47">
        <f>IF(_imp!$C$633="","",INDEX(_imp!$E$4:$E$1503,_imp!$C$633))</f>
        <v/>
      </c>
      <c r="C631" s="47">
        <f>IF(_imp!$C$633="","",INDEX(_imp!$F$4:$F$1503,_imp!$C$633))</f>
        <v/>
      </c>
      <c r="E631" s="47">
        <f>IF(_imp!$C$633="","",INDEX(_imp!$G$4:$G$1503,_imp!$C$633))</f>
        <v/>
      </c>
      <c r="F631" s="47">
        <f>IF(_imp!$C$633="","",INDEX(_imp!$H$4:$H$1503,_imp!$C$633))</f>
        <v/>
      </c>
      <c r="G631" s="47">
        <f>IF(_imp!$C$633="","",INDEX(_imp!$I$4:$I$1503,_imp!$C$633))</f>
        <v/>
      </c>
      <c r="K631" s="47">
        <f>IF(_imp!$C$633="","",INDEX(_imp!$J$4:$J$1503,_imp!$C$633))</f>
        <v/>
      </c>
    </row>
    <row r="632">
      <c r="A632" s="47">
        <f>IF(_imp!$C$634="","",INDEX(_imp!$D$4:$D$1503,_imp!$C$634))</f>
        <v/>
      </c>
      <c r="B632" s="47">
        <f>IF(_imp!$C$634="","",INDEX(_imp!$E$4:$E$1503,_imp!$C$634))</f>
        <v/>
      </c>
      <c r="C632" s="47">
        <f>IF(_imp!$C$634="","",INDEX(_imp!$F$4:$F$1503,_imp!$C$634))</f>
        <v/>
      </c>
      <c r="E632" s="47">
        <f>IF(_imp!$C$634="","",INDEX(_imp!$G$4:$G$1503,_imp!$C$634))</f>
        <v/>
      </c>
      <c r="F632" s="47">
        <f>IF(_imp!$C$634="","",INDEX(_imp!$H$4:$H$1503,_imp!$C$634))</f>
        <v/>
      </c>
      <c r="G632" s="47">
        <f>IF(_imp!$C$634="","",INDEX(_imp!$I$4:$I$1503,_imp!$C$634))</f>
        <v/>
      </c>
      <c r="K632" s="47">
        <f>IF(_imp!$C$634="","",INDEX(_imp!$J$4:$J$1503,_imp!$C$634))</f>
        <v/>
      </c>
    </row>
    <row r="633">
      <c r="A633" s="47">
        <f>IF(_imp!$C$635="","",INDEX(_imp!$D$4:$D$1503,_imp!$C$635))</f>
        <v/>
      </c>
      <c r="B633" s="47">
        <f>IF(_imp!$C$635="","",INDEX(_imp!$E$4:$E$1503,_imp!$C$635))</f>
        <v/>
      </c>
      <c r="C633" s="47">
        <f>IF(_imp!$C$635="","",INDEX(_imp!$F$4:$F$1503,_imp!$C$635))</f>
        <v/>
      </c>
      <c r="E633" s="47">
        <f>IF(_imp!$C$635="","",INDEX(_imp!$G$4:$G$1503,_imp!$C$635))</f>
        <v/>
      </c>
      <c r="F633" s="47">
        <f>IF(_imp!$C$635="","",INDEX(_imp!$H$4:$H$1503,_imp!$C$635))</f>
        <v/>
      </c>
      <c r="G633" s="47">
        <f>IF(_imp!$C$635="","",INDEX(_imp!$I$4:$I$1503,_imp!$C$635))</f>
        <v/>
      </c>
      <c r="K633" s="47">
        <f>IF(_imp!$C$635="","",INDEX(_imp!$J$4:$J$1503,_imp!$C$635))</f>
        <v/>
      </c>
    </row>
    <row r="634">
      <c r="A634" s="47">
        <f>IF(_imp!$C$636="","",INDEX(_imp!$D$4:$D$1503,_imp!$C$636))</f>
        <v/>
      </c>
      <c r="B634" s="47">
        <f>IF(_imp!$C$636="","",INDEX(_imp!$E$4:$E$1503,_imp!$C$636))</f>
        <v/>
      </c>
      <c r="C634" s="47">
        <f>IF(_imp!$C$636="","",INDEX(_imp!$F$4:$F$1503,_imp!$C$636))</f>
        <v/>
      </c>
      <c r="E634" s="47">
        <f>IF(_imp!$C$636="","",INDEX(_imp!$G$4:$G$1503,_imp!$C$636))</f>
        <v/>
      </c>
      <c r="F634" s="47">
        <f>IF(_imp!$C$636="","",INDEX(_imp!$H$4:$H$1503,_imp!$C$636))</f>
        <v/>
      </c>
      <c r="G634" s="47">
        <f>IF(_imp!$C$636="","",INDEX(_imp!$I$4:$I$1503,_imp!$C$636))</f>
        <v/>
      </c>
      <c r="K634" s="47">
        <f>IF(_imp!$C$636="","",INDEX(_imp!$J$4:$J$1503,_imp!$C$636))</f>
        <v/>
      </c>
    </row>
    <row r="635">
      <c r="A635" s="47">
        <f>IF(_imp!$C$637="","",INDEX(_imp!$D$4:$D$1503,_imp!$C$637))</f>
        <v/>
      </c>
      <c r="B635" s="47">
        <f>IF(_imp!$C$637="","",INDEX(_imp!$E$4:$E$1503,_imp!$C$637))</f>
        <v/>
      </c>
      <c r="C635" s="47">
        <f>IF(_imp!$C$637="","",INDEX(_imp!$F$4:$F$1503,_imp!$C$637))</f>
        <v/>
      </c>
      <c r="E635" s="47">
        <f>IF(_imp!$C$637="","",INDEX(_imp!$G$4:$G$1503,_imp!$C$637))</f>
        <v/>
      </c>
      <c r="F635" s="47">
        <f>IF(_imp!$C$637="","",INDEX(_imp!$H$4:$H$1503,_imp!$C$637))</f>
        <v/>
      </c>
      <c r="G635" s="47">
        <f>IF(_imp!$C$637="","",INDEX(_imp!$I$4:$I$1503,_imp!$C$637))</f>
        <v/>
      </c>
      <c r="K635" s="47">
        <f>IF(_imp!$C$637="","",INDEX(_imp!$J$4:$J$1503,_imp!$C$637))</f>
        <v/>
      </c>
    </row>
    <row r="636">
      <c r="A636" s="47">
        <f>IF(_imp!$C$638="","",INDEX(_imp!$D$4:$D$1503,_imp!$C$638))</f>
        <v/>
      </c>
      <c r="B636" s="47">
        <f>IF(_imp!$C$638="","",INDEX(_imp!$E$4:$E$1503,_imp!$C$638))</f>
        <v/>
      </c>
      <c r="C636" s="47">
        <f>IF(_imp!$C$638="","",INDEX(_imp!$F$4:$F$1503,_imp!$C$638))</f>
        <v/>
      </c>
      <c r="E636" s="47">
        <f>IF(_imp!$C$638="","",INDEX(_imp!$G$4:$G$1503,_imp!$C$638))</f>
        <v/>
      </c>
      <c r="F636" s="47">
        <f>IF(_imp!$C$638="","",INDEX(_imp!$H$4:$H$1503,_imp!$C$638))</f>
        <v/>
      </c>
      <c r="G636" s="47">
        <f>IF(_imp!$C$638="","",INDEX(_imp!$I$4:$I$1503,_imp!$C$638))</f>
        <v/>
      </c>
      <c r="K636" s="47">
        <f>IF(_imp!$C$638="","",INDEX(_imp!$J$4:$J$1503,_imp!$C$638))</f>
        <v/>
      </c>
    </row>
    <row r="637">
      <c r="A637" s="47">
        <f>IF(_imp!$C$639="","",INDEX(_imp!$D$4:$D$1503,_imp!$C$639))</f>
        <v/>
      </c>
      <c r="B637" s="47">
        <f>IF(_imp!$C$639="","",INDEX(_imp!$E$4:$E$1503,_imp!$C$639))</f>
        <v/>
      </c>
      <c r="C637" s="47">
        <f>IF(_imp!$C$639="","",INDEX(_imp!$F$4:$F$1503,_imp!$C$639))</f>
        <v/>
      </c>
      <c r="E637" s="47">
        <f>IF(_imp!$C$639="","",INDEX(_imp!$G$4:$G$1503,_imp!$C$639))</f>
        <v/>
      </c>
      <c r="F637" s="47">
        <f>IF(_imp!$C$639="","",INDEX(_imp!$H$4:$H$1503,_imp!$C$639))</f>
        <v/>
      </c>
      <c r="G637" s="47">
        <f>IF(_imp!$C$639="","",INDEX(_imp!$I$4:$I$1503,_imp!$C$639))</f>
        <v/>
      </c>
      <c r="K637" s="47">
        <f>IF(_imp!$C$639="","",INDEX(_imp!$J$4:$J$1503,_imp!$C$639))</f>
        <v/>
      </c>
    </row>
    <row r="638">
      <c r="A638" s="47">
        <f>IF(_imp!$C$640="","",INDEX(_imp!$D$4:$D$1503,_imp!$C$640))</f>
        <v/>
      </c>
      <c r="B638" s="47">
        <f>IF(_imp!$C$640="","",INDEX(_imp!$E$4:$E$1503,_imp!$C$640))</f>
        <v/>
      </c>
      <c r="C638" s="47">
        <f>IF(_imp!$C$640="","",INDEX(_imp!$F$4:$F$1503,_imp!$C$640))</f>
        <v/>
      </c>
      <c r="E638" s="47">
        <f>IF(_imp!$C$640="","",INDEX(_imp!$G$4:$G$1503,_imp!$C$640))</f>
        <v/>
      </c>
      <c r="F638" s="47">
        <f>IF(_imp!$C$640="","",INDEX(_imp!$H$4:$H$1503,_imp!$C$640))</f>
        <v/>
      </c>
      <c r="G638" s="47">
        <f>IF(_imp!$C$640="","",INDEX(_imp!$I$4:$I$1503,_imp!$C$640))</f>
        <v/>
      </c>
      <c r="K638" s="47">
        <f>IF(_imp!$C$640="","",INDEX(_imp!$J$4:$J$1503,_imp!$C$640))</f>
        <v/>
      </c>
    </row>
    <row r="639">
      <c r="A639" s="47">
        <f>IF(_imp!$C$641="","",INDEX(_imp!$D$4:$D$1503,_imp!$C$641))</f>
        <v/>
      </c>
      <c r="B639" s="47">
        <f>IF(_imp!$C$641="","",INDEX(_imp!$E$4:$E$1503,_imp!$C$641))</f>
        <v/>
      </c>
      <c r="C639" s="47">
        <f>IF(_imp!$C$641="","",INDEX(_imp!$F$4:$F$1503,_imp!$C$641))</f>
        <v/>
      </c>
      <c r="E639" s="47">
        <f>IF(_imp!$C$641="","",INDEX(_imp!$G$4:$G$1503,_imp!$C$641))</f>
        <v/>
      </c>
      <c r="F639" s="47">
        <f>IF(_imp!$C$641="","",INDEX(_imp!$H$4:$H$1503,_imp!$C$641))</f>
        <v/>
      </c>
      <c r="G639" s="47">
        <f>IF(_imp!$C$641="","",INDEX(_imp!$I$4:$I$1503,_imp!$C$641))</f>
        <v/>
      </c>
      <c r="K639" s="47">
        <f>IF(_imp!$C$641="","",INDEX(_imp!$J$4:$J$1503,_imp!$C$641))</f>
        <v/>
      </c>
    </row>
    <row r="640">
      <c r="A640" s="47">
        <f>IF(_imp!$C$642="","",INDEX(_imp!$D$4:$D$1503,_imp!$C$642))</f>
        <v/>
      </c>
      <c r="B640" s="47">
        <f>IF(_imp!$C$642="","",INDEX(_imp!$E$4:$E$1503,_imp!$C$642))</f>
        <v/>
      </c>
      <c r="C640" s="47">
        <f>IF(_imp!$C$642="","",INDEX(_imp!$F$4:$F$1503,_imp!$C$642))</f>
        <v/>
      </c>
      <c r="E640" s="47">
        <f>IF(_imp!$C$642="","",INDEX(_imp!$G$4:$G$1503,_imp!$C$642))</f>
        <v/>
      </c>
      <c r="F640" s="47">
        <f>IF(_imp!$C$642="","",INDEX(_imp!$H$4:$H$1503,_imp!$C$642))</f>
        <v/>
      </c>
      <c r="G640" s="47">
        <f>IF(_imp!$C$642="","",INDEX(_imp!$I$4:$I$1503,_imp!$C$642))</f>
        <v/>
      </c>
      <c r="K640" s="47">
        <f>IF(_imp!$C$642="","",INDEX(_imp!$J$4:$J$1503,_imp!$C$642))</f>
        <v/>
      </c>
    </row>
    <row r="641">
      <c r="A641" s="47">
        <f>IF(_imp!$C$643="","",INDEX(_imp!$D$4:$D$1503,_imp!$C$643))</f>
        <v/>
      </c>
      <c r="B641" s="47">
        <f>IF(_imp!$C$643="","",INDEX(_imp!$E$4:$E$1503,_imp!$C$643))</f>
        <v/>
      </c>
      <c r="C641" s="47">
        <f>IF(_imp!$C$643="","",INDEX(_imp!$F$4:$F$1503,_imp!$C$643))</f>
        <v/>
      </c>
      <c r="E641" s="47">
        <f>IF(_imp!$C$643="","",INDEX(_imp!$G$4:$G$1503,_imp!$C$643))</f>
        <v/>
      </c>
      <c r="F641" s="47">
        <f>IF(_imp!$C$643="","",INDEX(_imp!$H$4:$H$1503,_imp!$C$643))</f>
        <v/>
      </c>
      <c r="G641" s="47">
        <f>IF(_imp!$C$643="","",INDEX(_imp!$I$4:$I$1503,_imp!$C$643))</f>
        <v/>
      </c>
      <c r="K641" s="47">
        <f>IF(_imp!$C$643="","",INDEX(_imp!$J$4:$J$1503,_imp!$C$643))</f>
        <v/>
      </c>
    </row>
    <row r="642">
      <c r="A642" s="47">
        <f>IF(_imp!$C$644="","",INDEX(_imp!$D$4:$D$1503,_imp!$C$644))</f>
        <v/>
      </c>
      <c r="B642" s="47">
        <f>IF(_imp!$C$644="","",INDEX(_imp!$E$4:$E$1503,_imp!$C$644))</f>
        <v/>
      </c>
      <c r="C642" s="47">
        <f>IF(_imp!$C$644="","",INDEX(_imp!$F$4:$F$1503,_imp!$C$644))</f>
        <v/>
      </c>
      <c r="E642" s="47">
        <f>IF(_imp!$C$644="","",INDEX(_imp!$G$4:$G$1503,_imp!$C$644))</f>
        <v/>
      </c>
      <c r="F642" s="47">
        <f>IF(_imp!$C$644="","",INDEX(_imp!$H$4:$H$1503,_imp!$C$644))</f>
        <v/>
      </c>
      <c r="G642" s="47">
        <f>IF(_imp!$C$644="","",INDEX(_imp!$I$4:$I$1503,_imp!$C$644))</f>
        <v/>
      </c>
      <c r="K642" s="47">
        <f>IF(_imp!$C$644="","",INDEX(_imp!$J$4:$J$1503,_imp!$C$644))</f>
        <v/>
      </c>
    </row>
    <row r="643">
      <c r="A643" s="47">
        <f>IF(_imp!$C$645="","",INDEX(_imp!$D$4:$D$1503,_imp!$C$645))</f>
        <v/>
      </c>
      <c r="B643" s="47">
        <f>IF(_imp!$C$645="","",INDEX(_imp!$E$4:$E$1503,_imp!$C$645))</f>
        <v/>
      </c>
      <c r="C643" s="47">
        <f>IF(_imp!$C$645="","",INDEX(_imp!$F$4:$F$1503,_imp!$C$645))</f>
        <v/>
      </c>
      <c r="E643" s="47">
        <f>IF(_imp!$C$645="","",INDEX(_imp!$G$4:$G$1503,_imp!$C$645))</f>
        <v/>
      </c>
      <c r="F643" s="47">
        <f>IF(_imp!$C$645="","",INDEX(_imp!$H$4:$H$1503,_imp!$C$645))</f>
        <v/>
      </c>
      <c r="G643" s="47">
        <f>IF(_imp!$C$645="","",INDEX(_imp!$I$4:$I$1503,_imp!$C$645))</f>
        <v/>
      </c>
      <c r="K643" s="47">
        <f>IF(_imp!$C$645="","",INDEX(_imp!$J$4:$J$1503,_imp!$C$645))</f>
        <v/>
      </c>
    </row>
    <row r="644">
      <c r="A644" s="47">
        <f>IF(_imp!$C$646="","",INDEX(_imp!$D$4:$D$1503,_imp!$C$646))</f>
        <v/>
      </c>
      <c r="B644" s="47">
        <f>IF(_imp!$C$646="","",INDEX(_imp!$E$4:$E$1503,_imp!$C$646))</f>
        <v/>
      </c>
      <c r="C644" s="47">
        <f>IF(_imp!$C$646="","",INDEX(_imp!$F$4:$F$1503,_imp!$C$646))</f>
        <v/>
      </c>
      <c r="E644" s="47">
        <f>IF(_imp!$C$646="","",INDEX(_imp!$G$4:$G$1503,_imp!$C$646))</f>
        <v/>
      </c>
      <c r="F644" s="47">
        <f>IF(_imp!$C$646="","",INDEX(_imp!$H$4:$H$1503,_imp!$C$646))</f>
        <v/>
      </c>
      <c r="G644" s="47">
        <f>IF(_imp!$C$646="","",INDEX(_imp!$I$4:$I$1503,_imp!$C$646))</f>
        <v/>
      </c>
      <c r="K644" s="47">
        <f>IF(_imp!$C$646="","",INDEX(_imp!$J$4:$J$1503,_imp!$C$646))</f>
        <v/>
      </c>
    </row>
    <row r="645">
      <c r="A645" s="47">
        <f>IF(_imp!$C$647="","",INDEX(_imp!$D$4:$D$1503,_imp!$C$647))</f>
        <v/>
      </c>
      <c r="B645" s="47">
        <f>IF(_imp!$C$647="","",INDEX(_imp!$E$4:$E$1503,_imp!$C$647))</f>
        <v/>
      </c>
      <c r="C645" s="47">
        <f>IF(_imp!$C$647="","",INDEX(_imp!$F$4:$F$1503,_imp!$C$647))</f>
        <v/>
      </c>
      <c r="E645" s="47">
        <f>IF(_imp!$C$647="","",INDEX(_imp!$G$4:$G$1503,_imp!$C$647))</f>
        <v/>
      </c>
      <c r="F645" s="47">
        <f>IF(_imp!$C$647="","",INDEX(_imp!$H$4:$H$1503,_imp!$C$647))</f>
        <v/>
      </c>
      <c r="G645" s="47">
        <f>IF(_imp!$C$647="","",INDEX(_imp!$I$4:$I$1503,_imp!$C$647))</f>
        <v/>
      </c>
      <c r="K645" s="47">
        <f>IF(_imp!$C$647="","",INDEX(_imp!$J$4:$J$1503,_imp!$C$647))</f>
        <v/>
      </c>
    </row>
    <row r="646">
      <c r="A646" s="47">
        <f>IF(_imp!$C$648="","",INDEX(_imp!$D$4:$D$1503,_imp!$C$648))</f>
        <v/>
      </c>
      <c r="B646" s="47">
        <f>IF(_imp!$C$648="","",INDEX(_imp!$E$4:$E$1503,_imp!$C$648))</f>
        <v/>
      </c>
      <c r="C646" s="47">
        <f>IF(_imp!$C$648="","",INDEX(_imp!$F$4:$F$1503,_imp!$C$648))</f>
        <v/>
      </c>
      <c r="E646" s="47">
        <f>IF(_imp!$C$648="","",INDEX(_imp!$G$4:$G$1503,_imp!$C$648))</f>
        <v/>
      </c>
      <c r="F646" s="47">
        <f>IF(_imp!$C$648="","",INDEX(_imp!$H$4:$H$1503,_imp!$C$648))</f>
        <v/>
      </c>
      <c r="G646" s="47">
        <f>IF(_imp!$C$648="","",INDEX(_imp!$I$4:$I$1503,_imp!$C$648))</f>
        <v/>
      </c>
      <c r="K646" s="47">
        <f>IF(_imp!$C$648="","",INDEX(_imp!$J$4:$J$1503,_imp!$C$648))</f>
        <v/>
      </c>
    </row>
    <row r="647">
      <c r="A647" s="47">
        <f>IF(_imp!$C$649="","",INDEX(_imp!$D$4:$D$1503,_imp!$C$649))</f>
        <v/>
      </c>
      <c r="B647" s="47">
        <f>IF(_imp!$C$649="","",INDEX(_imp!$E$4:$E$1503,_imp!$C$649))</f>
        <v/>
      </c>
      <c r="C647" s="47">
        <f>IF(_imp!$C$649="","",INDEX(_imp!$F$4:$F$1503,_imp!$C$649))</f>
        <v/>
      </c>
      <c r="E647" s="47">
        <f>IF(_imp!$C$649="","",INDEX(_imp!$G$4:$G$1503,_imp!$C$649))</f>
        <v/>
      </c>
      <c r="F647" s="47">
        <f>IF(_imp!$C$649="","",INDEX(_imp!$H$4:$H$1503,_imp!$C$649))</f>
        <v/>
      </c>
      <c r="G647" s="47">
        <f>IF(_imp!$C$649="","",INDEX(_imp!$I$4:$I$1503,_imp!$C$649))</f>
        <v/>
      </c>
      <c r="K647" s="47">
        <f>IF(_imp!$C$649="","",INDEX(_imp!$J$4:$J$1503,_imp!$C$649))</f>
        <v/>
      </c>
    </row>
    <row r="648">
      <c r="A648" s="47">
        <f>IF(_imp!$C$650="","",INDEX(_imp!$D$4:$D$1503,_imp!$C$650))</f>
        <v/>
      </c>
      <c r="B648" s="47">
        <f>IF(_imp!$C$650="","",INDEX(_imp!$E$4:$E$1503,_imp!$C$650))</f>
        <v/>
      </c>
      <c r="C648" s="47">
        <f>IF(_imp!$C$650="","",INDEX(_imp!$F$4:$F$1503,_imp!$C$650))</f>
        <v/>
      </c>
      <c r="E648" s="47">
        <f>IF(_imp!$C$650="","",INDEX(_imp!$G$4:$G$1503,_imp!$C$650))</f>
        <v/>
      </c>
      <c r="F648" s="47">
        <f>IF(_imp!$C$650="","",INDEX(_imp!$H$4:$H$1503,_imp!$C$650))</f>
        <v/>
      </c>
      <c r="G648" s="47">
        <f>IF(_imp!$C$650="","",INDEX(_imp!$I$4:$I$1503,_imp!$C$650))</f>
        <v/>
      </c>
      <c r="K648" s="47">
        <f>IF(_imp!$C$650="","",INDEX(_imp!$J$4:$J$1503,_imp!$C$650))</f>
        <v/>
      </c>
    </row>
    <row r="649">
      <c r="A649" s="47">
        <f>IF(_imp!$C$651="","",INDEX(_imp!$D$4:$D$1503,_imp!$C$651))</f>
        <v/>
      </c>
      <c r="B649" s="47">
        <f>IF(_imp!$C$651="","",INDEX(_imp!$E$4:$E$1503,_imp!$C$651))</f>
        <v/>
      </c>
      <c r="C649" s="47">
        <f>IF(_imp!$C$651="","",INDEX(_imp!$F$4:$F$1503,_imp!$C$651))</f>
        <v/>
      </c>
      <c r="E649" s="47">
        <f>IF(_imp!$C$651="","",INDEX(_imp!$G$4:$G$1503,_imp!$C$651))</f>
        <v/>
      </c>
      <c r="F649" s="47">
        <f>IF(_imp!$C$651="","",INDEX(_imp!$H$4:$H$1503,_imp!$C$651))</f>
        <v/>
      </c>
      <c r="G649" s="47">
        <f>IF(_imp!$C$651="","",INDEX(_imp!$I$4:$I$1503,_imp!$C$651))</f>
        <v/>
      </c>
      <c r="K649" s="47">
        <f>IF(_imp!$C$651="","",INDEX(_imp!$J$4:$J$1503,_imp!$C$651))</f>
        <v/>
      </c>
    </row>
    <row r="650">
      <c r="A650" s="47">
        <f>IF(_imp!$C$652="","",INDEX(_imp!$D$4:$D$1503,_imp!$C$652))</f>
        <v/>
      </c>
      <c r="B650" s="47">
        <f>IF(_imp!$C$652="","",INDEX(_imp!$E$4:$E$1503,_imp!$C$652))</f>
        <v/>
      </c>
      <c r="C650" s="47">
        <f>IF(_imp!$C$652="","",INDEX(_imp!$F$4:$F$1503,_imp!$C$652))</f>
        <v/>
      </c>
      <c r="E650" s="47">
        <f>IF(_imp!$C$652="","",INDEX(_imp!$G$4:$G$1503,_imp!$C$652))</f>
        <v/>
      </c>
      <c r="F650" s="47">
        <f>IF(_imp!$C$652="","",INDEX(_imp!$H$4:$H$1503,_imp!$C$652))</f>
        <v/>
      </c>
      <c r="G650" s="47">
        <f>IF(_imp!$C$652="","",INDEX(_imp!$I$4:$I$1503,_imp!$C$652))</f>
        <v/>
      </c>
      <c r="K650" s="47">
        <f>IF(_imp!$C$652="","",INDEX(_imp!$J$4:$J$1503,_imp!$C$652))</f>
        <v/>
      </c>
    </row>
    <row r="651">
      <c r="A651" s="47">
        <f>IF(_imp!$C$653="","",INDEX(_imp!$D$4:$D$1503,_imp!$C$653))</f>
        <v/>
      </c>
      <c r="B651" s="47">
        <f>IF(_imp!$C$653="","",INDEX(_imp!$E$4:$E$1503,_imp!$C$653))</f>
        <v/>
      </c>
      <c r="C651" s="47">
        <f>IF(_imp!$C$653="","",INDEX(_imp!$F$4:$F$1503,_imp!$C$653))</f>
        <v/>
      </c>
      <c r="E651" s="47">
        <f>IF(_imp!$C$653="","",INDEX(_imp!$G$4:$G$1503,_imp!$C$653))</f>
        <v/>
      </c>
      <c r="F651" s="47">
        <f>IF(_imp!$C$653="","",INDEX(_imp!$H$4:$H$1503,_imp!$C$653))</f>
        <v/>
      </c>
      <c r="G651" s="47">
        <f>IF(_imp!$C$653="","",INDEX(_imp!$I$4:$I$1503,_imp!$C$653))</f>
        <v/>
      </c>
      <c r="K651" s="47">
        <f>IF(_imp!$C$653="","",INDEX(_imp!$J$4:$J$1503,_imp!$C$653))</f>
        <v/>
      </c>
    </row>
    <row r="652">
      <c r="A652" s="47">
        <f>IF(_imp!$C$654="","",INDEX(_imp!$D$4:$D$1503,_imp!$C$654))</f>
        <v/>
      </c>
      <c r="B652" s="47">
        <f>IF(_imp!$C$654="","",INDEX(_imp!$E$4:$E$1503,_imp!$C$654))</f>
        <v/>
      </c>
      <c r="C652" s="47">
        <f>IF(_imp!$C$654="","",INDEX(_imp!$F$4:$F$1503,_imp!$C$654))</f>
        <v/>
      </c>
      <c r="E652" s="47">
        <f>IF(_imp!$C$654="","",INDEX(_imp!$G$4:$G$1503,_imp!$C$654))</f>
        <v/>
      </c>
      <c r="F652" s="47">
        <f>IF(_imp!$C$654="","",INDEX(_imp!$H$4:$H$1503,_imp!$C$654))</f>
        <v/>
      </c>
      <c r="G652" s="47">
        <f>IF(_imp!$C$654="","",INDEX(_imp!$I$4:$I$1503,_imp!$C$654))</f>
        <v/>
      </c>
      <c r="K652" s="47">
        <f>IF(_imp!$C$654="","",INDEX(_imp!$J$4:$J$1503,_imp!$C$654))</f>
        <v/>
      </c>
    </row>
    <row r="653">
      <c r="A653" s="47">
        <f>IF(_imp!$C$655="","",INDEX(_imp!$D$4:$D$1503,_imp!$C$655))</f>
        <v/>
      </c>
      <c r="B653" s="47">
        <f>IF(_imp!$C$655="","",INDEX(_imp!$E$4:$E$1503,_imp!$C$655))</f>
        <v/>
      </c>
      <c r="C653" s="47">
        <f>IF(_imp!$C$655="","",INDEX(_imp!$F$4:$F$1503,_imp!$C$655))</f>
        <v/>
      </c>
      <c r="E653" s="47">
        <f>IF(_imp!$C$655="","",INDEX(_imp!$G$4:$G$1503,_imp!$C$655))</f>
        <v/>
      </c>
      <c r="F653" s="47">
        <f>IF(_imp!$C$655="","",INDEX(_imp!$H$4:$H$1503,_imp!$C$655))</f>
        <v/>
      </c>
      <c r="G653" s="47">
        <f>IF(_imp!$C$655="","",INDEX(_imp!$I$4:$I$1503,_imp!$C$655))</f>
        <v/>
      </c>
      <c r="K653" s="47">
        <f>IF(_imp!$C$655="","",INDEX(_imp!$J$4:$J$1503,_imp!$C$655))</f>
        <v/>
      </c>
    </row>
    <row r="654">
      <c r="A654" s="47">
        <f>IF(_imp!$C$656="","",INDEX(_imp!$D$4:$D$1503,_imp!$C$656))</f>
        <v/>
      </c>
      <c r="B654" s="47">
        <f>IF(_imp!$C$656="","",INDEX(_imp!$E$4:$E$1503,_imp!$C$656))</f>
        <v/>
      </c>
      <c r="C654" s="47">
        <f>IF(_imp!$C$656="","",INDEX(_imp!$F$4:$F$1503,_imp!$C$656))</f>
        <v/>
      </c>
      <c r="E654" s="47">
        <f>IF(_imp!$C$656="","",INDEX(_imp!$G$4:$G$1503,_imp!$C$656))</f>
        <v/>
      </c>
      <c r="F654" s="47">
        <f>IF(_imp!$C$656="","",INDEX(_imp!$H$4:$H$1503,_imp!$C$656))</f>
        <v/>
      </c>
      <c r="G654" s="47">
        <f>IF(_imp!$C$656="","",INDEX(_imp!$I$4:$I$1503,_imp!$C$656))</f>
        <v/>
      </c>
      <c r="K654" s="47">
        <f>IF(_imp!$C$656="","",INDEX(_imp!$J$4:$J$1503,_imp!$C$656))</f>
        <v/>
      </c>
    </row>
    <row r="655">
      <c r="A655" s="47">
        <f>IF(_imp!$C$657="","",INDEX(_imp!$D$4:$D$1503,_imp!$C$657))</f>
        <v/>
      </c>
      <c r="B655" s="47">
        <f>IF(_imp!$C$657="","",INDEX(_imp!$E$4:$E$1503,_imp!$C$657))</f>
        <v/>
      </c>
      <c r="C655" s="47">
        <f>IF(_imp!$C$657="","",INDEX(_imp!$F$4:$F$1503,_imp!$C$657))</f>
        <v/>
      </c>
      <c r="E655" s="47">
        <f>IF(_imp!$C$657="","",INDEX(_imp!$G$4:$G$1503,_imp!$C$657))</f>
        <v/>
      </c>
      <c r="F655" s="47">
        <f>IF(_imp!$C$657="","",INDEX(_imp!$H$4:$H$1503,_imp!$C$657))</f>
        <v/>
      </c>
      <c r="G655" s="47">
        <f>IF(_imp!$C$657="","",INDEX(_imp!$I$4:$I$1503,_imp!$C$657))</f>
        <v/>
      </c>
      <c r="K655" s="47">
        <f>IF(_imp!$C$657="","",INDEX(_imp!$J$4:$J$1503,_imp!$C$657))</f>
        <v/>
      </c>
    </row>
    <row r="656">
      <c r="A656" s="47">
        <f>IF(_imp!$C$658="","",INDEX(_imp!$D$4:$D$1503,_imp!$C$658))</f>
        <v/>
      </c>
      <c r="B656" s="47">
        <f>IF(_imp!$C$658="","",INDEX(_imp!$E$4:$E$1503,_imp!$C$658))</f>
        <v/>
      </c>
      <c r="C656" s="47">
        <f>IF(_imp!$C$658="","",INDEX(_imp!$F$4:$F$1503,_imp!$C$658))</f>
        <v/>
      </c>
      <c r="E656" s="47">
        <f>IF(_imp!$C$658="","",INDEX(_imp!$G$4:$G$1503,_imp!$C$658))</f>
        <v/>
      </c>
      <c r="F656" s="47">
        <f>IF(_imp!$C$658="","",INDEX(_imp!$H$4:$H$1503,_imp!$C$658))</f>
        <v/>
      </c>
      <c r="G656" s="47">
        <f>IF(_imp!$C$658="","",INDEX(_imp!$I$4:$I$1503,_imp!$C$658))</f>
        <v/>
      </c>
      <c r="K656" s="47">
        <f>IF(_imp!$C$658="","",INDEX(_imp!$J$4:$J$1503,_imp!$C$658))</f>
        <v/>
      </c>
    </row>
    <row r="657">
      <c r="A657" s="47">
        <f>IF(_imp!$C$659="","",INDEX(_imp!$D$4:$D$1503,_imp!$C$659))</f>
        <v/>
      </c>
      <c r="B657" s="47">
        <f>IF(_imp!$C$659="","",INDEX(_imp!$E$4:$E$1503,_imp!$C$659))</f>
        <v/>
      </c>
      <c r="C657" s="47">
        <f>IF(_imp!$C$659="","",INDEX(_imp!$F$4:$F$1503,_imp!$C$659))</f>
        <v/>
      </c>
      <c r="E657" s="47">
        <f>IF(_imp!$C$659="","",INDEX(_imp!$G$4:$G$1503,_imp!$C$659))</f>
        <v/>
      </c>
      <c r="F657" s="47">
        <f>IF(_imp!$C$659="","",INDEX(_imp!$H$4:$H$1503,_imp!$C$659))</f>
        <v/>
      </c>
      <c r="G657" s="47">
        <f>IF(_imp!$C$659="","",INDEX(_imp!$I$4:$I$1503,_imp!$C$659))</f>
        <v/>
      </c>
      <c r="K657" s="47">
        <f>IF(_imp!$C$659="","",INDEX(_imp!$J$4:$J$1503,_imp!$C$659))</f>
        <v/>
      </c>
    </row>
    <row r="658">
      <c r="A658" s="47">
        <f>IF(_imp!$C$660="","",INDEX(_imp!$D$4:$D$1503,_imp!$C$660))</f>
        <v/>
      </c>
      <c r="B658" s="47">
        <f>IF(_imp!$C$660="","",INDEX(_imp!$E$4:$E$1503,_imp!$C$660))</f>
        <v/>
      </c>
      <c r="C658" s="47">
        <f>IF(_imp!$C$660="","",INDEX(_imp!$F$4:$F$1503,_imp!$C$660))</f>
        <v/>
      </c>
      <c r="E658" s="47">
        <f>IF(_imp!$C$660="","",INDEX(_imp!$G$4:$G$1503,_imp!$C$660))</f>
        <v/>
      </c>
      <c r="F658" s="47">
        <f>IF(_imp!$C$660="","",INDEX(_imp!$H$4:$H$1503,_imp!$C$660))</f>
        <v/>
      </c>
      <c r="G658" s="47">
        <f>IF(_imp!$C$660="","",INDEX(_imp!$I$4:$I$1503,_imp!$C$660))</f>
        <v/>
      </c>
      <c r="K658" s="47">
        <f>IF(_imp!$C$660="","",INDEX(_imp!$J$4:$J$1503,_imp!$C$660))</f>
        <v/>
      </c>
    </row>
    <row r="659">
      <c r="A659" s="47">
        <f>IF(_imp!$C$661="","",INDEX(_imp!$D$4:$D$1503,_imp!$C$661))</f>
        <v/>
      </c>
      <c r="B659" s="47">
        <f>IF(_imp!$C$661="","",INDEX(_imp!$E$4:$E$1503,_imp!$C$661))</f>
        <v/>
      </c>
      <c r="C659" s="47">
        <f>IF(_imp!$C$661="","",INDEX(_imp!$F$4:$F$1503,_imp!$C$661))</f>
        <v/>
      </c>
      <c r="E659" s="47">
        <f>IF(_imp!$C$661="","",INDEX(_imp!$G$4:$G$1503,_imp!$C$661))</f>
        <v/>
      </c>
      <c r="F659" s="47">
        <f>IF(_imp!$C$661="","",INDEX(_imp!$H$4:$H$1503,_imp!$C$661))</f>
        <v/>
      </c>
      <c r="G659" s="47">
        <f>IF(_imp!$C$661="","",INDEX(_imp!$I$4:$I$1503,_imp!$C$661))</f>
        <v/>
      </c>
      <c r="K659" s="47">
        <f>IF(_imp!$C$661="","",INDEX(_imp!$J$4:$J$1503,_imp!$C$661))</f>
        <v/>
      </c>
    </row>
    <row r="660">
      <c r="A660" s="47">
        <f>IF(_imp!$C$662="","",INDEX(_imp!$D$4:$D$1503,_imp!$C$662))</f>
        <v/>
      </c>
      <c r="B660" s="47">
        <f>IF(_imp!$C$662="","",INDEX(_imp!$E$4:$E$1503,_imp!$C$662))</f>
        <v/>
      </c>
      <c r="C660" s="47">
        <f>IF(_imp!$C$662="","",INDEX(_imp!$F$4:$F$1503,_imp!$C$662))</f>
        <v/>
      </c>
      <c r="E660" s="47">
        <f>IF(_imp!$C$662="","",INDEX(_imp!$G$4:$G$1503,_imp!$C$662))</f>
        <v/>
      </c>
      <c r="F660" s="47">
        <f>IF(_imp!$C$662="","",INDEX(_imp!$H$4:$H$1503,_imp!$C$662))</f>
        <v/>
      </c>
      <c r="G660" s="47">
        <f>IF(_imp!$C$662="","",INDEX(_imp!$I$4:$I$1503,_imp!$C$662))</f>
        <v/>
      </c>
      <c r="K660" s="47">
        <f>IF(_imp!$C$662="","",INDEX(_imp!$J$4:$J$1503,_imp!$C$662))</f>
        <v/>
      </c>
    </row>
    <row r="661">
      <c r="A661" s="47">
        <f>IF(_imp!$C$663="","",INDEX(_imp!$D$4:$D$1503,_imp!$C$663))</f>
        <v/>
      </c>
      <c r="B661" s="47">
        <f>IF(_imp!$C$663="","",INDEX(_imp!$E$4:$E$1503,_imp!$C$663))</f>
        <v/>
      </c>
      <c r="C661" s="47">
        <f>IF(_imp!$C$663="","",INDEX(_imp!$F$4:$F$1503,_imp!$C$663))</f>
        <v/>
      </c>
      <c r="E661" s="47">
        <f>IF(_imp!$C$663="","",INDEX(_imp!$G$4:$G$1503,_imp!$C$663))</f>
        <v/>
      </c>
      <c r="F661" s="47">
        <f>IF(_imp!$C$663="","",INDEX(_imp!$H$4:$H$1503,_imp!$C$663))</f>
        <v/>
      </c>
      <c r="G661" s="47">
        <f>IF(_imp!$C$663="","",INDEX(_imp!$I$4:$I$1503,_imp!$C$663))</f>
        <v/>
      </c>
      <c r="K661" s="47">
        <f>IF(_imp!$C$663="","",INDEX(_imp!$J$4:$J$1503,_imp!$C$663))</f>
        <v/>
      </c>
    </row>
    <row r="662">
      <c r="A662" s="47">
        <f>IF(_imp!$C$664="","",INDEX(_imp!$D$4:$D$1503,_imp!$C$664))</f>
        <v/>
      </c>
      <c r="B662" s="47">
        <f>IF(_imp!$C$664="","",INDEX(_imp!$E$4:$E$1503,_imp!$C$664))</f>
        <v/>
      </c>
      <c r="C662" s="47">
        <f>IF(_imp!$C$664="","",INDEX(_imp!$F$4:$F$1503,_imp!$C$664))</f>
        <v/>
      </c>
      <c r="E662" s="47">
        <f>IF(_imp!$C$664="","",INDEX(_imp!$G$4:$G$1503,_imp!$C$664))</f>
        <v/>
      </c>
      <c r="F662" s="47">
        <f>IF(_imp!$C$664="","",INDEX(_imp!$H$4:$H$1503,_imp!$C$664))</f>
        <v/>
      </c>
      <c r="G662" s="47">
        <f>IF(_imp!$C$664="","",INDEX(_imp!$I$4:$I$1503,_imp!$C$664))</f>
        <v/>
      </c>
      <c r="K662" s="47">
        <f>IF(_imp!$C$664="","",INDEX(_imp!$J$4:$J$1503,_imp!$C$664))</f>
        <v/>
      </c>
    </row>
    <row r="663">
      <c r="A663" s="47">
        <f>IF(_imp!$C$665="","",INDEX(_imp!$D$4:$D$1503,_imp!$C$665))</f>
        <v/>
      </c>
      <c r="B663" s="47">
        <f>IF(_imp!$C$665="","",INDEX(_imp!$E$4:$E$1503,_imp!$C$665))</f>
        <v/>
      </c>
      <c r="C663" s="47">
        <f>IF(_imp!$C$665="","",INDEX(_imp!$F$4:$F$1503,_imp!$C$665))</f>
        <v/>
      </c>
      <c r="E663" s="47">
        <f>IF(_imp!$C$665="","",INDEX(_imp!$G$4:$G$1503,_imp!$C$665))</f>
        <v/>
      </c>
      <c r="F663" s="47">
        <f>IF(_imp!$C$665="","",INDEX(_imp!$H$4:$H$1503,_imp!$C$665))</f>
        <v/>
      </c>
      <c r="G663" s="47">
        <f>IF(_imp!$C$665="","",INDEX(_imp!$I$4:$I$1503,_imp!$C$665))</f>
        <v/>
      </c>
      <c r="K663" s="47">
        <f>IF(_imp!$C$665="","",INDEX(_imp!$J$4:$J$1503,_imp!$C$665))</f>
        <v/>
      </c>
    </row>
    <row r="664">
      <c r="A664" s="47">
        <f>IF(_imp!$C$666="","",INDEX(_imp!$D$4:$D$1503,_imp!$C$666))</f>
        <v/>
      </c>
      <c r="B664" s="47">
        <f>IF(_imp!$C$666="","",INDEX(_imp!$E$4:$E$1503,_imp!$C$666))</f>
        <v/>
      </c>
      <c r="C664" s="47">
        <f>IF(_imp!$C$666="","",INDEX(_imp!$F$4:$F$1503,_imp!$C$666))</f>
        <v/>
      </c>
      <c r="E664" s="47">
        <f>IF(_imp!$C$666="","",INDEX(_imp!$G$4:$G$1503,_imp!$C$666))</f>
        <v/>
      </c>
      <c r="F664" s="47">
        <f>IF(_imp!$C$666="","",INDEX(_imp!$H$4:$H$1503,_imp!$C$666))</f>
        <v/>
      </c>
      <c r="G664" s="47">
        <f>IF(_imp!$C$666="","",INDEX(_imp!$I$4:$I$1503,_imp!$C$666))</f>
        <v/>
      </c>
      <c r="K664" s="47">
        <f>IF(_imp!$C$666="","",INDEX(_imp!$J$4:$J$1503,_imp!$C$666))</f>
        <v/>
      </c>
    </row>
    <row r="665">
      <c r="A665" s="47">
        <f>IF(_imp!$C$667="","",INDEX(_imp!$D$4:$D$1503,_imp!$C$667))</f>
        <v/>
      </c>
      <c r="B665" s="47">
        <f>IF(_imp!$C$667="","",INDEX(_imp!$E$4:$E$1503,_imp!$C$667))</f>
        <v/>
      </c>
      <c r="C665" s="47">
        <f>IF(_imp!$C$667="","",INDEX(_imp!$F$4:$F$1503,_imp!$C$667))</f>
        <v/>
      </c>
      <c r="E665" s="47">
        <f>IF(_imp!$C$667="","",INDEX(_imp!$G$4:$G$1503,_imp!$C$667))</f>
        <v/>
      </c>
      <c r="F665" s="47">
        <f>IF(_imp!$C$667="","",INDEX(_imp!$H$4:$H$1503,_imp!$C$667))</f>
        <v/>
      </c>
      <c r="G665" s="47">
        <f>IF(_imp!$C$667="","",INDEX(_imp!$I$4:$I$1503,_imp!$C$667))</f>
        <v/>
      </c>
      <c r="K665" s="47">
        <f>IF(_imp!$C$667="","",INDEX(_imp!$J$4:$J$1503,_imp!$C$667))</f>
        <v/>
      </c>
    </row>
    <row r="666">
      <c r="A666" s="47">
        <f>IF(_imp!$C$668="","",INDEX(_imp!$D$4:$D$1503,_imp!$C$668))</f>
        <v/>
      </c>
      <c r="B666" s="47">
        <f>IF(_imp!$C$668="","",INDEX(_imp!$E$4:$E$1503,_imp!$C$668))</f>
        <v/>
      </c>
      <c r="C666" s="47">
        <f>IF(_imp!$C$668="","",INDEX(_imp!$F$4:$F$1503,_imp!$C$668))</f>
        <v/>
      </c>
      <c r="E666" s="47">
        <f>IF(_imp!$C$668="","",INDEX(_imp!$G$4:$G$1503,_imp!$C$668))</f>
        <v/>
      </c>
      <c r="F666" s="47">
        <f>IF(_imp!$C$668="","",INDEX(_imp!$H$4:$H$1503,_imp!$C$668))</f>
        <v/>
      </c>
      <c r="G666" s="47">
        <f>IF(_imp!$C$668="","",INDEX(_imp!$I$4:$I$1503,_imp!$C$668))</f>
        <v/>
      </c>
      <c r="K666" s="47">
        <f>IF(_imp!$C$668="","",INDEX(_imp!$J$4:$J$1503,_imp!$C$668))</f>
        <v/>
      </c>
    </row>
    <row r="667">
      <c r="A667" s="47">
        <f>IF(_imp!$C$669="","",INDEX(_imp!$D$4:$D$1503,_imp!$C$669))</f>
        <v/>
      </c>
      <c r="B667" s="47">
        <f>IF(_imp!$C$669="","",INDEX(_imp!$E$4:$E$1503,_imp!$C$669))</f>
        <v/>
      </c>
      <c r="C667" s="47">
        <f>IF(_imp!$C$669="","",INDEX(_imp!$F$4:$F$1503,_imp!$C$669))</f>
        <v/>
      </c>
      <c r="E667" s="47">
        <f>IF(_imp!$C$669="","",INDEX(_imp!$G$4:$G$1503,_imp!$C$669))</f>
        <v/>
      </c>
      <c r="F667" s="47">
        <f>IF(_imp!$C$669="","",INDEX(_imp!$H$4:$H$1503,_imp!$C$669))</f>
        <v/>
      </c>
      <c r="G667" s="47">
        <f>IF(_imp!$C$669="","",INDEX(_imp!$I$4:$I$1503,_imp!$C$669))</f>
        <v/>
      </c>
      <c r="K667" s="47">
        <f>IF(_imp!$C$669="","",INDEX(_imp!$J$4:$J$1503,_imp!$C$669))</f>
        <v/>
      </c>
    </row>
    <row r="668">
      <c r="A668" s="47">
        <f>IF(_imp!$C$670="","",INDEX(_imp!$D$4:$D$1503,_imp!$C$670))</f>
        <v/>
      </c>
      <c r="B668" s="47">
        <f>IF(_imp!$C$670="","",INDEX(_imp!$E$4:$E$1503,_imp!$C$670))</f>
        <v/>
      </c>
      <c r="C668" s="47">
        <f>IF(_imp!$C$670="","",INDEX(_imp!$F$4:$F$1503,_imp!$C$670))</f>
        <v/>
      </c>
      <c r="E668" s="47">
        <f>IF(_imp!$C$670="","",INDEX(_imp!$G$4:$G$1503,_imp!$C$670))</f>
        <v/>
      </c>
      <c r="F668" s="47">
        <f>IF(_imp!$C$670="","",INDEX(_imp!$H$4:$H$1503,_imp!$C$670))</f>
        <v/>
      </c>
      <c r="G668" s="47">
        <f>IF(_imp!$C$670="","",INDEX(_imp!$I$4:$I$1503,_imp!$C$670))</f>
        <v/>
      </c>
      <c r="K668" s="47">
        <f>IF(_imp!$C$670="","",INDEX(_imp!$J$4:$J$1503,_imp!$C$670))</f>
        <v/>
      </c>
    </row>
    <row r="669">
      <c r="A669" s="47">
        <f>IF(_imp!$C$671="","",INDEX(_imp!$D$4:$D$1503,_imp!$C$671))</f>
        <v/>
      </c>
      <c r="B669" s="47">
        <f>IF(_imp!$C$671="","",INDEX(_imp!$E$4:$E$1503,_imp!$C$671))</f>
        <v/>
      </c>
      <c r="C669" s="47">
        <f>IF(_imp!$C$671="","",INDEX(_imp!$F$4:$F$1503,_imp!$C$671))</f>
        <v/>
      </c>
      <c r="E669" s="47">
        <f>IF(_imp!$C$671="","",INDEX(_imp!$G$4:$G$1503,_imp!$C$671))</f>
        <v/>
      </c>
      <c r="F669" s="47">
        <f>IF(_imp!$C$671="","",INDEX(_imp!$H$4:$H$1503,_imp!$C$671))</f>
        <v/>
      </c>
      <c r="G669" s="47">
        <f>IF(_imp!$C$671="","",INDEX(_imp!$I$4:$I$1503,_imp!$C$671))</f>
        <v/>
      </c>
      <c r="K669" s="47">
        <f>IF(_imp!$C$671="","",INDEX(_imp!$J$4:$J$1503,_imp!$C$671))</f>
        <v/>
      </c>
    </row>
    <row r="670">
      <c r="A670" s="47">
        <f>IF(_imp!$C$672="","",INDEX(_imp!$D$4:$D$1503,_imp!$C$672))</f>
        <v/>
      </c>
      <c r="B670" s="47">
        <f>IF(_imp!$C$672="","",INDEX(_imp!$E$4:$E$1503,_imp!$C$672))</f>
        <v/>
      </c>
      <c r="C670" s="47">
        <f>IF(_imp!$C$672="","",INDEX(_imp!$F$4:$F$1503,_imp!$C$672))</f>
        <v/>
      </c>
      <c r="E670" s="47">
        <f>IF(_imp!$C$672="","",INDEX(_imp!$G$4:$G$1503,_imp!$C$672))</f>
        <v/>
      </c>
      <c r="F670" s="47">
        <f>IF(_imp!$C$672="","",INDEX(_imp!$H$4:$H$1503,_imp!$C$672))</f>
        <v/>
      </c>
      <c r="G670" s="47">
        <f>IF(_imp!$C$672="","",INDEX(_imp!$I$4:$I$1503,_imp!$C$672))</f>
        <v/>
      </c>
      <c r="K670" s="47">
        <f>IF(_imp!$C$672="","",INDEX(_imp!$J$4:$J$1503,_imp!$C$672))</f>
        <v/>
      </c>
    </row>
    <row r="671">
      <c r="A671" s="47">
        <f>IF(_imp!$C$673="","",INDEX(_imp!$D$4:$D$1503,_imp!$C$673))</f>
        <v/>
      </c>
      <c r="B671" s="47">
        <f>IF(_imp!$C$673="","",INDEX(_imp!$E$4:$E$1503,_imp!$C$673))</f>
        <v/>
      </c>
      <c r="C671" s="47">
        <f>IF(_imp!$C$673="","",INDEX(_imp!$F$4:$F$1503,_imp!$C$673))</f>
        <v/>
      </c>
      <c r="E671" s="47">
        <f>IF(_imp!$C$673="","",INDEX(_imp!$G$4:$G$1503,_imp!$C$673))</f>
        <v/>
      </c>
      <c r="F671" s="47">
        <f>IF(_imp!$C$673="","",INDEX(_imp!$H$4:$H$1503,_imp!$C$673))</f>
        <v/>
      </c>
      <c r="G671" s="47">
        <f>IF(_imp!$C$673="","",INDEX(_imp!$I$4:$I$1503,_imp!$C$673))</f>
        <v/>
      </c>
      <c r="K671" s="47">
        <f>IF(_imp!$C$673="","",INDEX(_imp!$J$4:$J$1503,_imp!$C$673))</f>
        <v/>
      </c>
    </row>
    <row r="672">
      <c r="A672" s="47">
        <f>IF(_imp!$C$674="","",INDEX(_imp!$D$4:$D$1503,_imp!$C$674))</f>
        <v/>
      </c>
      <c r="B672" s="47">
        <f>IF(_imp!$C$674="","",INDEX(_imp!$E$4:$E$1503,_imp!$C$674))</f>
        <v/>
      </c>
      <c r="C672" s="47">
        <f>IF(_imp!$C$674="","",INDEX(_imp!$F$4:$F$1503,_imp!$C$674))</f>
        <v/>
      </c>
      <c r="E672" s="47">
        <f>IF(_imp!$C$674="","",INDEX(_imp!$G$4:$G$1503,_imp!$C$674))</f>
        <v/>
      </c>
      <c r="F672" s="47">
        <f>IF(_imp!$C$674="","",INDEX(_imp!$H$4:$H$1503,_imp!$C$674))</f>
        <v/>
      </c>
      <c r="G672" s="47">
        <f>IF(_imp!$C$674="","",INDEX(_imp!$I$4:$I$1503,_imp!$C$674))</f>
        <v/>
      </c>
      <c r="K672" s="47">
        <f>IF(_imp!$C$674="","",INDEX(_imp!$J$4:$J$1503,_imp!$C$674))</f>
        <v/>
      </c>
    </row>
    <row r="673">
      <c r="A673" s="47">
        <f>IF(_imp!$C$675="","",INDEX(_imp!$D$4:$D$1503,_imp!$C$675))</f>
        <v/>
      </c>
      <c r="B673" s="47">
        <f>IF(_imp!$C$675="","",INDEX(_imp!$E$4:$E$1503,_imp!$C$675))</f>
        <v/>
      </c>
      <c r="C673" s="47">
        <f>IF(_imp!$C$675="","",INDEX(_imp!$F$4:$F$1503,_imp!$C$675))</f>
        <v/>
      </c>
      <c r="E673" s="47">
        <f>IF(_imp!$C$675="","",INDEX(_imp!$G$4:$G$1503,_imp!$C$675))</f>
        <v/>
      </c>
      <c r="F673" s="47">
        <f>IF(_imp!$C$675="","",INDEX(_imp!$H$4:$H$1503,_imp!$C$675))</f>
        <v/>
      </c>
      <c r="G673" s="47">
        <f>IF(_imp!$C$675="","",INDEX(_imp!$I$4:$I$1503,_imp!$C$675))</f>
        <v/>
      </c>
      <c r="K673" s="47">
        <f>IF(_imp!$C$675="","",INDEX(_imp!$J$4:$J$1503,_imp!$C$675))</f>
        <v/>
      </c>
    </row>
    <row r="674">
      <c r="A674" s="47">
        <f>IF(_imp!$C$676="","",INDEX(_imp!$D$4:$D$1503,_imp!$C$676))</f>
        <v/>
      </c>
      <c r="B674" s="47">
        <f>IF(_imp!$C$676="","",INDEX(_imp!$E$4:$E$1503,_imp!$C$676))</f>
        <v/>
      </c>
      <c r="C674" s="47">
        <f>IF(_imp!$C$676="","",INDEX(_imp!$F$4:$F$1503,_imp!$C$676))</f>
        <v/>
      </c>
      <c r="E674" s="47">
        <f>IF(_imp!$C$676="","",INDEX(_imp!$G$4:$G$1503,_imp!$C$676))</f>
        <v/>
      </c>
      <c r="F674" s="47">
        <f>IF(_imp!$C$676="","",INDEX(_imp!$H$4:$H$1503,_imp!$C$676))</f>
        <v/>
      </c>
      <c r="G674" s="47">
        <f>IF(_imp!$C$676="","",INDEX(_imp!$I$4:$I$1503,_imp!$C$676))</f>
        <v/>
      </c>
      <c r="K674" s="47">
        <f>IF(_imp!$C$676="","",INDEX(_imp!$J$4:$J$1503,_imp!$C$676))</f>
        <v/>
      </c>
    </row>
    <row r="675">
      <c r="A675" s="47">
        <f>IF(_imp!$C$677="","",INDEX(_imp!$D$4:$D$1503,_imp!$C$677))</f>
        <v/>
      </c>
      <c r="B675" s="47">
        <f>IF(_imp!$C$677="","",INDEX(_imp!$E$4:$E$1503,_imp!$C$677))</f>
        <v/>
      </c>
      <c r="C675" s="47">
        <f>IF(_imp!$C$677="","",INDEX(_imp!$F$4:$F$1503,_imp!$C$677))</f>
        <v/>
      </c>
      <c r="E675" s="47">
        <f>IF(_imp!$C$677="","",INDEX(_imp!$G$4:$G$1503,_imp!$C$677))</f>
        <v/>
      </c>
      <c r="F675" s="47">
        <f>IF(_imp!$C$677="","",INDEX(_imp!$H$4:$H$1503,_imp!$C$677))</f>
        <v/>
      </c>
      <c r="G675" s="47">
        <f>IF(_imp!$C$677="","",INDEX(_imp!$I$4:$I$1503,_imp!$C$677))</f>
        <v/>
      </c>
      <c r="K675" s="47">
        <f>IF(_imp!$C$677="","",INDEX(_imp!$J$4:$J$1503,_imp!$C$677))</f>
        <v/>
      </c>
    </row>
    <row r="676">
      <c r="A676" s="47">
        <f>IF(_imp!$C$678="","",INDEX(_imp!$D$4:$D$1503,_imp!$C$678))</f>
        <v/>
      </c>
      <c r="B676" s="47">
        <f>IF(_imp!$C$678="","",INDEX(_imp!$E$4:$E$1503,_imp!$C$678))</f>
        <v/>
      </c>
      <c r="C676" s="47">
        <f>IF(_imp!$C$678="","",INDEX(_imp!$F$4:$F$1503,_imp!$C$678))</f>
        <v/>
      </c>
      <c r="E676" s="47">
        <f>IF(_imp!$C$678="","",INDEX(_imp!$G$4:$G$1503,_imp!$C$678))</f>
        <v/>
      </c>
      <c r="F676" s="47">
        <f>IF(_imp!$C$678="","",INDEX(_imp!$H$4:$H$1503,_imp!$C$678))</f>
        <v/>
      </c>
      <c r="G676" s="47">
        <f>IF(_imp!$C$678="","",INDEX(_imp!$I$4:$I$1503,_imp!$C$678))</f>
        <v/>
      </c>
      <c r="K676" s="47">
        <f>IF(_imp!$C$678="","",INDEX(_imp!$J$4:$J$1503,_imp!$C$678))</f>
        <v/>
      </c>
    </row>
    <row r="677">
      <c r="A677" s="47">
        <f>IF(_imp!$C$679="","",INDEX(_imp!$D$4:$D$1503,_imp!$C$679))</f>
        <v/>
      </c>
      <c r="B677" s="47">
        <f>IF(_imp!$C$679="","",INDEX(_imp!$E$4:$E$1503,_imp!$C$679))</f>
        <v/>
      </c>
      <c r="C677" s="47">
        <f>IF(_imp!$C$679="","",INDEX(_imp!$F$4:$F$1503,_imp!$C$679))</f>
        <v/>
      </c>
      <c r="E677" s="47">
        <f>IF(_imp!$C$679="","",INDEX(_imp!$G$4:$G$1503,_imp!$C$679))</f>
        <v/>
      </c>
      <c r="F677" s="47">
        <f>IF(_imp!$C$679="","",INDEX(_imp!$H$4:$H$1503,_imp!$C$679))</f>
        <v/>
      </c>
      <c r="G677" s="47">
        <f>IF(_imp!$C$679="","",INDEX(_imp!$I$4:$I$1503,_imp!$C$679))</f>
        <v/>
      </c>
      <c r="K677" s="47">
        <f>IF(_imp!$C$679="","",INDEX(_imp!$J$4:$J$1503,_imp!$C$679))</f>
        <v/>
      </c>
    </row>
    <row r="678">
      <c r="A678" s="47">
        <f>IF(_imp!$C$680="","",INDEX(_imp!$D$4:$D$1503,_imp!$C$680))</f>
        <v/>
      </c>
      <c r="B678" s="47">
        <f>IF(_imp!$C$680="","",INDEX(_imp!$E$4:$E$1503,_imp!$C$680))</f>
        <v/>
      </c>
      <c r="C678" s="47">
        <f>IF(_imp!$C$680="","",INDEX(_imp!$F$4:$F$1503,_imp!$C$680))</f>
        <v/>
      </c>
      <c r="E678" s="47">
        <f>IF(_imp!$C$680="","",INDEX(_imp!$G$4:$G$1503,_imp!$C$680))</f>
        <v/>
      </c>
      <c r="F678" s="47">
        <f>IF(_imp!$C$680="","",INDEX(_imp!$H$4:$H$1503,_imp!$C$680))</f>
        <v/>
      </c>
      <c r="G678" s="47">
        <f>IF(_imp!$C$680="","",INDEX(_imp!$I$4:$I$1503,_imp!$C$680))</f>
        <v/>
      </c>
      <c r="K678" s="47">
        <f>IF(_imp!$C$680="","",INDEX(_imp!$J$4:$J$1503,_imp!$C$680))</f>
        <v/>
      </c>
    </row>
    <row r="679">
      <c r="A679" s="47">
        <f>IF(_imp!$C$681="","",INDEX(_imp!$D$4:$D$1503,_imp!$C$681))</f>
        <v/>
      </c>
      <c r="B679" s="47">
        <f>IF(_imp!$C$681="","",INDEX(_imp!$E$4:$E$1503,_imp!$C$681))</f>
        <v/>
      </c>
      <c r="C679" s="47">
        <f>IF(_imp!$C$681="","",INDEX(_imp!$F$4:$F$1503,_imp!$C$681))</f>
        <v/>
      </c>
      <c r="E679" s="47">
        <f>IF(_imp!$C$681="","",INDEX(_imp!$G$4:$G$1503,_imp!$C$681))</f>
        <v/>
      </c>
      <c r="F679" s="47">
        <f>IF(_imp!$C$681="","",INDEX(_imp!$H$4:$H$1503,_imp!$C$681))</f>
        <v/>
      </c>
      <c r="G679" s="47">
        <f>IF(_imp!$C$681="","",INDEX(_imp!$I$4:$I$1503,_imp!$C$681))</f>
        <v/>
      </c>
      <c r="K679" s="47">
        <f>IF(_imp!$C$681="","",INDEX(_imp!$J$4:$J$1503,_imp!$C$681))</f>
        <v/>
      </c>
    </row>
    <row r="680">
      <c r="A680" s="47">
        <f>IF(_imp!$C$682="","",INDEX(_imp!$D$4:$D$1503,_imp!$C$682))</f>
        <v/>
      </c>
      <c r="B680" s="47">
        <f>IF(_imp!$C$682="","",INDEX(_imp!$E$4:$E$1503,_imp!$C$682))</f>
        <v/>
      </c>
      <c r="C680" s="47">
        <f>IF(_imp!$C$682="","",INDEX(_imp!$F$4:$F$1503,_imp!$C$682))</f>
        <v/>
      </c>
      <c r="E680" s="47">
        <f>IF(_imp!$C$682="","",INDEX(_imp!$G$4:$G$1503,_imp!$C$682))</f>
        <v/>
      </c>
      <c r="F680" s="47">
        <f>IF(_imp!$C$682="","",INDEX(_imp!$H$4:$H$1503,_imp!$C$682))</f>
        <v/>
      </c>
      <c r="G680" s="47">
        <f>IF(_imp!$C$682="","",INDEX(_imp!$I$4:$I$1503,_imp!$C$682))</f>
        <v/>
      </c>
      <c r="K680" s="47">
        <f>IF(_imp!$C$682="","",INDEX(_imp!$J$4:$J$1503,_imp!$C$682))</f>
        <v/>
      </c>
    </row>
    <row r="681">
      <c r="A681" s="47">
        <f>IF(_imp!$C$683="","",INDEX(_imp!$D$4:$D$1503,_imp!$C$683))</f>
        <v/>
      </c>
      <c r="B681" s="47">
        <f>IF(_imp!$C$683="","",INDEX(_imp!$E$4:$E$1503,_imp!$C$683))</f>
        <v/>
      </c>
      <c r="C681" s="47">
        <f>IF(_imp!$C$683="","",INDEX(_imp!$F$4:$F$1503,_imp!$C$683))</f>
        <v/>
      </c>
      <c r="E681" s="47">
        <f>IF(_imp!$C$683="","",INDEX(_imp!$G$4:$G$1503,_imp!$C$683))</f>
        <v/>
      </c>
      <c r="F681" s="47">
        <f>IF(_imp!$C$683="","",INDEX(_imp!$H$4:$H$1503,_imp!$C$683))</f>
        <v/>
      </c>
      <c r="G681" s="47">
        <f>IF(_imp!$C$683="","",INDEX(_imp!$I$4:$I$1503,_imp!$C$683))</f>
        <v/>
      </c>
      <c r="K681" s="47">
        <f>IF(_imp!$C$683="","",INDEX(_imp!$J$4:$J$1503,_imp!$C$683))</f>
        <v/>
      </c>
    </row>
    <row r="682">
      <c r="A682" s="47">
        <f>IF(_imp!$C$684="","",INDEX(_imp!$D$4:$D$1503,_imp!$C$684))</f>
        <v/>
      </c>
      <c r="B682" s="47">
        <f>IF(_imp!$C$684="","",INDEX(_imp!$E$4:$E$1503,_imp!$C$684))</f>
        <v/>
      </c>
      <c r="C682" s="47">
        <f>IF(_imp!$C$684="","",INDEX(_imp!$F$4:$F$1503,_imp!$C$684))</f>
        <v/>
      </c>
      <c r="E682" s="47">
        <f>IF(_imp!$C$684="","",INDEX(_imp!$G$4:$G$1503,_imp!$C$684))</f>
        <v/>
      </c>
      <c r="F682" s="47">
        <f>IF(_imp!$C$684="","",INDEX(_imp!$H$4:$H$1503,_imp!$C$684))</f>
        <v/>
      </c>
      <c r="G682" s="47">
        <f>IF(_imp!$C$684="","",INDEX(_imp!$I$4:$I$1503,_imp!$C$684))</f>
        <v/>
      </c>
      <c r="K682" s="47">
        <f>IF(_imp!$C$684="","",INDEX(_imp!$J$4:$J$1503,_imp!$C$684))</f>
        <v/>
      </c>
    </row>
    <row r="683">
      <c r="A683" s="47">
        <f>IF(_imp!$C$685="","",INDEX(_imp!$D$4:$D$1503,_imp!$C$685))</f>
        <v/>
      </c>
      <c r="B683" s="47">
        <f>IF(_imp!$C$685="","",INDEX(_imp!$E$4:$E$1503,_imp!$C$685))</f>
        <v/>
      </c>
      <c r="C683" s="47">
        <f>IF(_imp!$C$685="","",INDEX(_imp!$F$4:$F$1503,_imp!$C$685))</f>
        <v/>
      </c>
      <c r="E683" s="47">
        <f>IF(_imp!$C$685="","",INDEX(_imp!$G$4:$G$1503,_imp!$C$685))</f>
        <v/>
      </c>
      <c r="F683" s="47">
        <f>IF(_imp!$C$685="","",INDEX(_imp!$H$4:$H$1503,_imp!$C$685))</f>
        <v/>
      </c>
      <c r="G683" s="47">
        <f>IF(_imp!$C$685="","",INDEX(_imp!$I$4:$I$1503,_imp!$C$685))</f>
        <v/>
      </c>
      <c r="K683" s="47">
        <f>IF(_imp!$C$685="","",INDEX(_imp!$J$4:$J$1503,_imp!$C$685))</f>
        <v/>
      </c>
    </row>
    <row r="684">
      <c r="A684" s="47">
        <f>IF(_imp!$C$686="","",INDEX(_imp!$D$4:$D$1503,_imp!$C$686))</f>
        <v/>
      </c>
      <c r="B684" s="47">
        <f>IF(_imp!$C$686="","",INDEX(_imp!$E$4:$E$1503,_imp!$C$686))</f>
        <v/>
      </c>
      <c r="C684" s="47">
        <f>IF(_imp!$C$686="","",INDEX(_imp!$F$4:$F$1503,_imp!$C$686))</f>
        <v/>
      </c>
      <c r="E684" s="47">
        <f>IF(_imp!$C$686="","",INDEX(_imp!$G$4:$G$1503,_imp!$C$686))</f>
        <v/>
      </c>
      <c r="F684" s="47">
        <f>IF(_imp!$C$686="","",INDEX(_imp!$H$4:$H$1503,_imp!$C$686))</f>
        <v/>
      </c>
      <c r="G684" s="47">
        <f>IF(_imp!$C$686="","",INDEX(_imp!$I$4:$I$1503,_imp!$C$686))</f>
        <v/>
      </c>
      <c r="K684" s="47">
        <f>IF(_imp!$C$686="","",INDEX(_imp!$J$4:$J$1503,_imp!$C$686))</f>
        <v/>
      </c>
    </row>
    <row r="685">
      <c r="A685" s="47">
        <f>IF(_imp!$C$687="","",INDEX(_imp!$D$4:$D$1503,_imp!$C$687))</f>
        <v/>
      </c>
      <c r="B685" s="47">
        <f>IF(_imp!$C$687="","",INDEX(_imp!$E$4:$E$1503,_imp!$C$687))</f>
        <v/>
      </c>
      <c r="C685" s="47">
        <f>IF(_imp!$C$687="","",INDEX(_imp!$F$4:$F$1503,_imp!$C$687))</f>
        <v/>
      </c>
      <c r="E685" s="47">
        <f>IF(_imp!$C$687="","",INDEX(_imp!$G$4:$G$1503,_imp!$C$687))</f>
        <v/>
      </c>
      <c r="F685" s="47">
        <f>IF(_imp!$C$687="","",INDEX(_imp!$H$4:$H$1503,_imp!$C$687))</f>
        <v/>
      </c>
      <c r="G685" s="47">
        <f>IF(_imp!$C$687="","",INDEX(_imp!$I$4:$I$1503,_imp!$C$687))</f>
        <v/>
      </c>
      <c r="K685" s="47">
        <f>IF(_imp!$C$687="","",INDEX(_imp!$J$4:$J$1503,_imp!$C$687))</f>
        <v/>
      </c>
    </row>
    <row r="686">
      <c r="A686" s="47">
        <f>IF(_imp!$C$688="","",INDEX(_imp!$D$4:$D$1503,_imp!$C$688))</f>
        <v/>
      </c>
      <c r="B686" s="47">
        <f>IF(_imp!$C$688="","",INDEX(_imp!$E$4:$E$1503,_imp!$C$688))</f>
        <v/>
      </c>
      <c r="C686" s="47">
        <f>IF(_imp!$C$688="","",INDEX(_imp!$F$4:$F$1503,_imp!$C$688))</f>
        <v/>
      </c>
      <c r="E686" s="47">
        <f>IF(_imp!$C$688="","",INDEX(_imp!$G$4:$G$1503,_imp!$C$688))</f>
        <v/>
      </c>
      <c r="F686" s="47">
        <f>IF(_imp!$C$688="","",INDEX(_imp!$H$4:$H$1503,_imp!$C$688))</f>
        <v/>
      </c>
      <c r="G686" s="47">
        <f>IF(_imp!$C$688="","",INDEX(_imp!$I$4:$I$1503,_imp!$C$688))</f>
        <v/>
      </c>
      <c r="K686" s="47">
        <f>IF(_imp!$C$688="","",INDEX(_imp!$J$4:$J$1503,_imp!$C$688))</f>
        <v/>
      </c>
    </row>
    <row r="687">
      <c r="A687" s="47">
        <f>IF(_imp!$C$689="","",INDEX(_imp!$D$4:$D$1503,_imp!$C$689))</f>
        <v/>
      </c>
      <c r="B687" s="47">
        <f>IF(_imp!$C$689="","",INDEX(_imp!$E$4:$E$1503,_imp!$C$689))</f>
        <v/>
      </c>
      <c r="C687" s="47">
        <f>IF(_imp!$C$689="","",INDEX(_imp!$F$4:$F$1503,_imp!$C$689))</f>
        <v/>
      </c>
      <c r="E687" s="47">
        <f>IF(_imp!$C$689="","",INDEX(_imp!$G$4:$G$1503,_imp!$C$689))</f>
        <v/>
      </c>
      <c r="F687" s="47">
        <f>IF(_imp!$C$689="","",INDEX(_imp!$H$4:$H$1503,_imp!$C$689))</f>
        <v/>
      </c>
      <c r="G687" s="47">
        <f>IF(_imp!$C$689="","",INDEX(_imp!$I$4:$I$1503,_imp!$C$689))</f>
        <v/>
      </c>
      <c r="K687" s="47">
        <f>IF(_imp!$C$689="","",INDEX(_imp!$J$4:$J$1503,_imp!$C$689))</f>
        <v/>
      </c>
    </row>
    <row r="688">
      <c r="A688" s="47">
        <f>IF(_imp!$C$690="","",INDEX(_imp!$D$4:$D$1503,_imp!$C$690))</f>
        <v/>
      </c>
      <c r="B688" s="47">
        <f>IF(_imp!$C$690="","",INDEX(_imp!$E$4:$E$1503,_imp!$C$690))</f>
        <v/>
      </c>
      <c r="C688" s="47">
        <f>IF(_imp!$C$690="","",INDEX(_imp!$F$4:$F$1503,_imp!$C$690))</f>
        <v/>
      </c>
      <c r="E688" s="47">
        <f>IF(_imp!$C$690="","",INDEX(_imp!$G$4:$G$1503,_imp!$C$690))</f>
        <v/>
      </c>
      <c r="F688" s="47">
        <f>IF(_imp!$C$690="","",INDEX(_imp!$H$4:$H$1503,_imp!$C$690))</f>
        <v/>
      </c>
      <c r="G688" s="47">
        <f>IF(_imp!$C$690="","",INDEX(_imp!$I$4:$I$1503,_imp!$C$690))</f>
        <v/>
      </c>
      <c r="K688" s="47">
        <f>IF(_imp!$C$690="","",INDEX(_imp!$J$4:$J$1503,_imp!$C$690))</f>
        <v/>
      </c>
    </row>
    <row r="689">
      <c r="A689" s="47">
        <f>IF(_imp!$C$691="","",INDEX(_imp!$D$4:$D$1503,_imp!$C$691))</f>
        <v/>
      </c>
      <c r="B689" s="47">
        <f>IF(_imp!$C$691="","",INDEX(_imp!$E$4:$E$1503,_imp!$C$691))</f>
        <v/>
      </c>
      <c r="C689" s="47">
        <f>IF(_imp!$C$691="","",INDEX(_imp!$F$4:$F$1503,_imp!$C$691))</f>
        <v/>
      </c>
      <c r="E689" s="47">
        <f>IF(_imp!$C$691="","",INDEX(_imp!$G$4:$G$1503,_imp!$C$691))</f>
        <v/>
      </c>
      <c r="F689" s="47">
        <f>IF(_imp!$C$691="","",INDEX(_imp!$H$4:$H$1503,_imp!$C$691))</f>
        <v/>
      </c>
      <c r="G689" s="47">
        <f>IF(_imp!$C$691="","",INDEX(_imp!$I$4:$I$1503,_imp!$C$691))</f>
        <v/>
      </c>
      <c r="K689" s="47">
        <f>IF(_imp!$C$691="","",INDEX(_imp!$J$4:$J$1503,_imp!$C$691))</f>
        <v/>
      </c>
    </row>
    <row r="690">
      <c r="A690" s="47">
        <f>IF(_imp!$C$692="","",INDEX(_imp!$D$4:$D$1503,_imp!$C$692))</f>
        <v/>
      </c>
      <c r="B690" s="47">
        <f>IF(_imp!$C$692="","",INDEX(_imp!$E$4:$E$1503,_imp!$C$692))</f>
        <v/>
      </c>
      <c r="C690" s="47">
        <f>IF(_imp!$C$692="","",INDEX(_imp!$F$4:$F$1503,_imp!$C$692))</f>
        <v/>
      </c>
      <c r="E690" s="47">
        <f>IF(_imp!$C$692="","",INDEX(_imp!$G$4:$G$1503,_imp!$C$692))</f>
        <v/>
      </c>
      <c r="F690" s="47">
        <f>IF(_imp!$C$692="","",INDEX(_imp!$H$4:$H$1503,_imp!$C$692))</f>
        <v/>
      </c>
      <c r="G690" s="47">
        <f>IF(_imp!$C$692="","",INDEX(_imp!$I$4:$I$1503,_imp!$C$692))</f>
        <v/>
      </c>
      <c r="K690" s="47">
        <f>IF(_imp!$C$692="","",INDEX(_imp!$J$4:$J$1503,_imp!$C$692))</f>
        <v/>
      </c>
    </row>
    <row r="691">
      <c r="A691" s="47">
        <f>IF(_imp!$C$693="","",INDEX(_imp!$D$4:$D$1503,_imp!$C$693))</f>
        <v/>
      </c>
      <c r="B691" s="47">
        <f>IF(_imp!$C$693="","",INDEX(_imp!$E$4:$E$1503,_imp!$C$693))</f>
        <v/>
      </c>
      <c r="C691" s="47">
        <f>IF(_imp!$C$693="","",INDEX(_imp!$F$4:$F$1503,_imp!$C$693))</f>
        <v/>
      </c>
      <c r="E691" s="47">
        <f>IF(_imp!$C$693="","",INDEX(_imp!$G$4:$G$1503,_imp!$C$693))</f>
        <v/>
      </c>
      <c r="F691" s="47">
        <f>IF(_imp!$C$693="","",INDEX(_imp!$H$4:$H$1503,_imp!$C$693))</f>
        <v/>
      </c>
      <c r="G691" s="47">
        <f>IF(_imp!$C$693="","",INDEX(_imp!$I$4:$I$1503,_imp!$C$693))</f>
        <v/>
      </c>
      <c r="K691" s="47">
        <f>IF(_imp!$C$693="","",INDEX(_imp!$J$4:$J$1503,_imp!$C$693))</f>
        <v/>
      </c>
    </row>
    <row r="692">
      <c r="A692" s="47">
        <f>IF(_imp!$C$694="","",INDEX(_imp!$D$4:$D$1503,_imp!$C$694))</f>
        <v/>
      </c>
      <c r="B692" s="47">
        <f>IF(_imp!$C$694="","",INDEX(_imp!$E$4:$E$1503,_imp!$C$694))</f>
        <v/>
      </c>
      <c r="C692" s="47">
        <f>IF(_imp!$C$694="","",INDEX(_imp!$F$4:$F$1503,_imp!$C$694))</f>
        <v/>
      </c>
      <c r="E692" s="47">
        <f>IF(_imp!$C$694="","",INDEX(_imp!$G$4:$G$1503,_imp!$C$694))</f>
        <v/>
      </c>
      <c r="F692" s="47">
        <f>IF(_imp!$C$694="","",INDEX(_imp!$H$4:$H$1503,_imp!$C$694))</f>
        <v/>
      </c>
      <c r="G692" s="47">
        <f>IF(_imp!$C$694="","",INDEX(_imp!$I$4:$I$1503,_imp!$C$694))</f>
        <v/>
      </c>
      <c r="K692" s="47">
        <f>IF(_imp!$C$694="","",INDEX(_imp!$J$4:$J$1503,_imp!$C$694))</f>
        <v/>
      </c>
    </row>
    <row r="693">
      <c r="A693" s="47">
        <f>IF(_imp!$C$695="","",INDEX(_imp!$D$4:$D$1503,_imp!$C$695))</f>
        <v/>
      </c>
      <c r="B693" s="47">
        <f>IF(_imp!$C$695="","",INDEX(_imp!$E$4:$E$1503,_imp!$C$695))</f>
        <v/>
      </c>
      <c r="C693" s="47">
        <f>IF(_imp!$C$695="","",INDEX(_imp!$F$4:$F$1503,_imp!$C$695))</f>
        <v/>
      </c>
      <c r="E693" s="47">
        <f>IF(_imp!$C$695="","",INDEX(_imp!$G$4:$G$1503,_imp!$C$695))</f>
        <v/>
      </c>
      <c r="F693" s="47">
        <f>IF(_imp!$C$695="","",INDEX(_imp!$H$4:$H$1503,_imp!$C$695))</f>
        <v/>
      </c>
      <c r="G693" s="47">
        <f>IF(_imp!$C$695="","",INDEX(_imp!$I$4:$I$1503,_imp!$C$695))</f>
        <v/>
      </c>
      <c r="K693" s="47">
        <f>IF(_imp!$C$695="","",INDEX(_imp!$J$4:$J$1503,_imp!$C$695))</f>
        <v/>
      </c>
    </row>
    <row r="694">
      <c r="A694" s="47">
        <f>IF(_imp!$C$696="","",INDEX(_imp!$D$4:$D$1503,_imp!$C$696))</f>
        <v/>
      </c>
      <c r="B694" s="47">
        <f>IF(_imp!$C$696="","",INDEX(_imp!$E$4:$E$1503,_imp!$C$696))</f>
        <v/>
      </c>
      <c r="C694" s="47">
        <f>IF(_imp!$C$696="","",INDEX(_imp!$F$4:$F$1503,_imp!$C$696))</f>
        <v/>
      </c>
      <c r="E694" s="47">
        <f>IF(_imp!$C$696="","",INDEX(_imp!$G$4:$G$1503,_imp!$C$696))</f>
        <v/>
      </c>
      <c r="F694" s="47">
        <f>IF(_imp!$C$696="","",INDEX(_imp!$H$4:$H$1503,_imp!$C$696))</f>
        <v/>
      </c>
      <c r="G694" s="47">
        <f>IF(_imp!$C$696="","",INDEX(_imp!$I$4:$I$1503,_imp!$C$696))</f>
        <v/>
      </c>
      <c r="K694" s="47">
        <f>IF(_imp!$C$696="","",INDEX(_imp!$J$4:$J$1503,_imp!$C$696))</f>
        <v/>
      </c>
    </row>
    <row r="695">
      <c r="A695" s="47">
        <f>IF(_imp!$C$697="","",INDEX(_imp!$D$4:$D$1503,_imp!$C$697))</f>
        <v/>
      </c>
      <c r="B695" s="47">
        <f>IF(_imp!$C$697="","",INDEX(_imp!$E$4:$E$1503,_imp!$C$697))</f>
        <v/>
      </c>
      <c r="C695" s="47">
        <f>IF(_imp!$C$697="","",INDEX(_imp!$F$4:$F$1503,_imp!$C$697))</f>
        <v/>
      </c>
      <c r="E695" s="47">
        <f>IF(_imp!$C$697="","",INDEX(_imp!$G$4:$G$1503,_imp!$C$697))</f>
        <v/>
      </c>
      <c r="F695" s="47">
        <f>IF(_imp!$C$697="","",INDEX(_imp!$H$4:$H$1503,_imp!$C$697))</f>
        <v/>
      </c>
      <c r="G695" s="47">
        <f>IF(_imp!$C$697="","",INDEX(_imp!$I$4:$I$1503,_imp!$C$697))</f>
        <v/>
      </c>
      <c r="K695" s="47">
        <f>IF(_imp!$C$697="","",INDEX(_imp!$J$4:$J$1503,_imp!$C$697))</f>
        <v/>
      </c>
    </row>
    <row r="696">
      <c r="A696" s="47">
        <f>IF(_imp!$C$698="","",INDEX(_imp!$D$4:$D$1503,_imp!$C$698))</f>
        <v/>
      </c>
      <c r="B696" s="47">
        <f>IF(_imp!$C$698="","",INDEX(_imp!$E$4:$E$1503,_imp!$C$698))</f>
        <v/>
      </c>
      <c r="C696" s="47">
        <f>IF(_imp!$C$698="","",INDEX(_imp!$F$4:$F$1503,_imp!$C$698))</f>
        <v/>
      </c>
      <c r="E696" s="47">
        <f>IF(_imp!$C$698="","",INDEX(_imp!$G$4:$G$1503,_imp!$C$698))</f>
        <v/>
      </c>
      <c r="F696" s="47">
        <f>IF(_imp!$C$698="","",INDEX(_imp!$H$4:$H$1503,_imp!$C$698))</f>
        <v/>
      </c>
      <c r="G696" s="47">
        <f>IF(_imp!$C$698="","",INDEX(_imp!$I$4:$I$1503,_imp!$C$698))</f>
        <v/>
      </c>
      <c r="K696" s="47">
        <f>IF(_imp!$C$698="","",INDEX(_imp!$J$4:$J$1503,_imp!$C$698))</f>
        <v/>
      </c>
    </row>
    <row r="697">
      <c r="A697" s="47">
        <f>IF(_imp!$C$699="","",INDEX(_imp!$D$4:$D$1503,_imp!$C$699))</f>
        <v/>
      </c>
      <c r="B697" s="47">
        <f>IF(_imp!$C$699="","",INDEX(_imp!$E$4:$E$1503,_imp!$C$699))</f>
        <v/>
      </c>
      <c r="C697" s="47">
        <f>IF(_imp!$C$699="","",INDEX(_imp!$F$4:$F$1503,_imp!$C$699))</f>
        <v/>
      </c>
      <c r="E697" s="47">
        <f>IF(_imp!$C$699="","",INDEX(_imp!$G$4:$G$1503,_imp!$C$699))</f>
        <v/>
      </c>
      <c r="F697" s="47">
        <f>IF(_imp!$C$699="","",INDEX(_imp!$H$4:$H$1503,_imp!$C$699))</f>
        <v/>
      </c>
      <c r="G697" s="47">
        <f>IF(_imp!$C$699="","",INDEX(_imp!$I$4:$I$1503,_imp!$C$699))</f>
        <v/>
      </c>
      <c r="K697" s="47">
        <f>IF(_imp!$C$699="","",INDEX(_imp!$J$4:$J$1503,_imp!$C$699))</f>
        <v/>
      </c>
    </row>
    <row r="698">
      <c r="A698" s="47">
        <f>IF(_imp!$C$700="","",INDEX(_imp!$D$4:$D$1503,_imp!$C$700))</f>
        <v/>
      </c>
      <c r="B698" s="47">
        <f>IF(_imp!$C$700="","",INDEX(_imp!$E$4:$E$1503,_imp!$C$700))</f>
        <v/>
      </c>
      <c r="C698" s="47">
        <f>IF(_imp!$C$700="","",INDEX(_imp!$F$4:$F$1503,_imp!$C$700))</f>
        <v/>
      </c>
      <c r="E698" s="47">
        <f>IF(_imp!$C$700="","",INDEX(_imp!$G$4:$G$1503,_imp!$C$700))</f>
        <v/>
      </c>
      <c r="F698" s="47">
        <f>IF(_imp!$C$700="","",INDEX(_imp!$H$4:$H$1503,_imp!$C$700))</f>
        <v/>
      </c>
      <c r="G698" s="47">
        <f>IF(_imp!$C$700="","",INDEX(_imp!$I$4:$I$1503,_imp!$C$700))</f>
        <v/>
      </c>
      <c r="K698" s="47">
        <f>IF(_imp!$C$700="","",INDEX(_imp!$J$4:$J$1503,_imp!$C$700))</f>
        <v/>
      </c>
    </row>
    <row r="699">
      <c r="A699" s="47">
        <f>IF(_imp!$C$701="","",INDEX(_imp!$D$4:$D$1503,_imp!$C$701))</f>
        <v/>
      </c>
      <c r="B699" s="47">
        <f>IF(_imp!$C$701="","",INDEX(_imp!$E$4:$E$1503,_imp!$C$701))</f>
        <v/>
      </c>
      <c r="C699" s="47">
        <f>IF(_imp!$C$701="","",INDEX(_imp!$F$4:$F$1503,_imp!$C$701))</f>
        <v/>
      </c>
      <c r="E699" s="47">
        <f>IF(_imp!$C$701="","",INDEX(_imp!$G$4:$G$1503,_imp!$C$701))</f>
        <v/>
      </c>
      <c r="F699" s="47">
        <f>IF(_imp!$C$701="","",INDEX(_imp!$H$4:$H$1503,_imp!$C$701))</f>
        <v/>
      </c>
      <c r="G699" s="47">
        <f>IF(_imp!$C$701="","",INDEX(_imp!$I$4:$I$1503,_imp!$C$701))</f>
        <v/>
      </c>
      <c r="K699" s="47">
        <f>IF(_imp!$C$701="","",INDEX(_imp!$J$4:$J$1503,_imp!$C$701))</f>
        <v/>
      </c>
    </row>
    <row r="700">
      <c r="A700" s="47">
        <f>IF(_imp!$C$702="","",INDEX(_imp!$D$4:$D$1503,_imp!$C$702))</f>
        <v/>
      </c>
      <c r="B700" s="47">
        <f>IF(_imp!$C$702="","",INDEX(_imp!$E$4:$E$1503,_imp!$C$702))</f>
        <v/>
      </c>
      <c r="C700" s="47">
        <f>IF(_imp!$C$702="","",INDEX(_imp!$F$4:$F$1503,_imp!$C$702))</f>
        <v/>
      </c>
      <c r="E700" s="47">
        <f>IF(_imp!$C$702="","",INDEX(_imp!$G$4:$G$1503,_imp!$C$702))</f>
        <v/>
      </c>
      <c r="F700" s="47">
        <f>IF(_imp!$C$702="","",INDEX(_imp!$H$4:$H$1503,_imp!$C$702))</f>
        <v/>
      </c>
      <c r="G700" s="47">
        <f>IF(_imp!$C$702="","",INDEX(_imp!$I$4:$I$1503,_imp!$C$702))</f>
        <v/>
      </c>
      <c r="K700" s="47">
        <f>IF(_imp!$C$702="","",INDEX(_imp!$J$4:$J$1503,_imp!$C$702))</f>
        <v/>
      </c>
    </row>
    <row r="701">
      <c r="A701" s="47">
        <f>IF(_imp!$C$703="","",INDEX(_imp!$D$4:$D$1503,_imp!$C$703))</f>
        <v/>
      </c>
      <c r="B701" s="47">
        <f>IF(_imp!$C$703="","",INDEX(_imp!$E$4:$E$1503,_imp!$C$703))</f>
        <v/>
      </c>
      <c r="C701" s="47">
        <f>IF(_imp!$C$703="","",INDEX(_imp!$F$4:$F$1503,_imp!$C$703))</f>
        <v/>
      </c>
      <c r="E701" s="47">
        <f>IF(_imp!$C$703="","",INDEX(_imp!$G$4:$G$1503,_imp!$C$703))</f>
        <v/>
      </c>
      <c r="F701" s="47">
        <f>IF(_imp!$C$703="","",INDEX(_imp!$H$4:$H$1503,_imp!$C$703))</f>
        <v/>
      </c>
      <c r="G701" s="47">
        <f>IF(_imp!$C$703="","",INDEX(_imp!$I$4:$I$1503,_imp!$C$703))</f>
        <v/>
      </c>
      <c r="K701" s="47">
        <f>IF(_imp!$C$703="","",INDEX(_imp!$J$4:$J$1503,_imp!$C$703))</f>
        <v/>
      </c>
    </row>
    <row r="702">
      <c r="A702" s="47">
        <f>IF(_imp!$C$704="","",INDEX(_imp!$D$4:$D$1503,_imp!$C$704))</f>
        <v/>
      </c>
      <c r="B702" s="47">
        <f>IF(_imp!$C$704="","",INDEX(_imp!$E$4:$E$1503,_imp!$C$704))</f>
        <v/>
      </c>
      <c r="C702" s="47">
        <f>IF(_imp!$C$704="","",INDEX(_imp!$F$4:$F$1503,_imp!$C$704))</f>
        <v/>
      </c>
      <c r="E702" s="47">
        <f>IF(_imp!$C$704="","",INDEX(_imp!$G$4:$G$1503,_imp!$C$704))</f>
        <v/>
      </c>
      <c r="F702" s="47">
        <f>IF(_imp!$C$704="","",INDEX(_imp!$H$4:$H$1503,_imp!$C$704))</f>
        <v/>
      </c>
      <c r="G702" s="47">
        <f>IF(_imp!$C$704="","",INDEX(_imp!$I$4:$I$1503,_imp!$C$704))</f>
        <v/>
      </c>
      <c r="K702" s="47">
        <f>IF(_imp!$C$704="","",INDEX(_imp!$J$4:$J$1503,_imp!$C$704))</f>
        <v/>
      </c>
    </row>
    <row r="703">
      <c r="A703" s="47">
        <f>IF(_imp!$C$705="","",INDEX(_imp!$D$4:$D$1503,_imp!$C$705))</f>
        <v/>
      </c>
      <c r="B703" s="47">
        <f>IF(_imp!$C$705="","",INDEX(_imp!$E$4:$E$1503,_imp!$C$705))</f>
        <v/>
      </c>
      <c r="C703" s="47">
        <f>IF(_imp!$C$705="","",INDEX(_imp!$F$4:$F$1503,_imp!$C$705))</f>
        <v/>
      </c>
      <c r="E703" s="47">
        <f>IF(_imp!$C$705="","",INDEX(_imp!$G$4:$G$1503,_imp!$C$705))</f>
        <v/>
      </c>
      <c r="F703" s="47">
        <f>IF(_imp!$C$705="","",INDEX(_imp!$H$4:$H$1503,_imp!$C$705))</f>
        <v/>
      </c>
      <c r="G703" s="47">
        <f>IF(_imp!$C$705="","",INDEX(_imp!$I$4:$I$1503,_imp!$C$705))</f>
        <v/>
      </c>
      <c r="K703" s="47">
        <f>IF(_imp!$C$705="","",INDEX(_imp!$J$4:$J$1503,_imp!$C$705))</f>
        <v/>
      </c>
    </row>
    <row r="704">
      <c r="A704" s="47">
        <f>IF(_imp!$C$706="","",INDEX(_imp!$D$4:$D$1503,_imp!$C$706))</f>
        <v/>
      </c>
      <c r="B704" s="47">
        <f>IF(_imp!$C$706="","",INDEX(_imp!$E$4:$E$1503,_imp!$C$706))</f>
        <v/>
      </c>
      <c r="C704" s="47">
        <f>IF(_imp!$C$706="","",INDEX(_imp!$F$4:$F$1503,_imp!$C$706))</f>
        <v/>
      </c>
      <c r="E704" s="47">
        <f>IF(_imp!$C$706="","",INDEX(_imp!$G$4:$G$1503,_imp!$C$706))</f>
        <v/>
      </c>
      <c r="F704" s="47">
        <f>IF(_imp!$C$706="","",INDEX(_imp!$H$4:$H$1503,_imp!$C$706))</f>
        <v/>
      </c>
      <c r="G704" s="47">
        <f>IF(_imp!$C$706="","",INDEX(_imp!$I$4:$I$1503,_imp!$C$706))</f>
        <v/>
      </c>
      <c r="K704" s="47">
        <f>IF(_imp!$C$706="","",INDEX(_imp!$J$4:$J$1503,_imp!$C$706))</f>
        <v/>
      </c>
    </row>
    <row r="705">
      <c r="A705" s="47">
        <f>IF(_imp!$C$707="","",INDEX(_imp!$D$4:$D$1503,_imp!$C$707))</f>
        <v/>
      </c>
      <c r="B705" s="47">
        <f>IF(_imp!$C$707="","",INDEX(_imp!$E$4:$E$1503,_imp!$C$707))</f>
        <v/>
      </c>
      <c r="C705" s="47">
        <f>IF(_imp!$C$707="","",INDEX(_imp!$F$4:$F$1503,_imp!$C$707))</f>
        <v/>
      </c>
      <c r="E705" s="47">
        <f>IF(_imp!$C$707="","",INDEX(_imp!$G$4:$G$1503,_imp!$C$707))</f>
        <v/>
      </c>
      <c r="F705" s="47">
        <f>IF(_imp!$C$707="","",INDEX(_imp!$H$4:$H$1503,_imp!$C$707))</f>
        <v/>
      </c>
      <c r="G705" s="47">
        <f>IF(_imp!$C$707="","",INDEX(_imp!$I$4:$I$1503,_imp!$C$707))</f>
        <v/>
      </c>
      <c r="K705" s="47">
        <f>IF(_imp!$C$707="","",INDEX(_imp!$J$4:$J$1503,_imp!$C$707))</f>
        <v/>
      </c>
    </row>
    <row r="706">
      <c r="A706" s="47">
        <f>IF(_imp!$C$708="","",INDEX(_imp!$D$4:$D$1503,_imp!$C$708))</f>
        <v/>
      </c>
      <c r="B706" s="47">
        <f>IF(_imp!$C$708="","",INDEX(_imp!$E$4:$E$1503,_imp!$C$708))</f>
        <v/>
      </c>
      <c r="C706" s="47">
        <f>IF(_imp!$C$708="","",INDEX(_imp!$F$4:$F$1503,_imp!$C$708))</f>
        <v/>
      </c>
      <c r="E706" s="47">
        <f>IF(_imp!$C$708="","",INDEX(_imp!$G$4:$G$1503,_imp!$C$708))</f>
        <v/>
      </c>
      <c r="F706" s="47">
        <f>IF(_imp!$C$708="","",INDEX(_imp!$H$4:$H$1503,_imp!$C$708))</f>
        <v/>
      </c>
      <c r="G706" s="47">
        <f>IF(_imp!$C$708="","",INDEX(_imp!$I$4:$I$1503,_imp!$C$708))</f>
        <v/>
      </c>
      <c r="K706" s="47">
        <f>IF(_imp!$C$708="","",INDEX(_imp!$J$4:$J$1503,_imp!$C$708))</f>
        <v/>
      </c>
    </row>
    <row r="707">
      <c r="A707" s="47">
        <f>IF(_imp!$C$709="","",INDEX(_imp!$D$4:$D$1503,_imp!$C$709))</f>
        <v/>
      </c>
      <c r="B707" s="47">
        <f>IF(_imp!$C$709="","",INDEX(_imp!$E$4:$E$1503,_imp!$C$709))</f>
        <v/>
      </c>
      <c r="C707" s="47">
        <f>IF(_imp!$C$709="","",INDEX(_imp!$F$4:$F$1503,_imp!$C$709))</f>
        <v/>
      </c>
      <c r="E707" s="47">
        <f>IF(_imp!$C$709="","",INDEX(_imp!$G$4:$G$1503,_imp!$C$709))</f>
        <v/>
      </c>
      <c r="F707" s="47">
        <f>IF(_imp!$C$709="","",INDEX(_imp!$H$4:$H$1503,_imp!$C$709))</f>
        <v/>
      </c>
      <c r="G707" s="47">
        <f>IF(_imp!$C$709="","",INDEX(_imp!$I$4:$I$1503,_imp!$C$709))</f>
        <v/>
      </c>
      <c r="K707" s="47">
        <f>IF(_imp!$C$709="","",INDEX(_imp!$J$4:$J$1503,_imp!$C$709))</f>
        <v/>
      </c>
    </row>
    <row r="708">
      <c r="A708" s="47">
        <f>IF(_imp!$C$710="","",INDEX(_imp!$D$4:$D$1503,_imp!$C$710))</f>
        <v/>
      </c>
      <c r="B708" s="47">
        <f>IF(_imp!$C$710="","",INDEX(_imp!$E$4:$E$1503,_imp!$C$710))</f>
        <v/>
      </c>
      <c r="C708" s="47">
        <f>IF(_imp!$C$710="","",INDEX(_imp!$F$4:$F$1503,_imp!$C$710))</f>
        <v/>
      </c>
      <c r="E708" s="47">
        <f>IF(_imp!$C$710="","",INDEX(_imp!$G$4:$G$1503,_imp!$C$710))</f>
        <v/>
      </c>
      <c r="F708" s="47">
        <f>IF(_imp!$C$710="","",INDEX(_imp!$H$4:$H$1503,_imp!$C$710))</f>
        <v/>
      </c>
      <c r="G708" s="47">
        <f>IF(_imp!$C$710="","",INDEX(_imp!$I$4:$I$1503,_imp!$C$710))</f>
        <v/>
      </c>
      <c r="K708" s="47">
        <f>IF(_imp!$C$710="","",INDEX(_imp!$J$4:$J$1503,_imp!$C$710))</f>
        <v/>
      </c>
    </row>
    <row r="709">
      <c r="A709" s="47">
        <f>IF(_imp!$C$711="","",INDEX(_imp!$D$4:$D$1503,_imp!$C$711))</f>
        <v/>
      </c>
      <c r="B709" s="47">
        <f>IF(_imp!$C$711="","",INDEX(_imp!$E$4:$E$1503,_imp!$C$711))</f>
        <v/>
      </c>
      <c r="C709" s="47">
        <f>IF(_imp!$C$711="","",INDEX(_imp!$F$4:$F$1503,_imp!$C$711))</f>
        <v/>
      </c>
      <c r="E709" s="47">
        <f>IF(_imp!$C$711="","",INDEX(_imp!$G$4:$G$1503,_imp!$C$711))</f>
        <v/>
      </c>
      <c r="F709" s="47">
        <f>IF(_imp!$C$711="","",INDEX(_imp!$H$4:$H$1503,_imp!$C$711))</f>
        <v/>
      </c>
      <c r="G709" s="47">
        <f>IF(_imp!$C$711="","",INDEX(_imp!$I$4:$I$1503,_imp!$C$711))</f>
        <v/>
      </c>
      <c r="K709" s="47">
        <f>IF(_imp!$C$711="","",INDEX(_imp!$J$4:$J$1503,_imp!$C$711))</f>
        <v/>
      </c>
    </row>
    <row r="710">
      <c r="A710" s="47">
        <f>IF(_imp!$C$712="","",INDEX(_imp!$D$4:$D$1503,_imp!$C$712))</f>
        <v/>
      </c>
      <c r="B710" s="47">
        <f>IF(_imp!$C$712="","",INDEX(_imp!$E$4:$E$1503,_imp!$C$712))</f>
        <v/>
      </c>
      <c r="C710" s="47">
        <f>IF(_imp!$C$712="","",INDEX(_imp!$F$4:$F$1503,_imp!$C$712))</f>
        <v/>
      </c>
      <c r="E710" s="47">
        <f>IF(_imp!$C$712="","",INDEX(_imp!$G$4:$G$1503,_imp!$C$712))</f>
        <v/>
      </c>
      <c r="F710" s="47">
        <f>IF(_imp!$C$712="","",INDEX(_imp!$H$4:$H$1503,_imp!$C$712))</f>
        <v/>
      </c>
      <c r="G710" s="47">
        <f>IF(_imp!$C$712="","",INDEX(_imp!$I$4:$I$1503,_imp!$C$712))</f>
        <v/>
      </c>
      <c r="K710" s="47">
        <f>IF(_imp!$C$712="","",INDEX(_imp!$J$4:$J$1503,_imp!$C$712))</f>
        <v/>
      </c>
    </row>
    <row r="711">
      <c r="A711" s="47">
        <f>IF(_imp!$C$713="","",INDEX(_imp!$D$4:$D$1503,_imp!$C$713))</f>
        <v/>
      </c>
      <c r="B711" s="47">
        <f>IF(_imp!$C$713="","",INDEX(_imp!$E$4:$E$1503,_imp!$C$713))</f>
        <v/>
      </c>
      <c r="C711" s="47">
        <f>IF(_imp!$C$713="","",INDEX(_imp!$F$4:$F$1503,_imp!$C$713))</f>
        <v/>
      </c>
      <c r="E711" s="47">
        <f>IF(_imp!$C$713="","",INDEX(_imp!$G$4:$G$1503,_imp!$C$713))</f>
        <v/>
      </c>
      <c r="F711" s="47">
        <f>IF(_imp!$C$713="","",INDEX(_imp!$H$4:$H$1503,_imp!$C$713))</f>
        <v/>
      </c>
      <c r="G711" s="47">
        <f>IF(_imp!$C$713="","",INDEX(_imp!$I$4:$I$1503,_imp!$C$713))</f>
        <v/>
      </c>
      <c r="K711" s="47">
        <f>IF(_imp!$C$713="","",INDEX(_imp!$J$4:$J$1503,_imp!$C$713))</f>
        <v/>
      </c>
    </row>
    <row r="712">
      <c r="A712" s="47">
        <f>IF(_imp!$C$714="","",INDEX(_imp!$D$4:$D$1503,_imp!$C$714))</f>
        <v/>
      </c>
      <c r="B712" s="47">
        <f>IF(_imp!$C$714="","",INDEX(_imp!$E$4:$E$1503,_imp!$C$714))</f>
        <v/>
      </c>
      <c r="C712" s="47">
        <f>IF(_imp!$C$714="","",INDEX(_imp!$F$4:$F$1503,_imp!$C$714))</f>
        <v/>
      </c>
      <c r="E712" s="47">
        <f>IF(_imp!$C$714="","",INDEX(_imp!$G$4:$G$1503,_imp!$C$714))</f>
        <v/>
      </c>
      <c r="F712" s="47">
        <f>IF(_imp!$C$714="","",INDEX(_imp!$H$4:$H$1503,_imp!$C$714))</f>
        <v/>
      </c>
      <c r="G712" s="47">
        <f>IF(_imp!$C$714="","",INDEX(_imp!$I$4:$I$1503,_imp!$C$714))</f>
        <v/>
      </c>
      <c r="K712" s="47">
        <f>IF(_imp!$C$714="","",INDEX(_imp!$J$4:$J$1503,_imp!$C$714))</f>
        <v/>
      </c>
    </row>
    <row r="713">
      <c r="A713" s="47">
        <f>IF(_imp!$C$715="","",INDEX(_imp!$D$4:$D$1503,_imp!$C$715))</f>
        <v/>
      </c>
      <c r="B713" s="47">
        <f>IF(_imp!$C$715="","",INDEX(_imp!$E$4:$E$1503,_imp!$C$715))</f>
        <v/>
      </c>
      <c r="C713" s="47">
        <f>IF(_imp!$C$715="","",INDEX(_imp!$F$4:$F$1503,_imp!$C$715))</f>
        <v/>
      </c>
      <c r="E713" s="47">
        <f>IF(_imp!$C$715="","",INDEX(_imp!$G$4:$G$1503,_imp!$C$715))</f>
        <v/>
      </c>
      <c r="F713" s="47">
        <f>IF(_imp!$C$715="","",INDEX(_imp!$H$4:$H$1503,_imp!$C$715))</f>
        <v/>
      </c>
      <c r="G713" s="47">
        <f>IF(_imp!$C$715="","",INDEX(_imp!$I$4:$I$1503,_imp!$C$715))</f>
        <v/>
      </c>
      <c r="K713" s="47">
        <f>IF(_imp!$C$715="","",INDEX(_imp!$J$4:$J$1503,_imp!$C$715))</f>
        <v/>
      </c>
    </row>
    <row r="714">
      <c r="A714" s="47">
        <f>IF(_imp!$C$716="","",INDEX(_imp!$D$4:$D$1503,_imp!$C$716))</f>
        <v/>
      </c>
      <c r="B714" s="47">
        <f>IF(_imp!$C$716="","",INDEX(_imp!$E$4:$E$1503,_imp!$C$716))</f>
        <v/>
      </c>
      <c r="C714" s="47">
        <f>IF(_imp!$C$716="","",INDEX(_imp!$F$4:$F$1503,_imp!$C$716))</f>
        <v/>
      </c>
      <c r="E714" s="47">
        <f>IF(_imp!$C$716="","",INDEX(_imp!$G$4:$G$1503,_imp!$C$716))</f>
        <v/>
      </c>
      <c r="F714" s="47">
        <f>IF(_imp!$C$716="","",INDEX(_imp!$H$4:$H$1503,_imp!$C$716))</f>
        <v/>
      </c>
      <c r="G714" s="47">
        <f>IF(_imp!$C$716="","",INDEX(_imp!$I$4:$I$1503,_imp!$C$716))</f>
        <v/>
      </c>
      <c r="K714" s="47">
        <f>IF(_imp!$C$716="","",INDEX(_imp!$J$4:$J$1503,_imp!$C$716))</f>
        <v/>
      </c>
    </row>
    <row r="715">
      <c r="A715" s="47">
        <f>IF(_imp!$C$717="","",INDEX(_imp!$D$4:$D$1503,_imp!$C$717))</f>
        <v/>
      </c>
      <c r="B715" s="47">
        <f>IF(_imp!$C$717="","",INDEX(_imp!$E$4:$E$1503,_imp!$C$717))</f>
        <v/>
      </c>
      <c r="C715" s="47">
        <f>IF(_imp!$C$717="","",INDEX(_imp!$F$4:$F$1503,_imp!$C$717))</f>
        <v/>
      </c>
      <c r="E715" s="47">
        <f>IF(_imp!$C$717="","",INDEX(_imp!$G$4:$G$1503,_imp!$C$717))</f>
        <v/>
      </c>
      <c r="F715" s="47">
        <f>IF(_imp!$C$717="","",INDEX(_imp!$H$4:$H$1503,_imp!$C$717))</f>
        <v/>
      </c>
      <c r="G715" s="47">
        <f>IF(_imp!$C$717="","",INDEX(_imp!$I$4:$I$1503,_imp!$C$717))</f>
        <v/>
      </c>
      <c r="K715" s="47">
        <f>IF(_imp!$C$717="","",INDEX(_imp!$J$4:$J$1503,_imp!$C$717))</f>
        <v/>
      </c>
    </row>
    <row r="716">
      <c r="A716" s="47">
        <f>IF(_imp!$C$718="","",INDEX(_imp!$D$4:$D$1503,_imp!$C$718))</f>
        <v/>
      </c>
      <c r="B716" s="47">
        <f>IF(_imp!$C$718="","",INDEX(_imp!$E$4:$E$1503,_imp!$C$718))</f>
        <v/>
      </c>
      <c r="C716" s="47">
        <f>IF(_imp!$C$718="","",INDEX(_imp!$F$4:$F$1503,_imp!$C$718))</f>
        <v/>
      </c>
      <c r="E716" s="47">
        <f>IF(_imp!$C$718="","",INDEX(_imp!$G$4:$G$1503,_imp!$C$718))</f>
        <v/>
      </c>
      <c r="F716" s="47">
        <f>IF(_imp!$C$718="","",INDEX(_imp!$H$4:$H$1503,_imp!$C$718))</f>
        <v/>
      </c>
      <c r="G716" s="47">
        <f>IF(_imp!$C$718="","",INDEX(_imp!$I$4:$I$1503,_imp!$C$718))</f>
        <v/>
      </c>
      <c r="K716" s="47">
        <f>IF(_imp!$C$718="","",INDEX(_imp!$J$4:$J$1503,_imp!$C$718))</f>
        <v/>
      </c>
    </row>
    <row r="717">
      <c r="A717" s="47">
        <f>IF(_imp!$C$719="","",INDEX(_imp!$D$4:$D$1503,_imp!$C$719))</f>
        <v/>
      </c>
      <c r="B717" s="47">
        <f>IF(_imp!$C$719="","",INDEX(_imp!$E$4:$E$1503,_imp!$C$719))</f>
        <v/>
      </c>
      <c r="C717" s="47">
        <f>IF(_imp!$C$719="","",INDEX(_imp!$F$4:$F$1503,_imp!$C$719))</f>
        <v/>
      </c>
      <c r="E717" s="47">
        <f>IF(_imp!$C$719="","",INDEX(_imp!$G$4:$G$1503,_imp!$C$719))</f>
        <v/>
      </c>
      <c r="F717" s="47">
        <f>IF(_imp!$C$719="","",INDEX(_imp!$H$4:$H$1503,_imp!$C$719))</f>
        <v/>
      </c>
      <c r="G717" s="47">
        <f>IF(_imp!$C$719="","",INDEX(_imp!$I$4:$I$1503,_imp!$C$719))</f>
        <v/>
      </c>
      <c r="K717" s="47">
        <f>IF(_imp!$C$719="","",INDEX(_imp!$J$4:$J$1503,_imp!$C$719))</f>
        <v/>
      </c>
    </row>
    <row r="718">
      <c r="A718" s="47">
        <f>IF(_imp!$C$720="","",INDEX(_imp!$D$4:$D$1503,_imp!$C$720))</f>
        <v/>
      </c>
      <c r="B718" s="47">
        <f>IF(_imp!$C$720="","",INDEX(_imp!$E$4:$E$1503,_imp!$C$720))</f>
        <v/>
      </c>
      <c r="C718" s="47">
        <f>IF(_imp!$C$720="","",INDEX(_imp!$F$4:$F$1503,_imp!$C$720))</f>
        <v/>
      </c>
      <c r="E718" s="47">
        <f>IF(_imp!$C$720="","",INDEX(_imp!$G$4:$G$1503,_imp!$C$720))</f>
        <v/>
      </c>
      <c r="F718" s="47">
        <f>IF(_imp!$C$720="","",INDEX(_imp!$H$4:$H$1503,_imp!$C$720))</f>
        <v/>
      </c>
      <c r="G718" s="47">
        <f>IF(_imp!$C$720="","",INDEX(_imp!$I$4:$I$1503,_imp!$C$720))</f>
        <v/>
      </c>
      <c r="K718" s="47">
        <f>IF(_imp!$C$720="","",INDEX(_imp!$J$4:$J$1503,_imp!$C$720))</f>
        <v/>
      </c>
    </row>
    <row r="719">
      <c r="A719" s="47">
        <f>IF(_imp!$C$721="","",INDEX(_imp!$D$4:$D$1503,_imp!$C$721))</f>
        <v/>
      </c>
      <c r="B719" s="47">
        <f>IF(_imp!$C$721="","",INDEX(_imp!$E$4:$E$1503,_imp!$C$721))</f>
        <v/>
      </c>
      <c r="C719" s="47">
        <f>IF(_imp!$C$721="","",INDEX(_imp!$F$4:$F$1503,_imp!$C$721))</f>
        <v/>
      </c>
      <c r="E719" s="47">
        <f>IF(_imp!$C$721="","",INDEX(_imp!$G$4:$G$1503,_imp!$C$721))</f>
        <v/>
      </c>
      <c r="F719" s="47">
        <f>IF(_imp!$C$721="","",INDEX(_imp!$H$4:$H$1503,_imp!$C$721))</f>
        <v/>
      </c>
      <c r="G719" s="47">
        <f>IF(_imp!$C$721="","",INDEX(_imp!$I$4:$I$1503,_imp!$C$721))</f>
        <v/>
      </c>
      <c r="K719" s="47">
        <f>IF(_imp!$C$721="","",INDEX(_imp!$J$4:$J$1503,_imp!$C$721))</f>
        <v/>
      </c>
    </row>
    <row r="720">
      <c r="A720" s="47">
        <f>IF(_imp!$C$722="","",INDEX(_imp!$D$4:$D$1503,_imp!$C$722))</f>
        <v/>
      </c>
      <c r="B720" s="47">
        <f>IF(_imp!$C$722="","",INDEX(_imp!$E$4:$E$1503,_imp!$C$722))</f>
        <v/>
      </c>
      <c r="C720" s="47">
        <f>IF(_imp!$C$722="","",INDEX(_imp!$F$4:$F$1503,_imp!$C$722))</f>
        <v/>
      </c>
      <c r="E720" s="47">
        <f>IF(_imp!$C$722="","",INDEX(_imp!$G$4:$G$1503,_imp!$C$722))</f>
        <v/>
      </c>
      <c r="F720" s="47">
        <f>IF(_imp!$C$722="","",INDEX(_imp!$H$4:$H$1503,_imp!$C$722))</f>
        <v/>
      </c>
      <c r="G720" s="47">
        <f>IF(_imp!$C$722="","",INDEX(_imp!$I$4:$I$1503,_imp!$C$722))</f>
        <v/>
      </c>
      <c r="K720" s="47">
        <f>IF(_imp!$C$722="","",INDEX(_imp!$J$4:$J$1503,_imp!$C$722))</f>
        <v/>
      </c>
    </row>
    <row r="721">
      <c r="A721" s="47">
        <f>IF(_imp!$C$723="","",INDEX(_imp!$D$4:$D$1503,_imp!$C$723))</f>
        <v/>
      </c>
      <c r="B721" s="47">
        <f>IF(_imp!$C$723="","",INDEX(_imp!$E$4:$E$1503,_imp!$C$723))</f>
        <v/>
      </c>
      <c r="C721" s="47">
        <f>IF(_imp!$C$723="","",INDEX(_imp!$F$4:$F$1503,_imp!$C$723))</f>
        <v/>
      </c>
      <c r="E721" s="47">
        <f>IF(_imp!$C$723="","",INDEX(_imp!$G$4:$G$1503,_imp!$C$723))</f>
        <v/>
      </c>
      <c r="F721" s="47">
        <f>IF(_imp!$C$723="","",INDEX(_imp!$H$4:$H$1503,_imp!$C$723))</f>
        <v/>
      </c>
      <c r="G721" s="47">
        <f>IF(_imp!$C$723="","",INDEX(_imp!$I$4:$I$1503,_imp!$C$723))</f>
        <v/>
      </c>
      <c r="K721" s="47">
        <f>IF(_imp!$C$723="","",INDEX(_imp!$J$4:$J$1503,_imp!$C$723))</f>
        <v/>
      </c>
    </row>
    <row r="722">
      <c r="A722" s="47">
        <f>IF(_imp!$C$724="","",INDEX(_imp!$D$4:$D$1503,_imp!$C$724))</f>
        <v/>
      </c>
      <c r="B722" s="47">
        <f>IF(_imp!$C$724="","",INDEX(_imp!$E$4:$E$1503,_imp!$C$724))</f>
        <v/>
      </c>
      <c r="C722" s="47">
        <f>IF(_imp!$C$724="","",INDEX(_imp!$F$4:$F$1503,_imp!$C$724))</f>
        <v/>
      </c>
      <c r="E722" s="47">
        <f>IF(_imp!$C$724="","",INDEX(_imp!$G$4:$G$1503,_imp!$C$724))</f>
        <v/>
      </c>
      <c r="F722" s="47">
        <f>IF(_imp!$C$724="","",INDEX(_imp!$H$4:$H$1503,_imp!$C$724))</f>
        <v/>
      </c>
      <c r="G722" s="47">
        <f>IF(_imp!$C$724="","",INDEX(_imp!$I$4:$I$1503,_imp!$C$724))</f>
        <v/>
      </c>
      <c r="K722" s="47">
        <f>IF(_imp!$C$724="","",INDEX(_imp!$J$4:$J$1503,_imp!$C$724))</f>
        <v/>
      </c>
    </row>
    <row r="723">
      <c r="A723" s="47">
        <f>IF(_imp!$C$725="","",INDEX(_imp!$D$4:$D$1503,_imp!$C$725))</f>
        <v/>
      </c>
      <c r="B723" s="47">
        <f>IF(_imp!$C$725="","",INDEX(_imp!$E$4:$E$1503,_imp!$C$725))</f>
        <v/>
      </c>
      <c r="C723" s="47">
        <f>IF(_imp!$C$725="","",INDEX(_imp!$F$4:$F$1503,_imp!$C$725))</f>
        <v/>
      </c>
      <c r="E723" s="47">
        <f>IF(_imp!$C$725="","",INDEX(_imp!$G$4:$G$1503,_imp!$C$725))</f>
        <v/>
      </c>
      <c r="F723" s="47">
        <f>IF(_imp!$C$725="","",INDEX(_imp!$H$4:$H$1503,_imp!$C$725))</f>
        <v/>
      </c>
      <c r="G723" s="47">
        <f>IF(_imp!$C$725="","",INDEX(_imp!$I$4:$I$1503,_imp!$C$725))</f>
        <v/>
      </c>
      <c r="K723" s="47">
        <f>IF(_imp!$C$725="","",INDEX(_imp!$J$4:$J$1503,_imp!$C$725))</f>
        <v/>
      </c>
    </row>
    <row r="724">
      <c r="A724" s="47">
        <f>IF(_imp!$C$726="","",INDEX(_imp!$D$4:$D$1503,_imp!$C$726))</f>
        <v/>
      </c>
      <c r="B724" s="47">
        <f>IF(_imp!$C$726="","",INDEX(_imp!$E$4:$E$1503,_imp!$C$726))</f>
        <v/>
      </c>
      <c r="C724" s="47">
        <f>IF(_imp!$C$726="","",INDEX(_imp!$F$4:$F$1503,_imp!$C$726))</f>
        <v/>
      </c>
      <c r="E724" s="47">
        <f>IF(_imp!$C$726="","",INDEX(_imp!$G$4:$G$1503,_imp!$C$726))</f>
        <v/>
      </c>
      <c r="F724" s="47">
        <f>IF(_imp!$C$726="","",INDEX(_imp!$H$4:$H$1503,_imp!$C$726))</f>
        <v/>
      </c>
      <c r="G724" s="47">
        <f>IF(_imp!$C$726="","",INDEX(_imp!$I$4:$I$1503,_imp!$C$726))</f>
        <v/>
      </c>
      <c r="K724" s="47">
        <f>IF(_imp!$C$726="","",INDEX(_imp!$J$4:$J$1503,_imp!$C$726))</f>
        <v/>
      </c>
    </row>
    <row r="725">
      <c r="A725" s="47">
        <f>IF(_imp!$C$727="","",INDEX(_imp!$D$4:$D$1503,_imp!$C$727))</f>
        <v/>
      </c>
      <c r="B725" s="47">
        <f>IF(_imp!$C$727="","",INDEX(_imp!$E$4:$E$1503,_imp!$C$727))</f>
        <v/>
      </c>
      <c r="C725" s="47">
        <f>IF(_imp!$C$727="","",INDEX(_imp!$F$4:$F$1503,_imp!$C$727))</f>
        <v/>
      </c>
      <c r="E725" s="47">
        <f>IF(_imp!$C$727="","",INDEX(_imp!$G$4:$G$1503,_imp!$C$727))</f>
        <v/>
      </c>
      <c r="F725" s="47">
        <f>IF(_imp!$C$727="","",INDEX(_imp!$H$4:$H$1503,_imp!$C$727))</f>
        <v/>
      </c>
      <c r="G725" s="47">
        <f>IF(_imp!$C$727="","",INDEX(_imp!$I$4:$I$1503,_imp!$C$727))</f>
        <v/>
      </c>
      <c r="K725" s="47">
        <f>IF(_imp!$C$727="","",INDEX(_imp!$J$4:$J$1503,_imp!$C$727))</f>
        <v/>
      </c>
    </row>
    <row r="726">
      <c r="A726" s="47">
        <f>IF(_imp!$C$728="","",INDEX(_imp!$D$4:$D$1503,_imp!$C$728))</f>
        <v/>
      </c>
      <c r="B726" s="47">
        <f>IF(_imp!$C$728="","",INDEX(_imp!$E$4:$E$1503,_imp!$C$728))</f>
        <v/>
      </c>
      <c r="C726" s="47">
        <f>IF(_imp!$C$728="","",INDEX(_imp!$F$4:$F$1503,_imp!$C$728))</f>
        <v/>
      </c>
      <c r="E726" s="47">
        <f>IF(_imp!$C$728="","",INDEX(_imp!$G$4:$G$1503,_imp!$C$728))</f>
        <v/>
      </c>
      <c r="F726" s="47">
        <f>IF(_imp!$C$728="","",INDEX(_imp!$H$4:$H$1503,_imp!$C$728))</f>
        <v/>
      </c>
      <c r="G726" s="47">
        <f>IF(_imp!$C$728="","",INDEX(_imp!$I$4:$I$1503,_imp!$C$728))</f>
        <v/>
      </c>
      <c r="K726" s="47">
        <f>IF(_imp!$C$728="","",INDEX(_imp!$J$4:$J$1503,_imp!$C$728))</f>
        <v/>
      </c>
    </row>
    <row r="727">
      <c r="A727" s="47">
        <f>IF(_imp!$C$729="","",INDEX(_imp!$D$4:$D$1503,_imp!$C$729))</f>
        <v/>
      </c>
      <c r="B727" s="47">
        <f>IF(_imp!$C$729="","",INDEX(_imp!$E$4:$E$1503,_imp!$C$729))</f>
        <v/>
      </c>
      <c r="C727" s="47">
        <f>IF(_imp!$C$729="","",INDEX(_imp!$F$4:$F$1503,_imp!$C$729))</f>
        <v/>
      </c>
      <c r="E727" s="47">
        <f>IF(_imp!$C$729="","",INDEX(_imp!$G$4:$G$1503,_imp!$C$729))</f>
        <v/>
      </c>
      <c r="F727" s="47">
        <f>IF(_imp!$C$729="","",INDEX(_imp!$H$4:$H$1503,_imp!$C$729))</f>
        <v/>
      </c>
      <c r="G727" s="47">
        <f>IF(_imp!$C$729="","",INDEX(_imp!$I$4:$I$1503,_imp!$C$729))</f>
        <v/>
      </c>
      <c r="K727" s="47">
        <f>IF(_imp!$C$729="","",INDEX(_imp!$J$4:$J$1503,_imp!$C$729))</f>
        <v/>
      </c>
    </row>
    <row r="728">
      <c r="A728" s="47">
        <f>IF(_imp!$C$730="","",INDEX(_imp!$D$4:$D$1503,_imp!$C$730))</f>
        <v/>
      </c>
      <c r="B728" s="47">
        <f>IF(_imp!$C$730="","",INDEX(_imp!$E$4:$E$1503,_imp!$C$730))</f>
        <v/>
      </c>
      <c r="C728" s="47">
        <f>IF(_imp!$C$730="","",INDEX(_imp!$F$4:$F$1503,_imp!$C$730))</f>
        <v/>
      </c>
      <c r="E728" s="47">
        <f>IF(_imp!$C$730="","",INDEX(_imp!$G$4:$G$1503,_imp!$C$730))</f>
        <v/>
      </c>
      <c r="F728" s="47">
        <f>IF(_imp!$C$730="","",INDEX(_imp!$H$4:$H$1503,_imp!$C$730))</f>
        <v/>
      </c>
      <c r="G728" s="47">
        <f>IF(_imp!$C$730="","",INDEX(_imp!$I$4:$I$1503,_imp!$C$730))</f>
        <v/>
      </c>
      <c r="K728" s="47">
        <f>IF(_imp!$C$730="","",INDEX(_imp!$J$4:$J$1503,_imp!$C$730))</f>
        <v/>
      </c>
    </row>
    <row r="729">
      <c r="A729" s="47">
        <f>IF(_imp!$C$731="","",INDEX(_imp!$D$4:$D$1503,_imp!$C$731))</f>
        <v/>
      </c>
      <c r="B729" s="47">
        <f>IF(_imp!$C$731="","",INDEX(_imp!$E$4:$E$1503,_imp!$C$731))</f>
        <v/>
      </c>
      <c r="C729" s="47">
        <f>IF(_imp!$C$731="","",INDEX(_imp!$F$4:$F$1503,_imp!$C$731))</f>
        <v/>
      </c>
      <c r="E729" s="47">
        <f>IF(_imp!$C$731="","",INDEX(_imp!$G$4:$G$1503,_imp!$C$731))</f>
        <v/>
      </c>
      <c r="F729" s="47">
        <f>IF(_imp!$C$731="","",INDEX(_imp!$H$4:$H$1503,_imp!$C$731))</f>
        <v/>
      </c>
      <c r="G729" s="47">
        <f>IF(_imp!$C$731="","",INDEX(_imp!$I$4:$I$1503,_imp!$C$731))</f>
        <v/>
      </c>
      <c r="K729" s="47">
        <f>IF(_imp!$C$731="","",INDEX(_imp!$J$4:$J$1503,_imp!$C$731))</f>
        <v/>
      </c>
    </row>
    <row r="730">
      <c r="A730" s="47">
        <f>IF(_imp!$C$732="","",INDEX(_imp!$D$4:$D$1503,_imp!$C$732))</f>
        <v/>
      </c>
      <c r="B730" s="47">
        <f>IF(_imp!$C$732="","",INDEX(_imp!$E$4:$E$1503,_imp!$C$732))</f>
        <v/>
      </c>
      <c r="C730" s="47">
        <f>IF(_imp!$C$732="","",INDEX(_imp!$F$4:$F$1503,_imp!$C$732))</f>
        <v/>
      </c>
      <c r="E730" s="47">
        <f>IF(_imp!$C$732="","",INDEX(_imp!$G$4:$G$1503,_imp!$C$732))</f>
        <v/>
      </c>
      <c r="F730" s="47">
        <f>IF(_imp!$C$732="","",INDEX(_imp!$H$4:$H$1503,_imp!$C$732))</f>
        <v/>
      </c>
      <c r="G730" s="47">
        <f>IF(_imp!$C$732="","",INDEX(_imp!$I$4:$I$1503,_imp!$C$732))</f>
        <v/>
      </c>
      <c r="K730" s="47">
        <f>IF(_imp!$C$732="","",INDEX(_imp!$J$4:$J$1503,_imp!$C$732))</f>
        <v/>
      </c>
    </row>
    <row r="731">
      <c r="A731" s="47">
        <f>IF(_imp!$C$733="","",INDEX(_imp!$D$4:$D$1503,_imp!$C$733))</f>
        <v/>
      </c>
      <c r="B731" s="47">
        <f>IF(_imp!$C$733="","",INDEX(_imp!$E$4:$E$1503,_imp!$C$733))</f>
        <v/>
      </c>
      <c r="C731" s="47">
        <f>IF(_imp!$C$733="","",INDEX(_imp!$F$4:$F$1503,_imp!$C$733))</f>
        <v/>
      </c>
      <c r="E731" s="47">
        <f>IF(_imp!$C$733="","",INDEX(_imp!$G$4:$G$1503,_imp!$C$733))</f>
        <v/>
      </c>
      <c r="F731" s="47">
        <f>IF(_imp!$C$733="","",INDEX(_imp!$H$4:$H$1503,_imp!$C$733))</f>
        <v/>
      </c>
      <c r="G731" s="47">
        <f>IF(_imp!$C$733="","",INDEX(_imp!$I$4:$I$1503,_imp!$C$733))</f>
        <v/>
      </c>
      <c r="K731" s="47">
        <f>IF(_imp!$C$733="","",INDEX(_imp!$J$4:$J$1503,_imp!$C$733))</f>
        <v/>
      </c>
    </row>
    <row r="732">
      <c r="A732" s="47">
        <f>IF(_imp!$C$734="","",INDEX(_imp!$D$4:$D$1503,_imp!$C$734))</f>
        <v/>
      </c>
      <c r="B732" s="47">
        <f>IF(_imp!$C$734="","",INDEX(_imp!$E$4:$E$1503,_imp!$C$734))</f>
        <v/>
      </c>
      <c r="C732" s="47">
        <f>IF(_imp!$C$734="","",INDEX(_imp!$F$4:$F$1503,_imp!$C$734))</f>
        <v/>
      </c>
      <c r="E732" s="47">
        <f>IF(_imp!$C$734="","",INDEX(_imp!$G$4:$G$1503,_imp!$C$734))</f>
        <v/>
      </c>
      <c r="F732" s="47">
        <f>IF(_imp!$C$734="","",INDEX(_imp!$H$4:$H$1503,_imp!$C$734))</f>
        <v/>
      </c>
      <c r="G732" s="47">
        <f>IF(_imp!$C$734="","",INDEX(_imp!$I$4:$I$1503,_imp!$C$734))</f>
        <v/>
      </c>
      <c r="K732" s="47">
        <f>IF(_imp!$C$734="","",INDEX(_imp!$J$4:$J$1503,_imp!$C$734))</f>
        <v/>
      </c>
    </row>
    <row r="733">
      <c r="A733" s="47">
        <f>IF(_imp!$C$735="","",INDEX(_imp!$D$4:$D$1503,_imp!$C$735))</f>
        <v/>
      </c>
      <c r="B733" s="47">
        <f>IF(_imp!$C$735="","",INDEX(_imp!$E$4:$E$1503,_imp!$C$735))</f>
        <v/>
      </c>
      <c r="C733" s="47">
        <f>IF(_imp!$C$735="","",INDEX(_imp!$F$4:$F$1503,_imp!$C$735))</f>
        <v/>
      </c>
      <c r="E733" s="47">
        <f>IF(_imp!$C$735="","",INDEX(_imp!$G$4:$G$1503,_imp!$C$735))</f>
        <v/>
      </c>
      <c r="F733" s="47">
        <f>IF(_imp!$C$735="","",INDEX(_imp!$H$4:$H$1503,_imp!$C$735))</f>
        <v/>
      </c>
      <c r="G733" s="47">
        <f>IF(_imp!$C$735="","",INDEX(_imp!$I$4:$I$1503,_imp!$C$735))</f>
        <v/>
      </c>
      <c r="K733" s="47">
        <f>IF(_imp!$C$735="","",INDEX(_imp!$J$4:$J$1503,_imp!$C$735))</f>
        <v/>
      </c>
    </row>
    <row r="734">
      <c r="A734" s="47">
        <f>IF(_imp!$C$736="","",INDEX(_imp!$D$4:$D$1503,_imp!$C$736))</f>
        <v/>
      </c>
      <c r="B734" s="47">
        <f>IF(_imp!$C$736="","",INDEX(_imp!$E$4:$E$1503,_imp!$C$736))</f>
        <v/>
      </c>
      <c r="C734" s="47">
        <f>IF(_imp!$C$736="","",INDEX(_imp!$F$4:$F$1503,_imp!$C$736))</f>
        <v/>
      </c>
      <c r="E734" s="47">
        <f>IF(_imp!$C$736="","",INDEX(_imp!$G$4:$G$1503,_imp!$C$736))</f>
        <v/>
      </c>
      <c r="F734" s="47">
        <f>IF(_imp!$C$736="","",INDEX(_imp!$H$4:$H$1503,_imp!$C$736))</f>
        <v/>
      </c>
      <c r="G734" s="47">
        <f>IF(_imp!$C$736="","",INDEX(_imp!$I$4:$I$1503,_imp!$C$736))</f>
        <v/>
      </c>
      <c r="K734" s="47">
        <f>IF(_imp!$C$736="","",INDEX(_imp!$J$4:$J$1503,_imp!$C$736))</f>
        <v/>
      </c>
    </row>
    <row r="735">
      <c r="A735" s="47">
        <f>IF(_imp!$C$737="","",INDEX(_imp!$D$4:$D$1503,_imp!$C$737))</f>
        <v/>
      </c>
      <c r="B735" s="47">
        <f>IF(_imp!$C$737="","",INDEX(_imp!$E$4:$E$1503,_imp!$C$737))</f>
        <v/>
      </c>
      <c r="C735" s="47">
        <f>IF(_imp!$C$737="","",INDEX(_imp!$F$4:$F$1503,_imp!$C$737))</f>
        <v/>
      </c>
      <c r="E735" s="47">
        <f>IF(_imp!$C$737="","",INDEX(_imp!$G$4:$G$1503,_imp!$C$737))</f>
        <v/>
      </c>
      <c r="F735" s="47">
        <f>IF(_imp!$C$737="","",INDEX(_imp!$H$4:$H$1503,_imp!$C$737))</f>
        <v/>
      </c>
      <c r="G735" s="47">
        <f>IF(_imp!$C$737="","",INDEX(_imp!$I$4:$I$1503,_imp!$C$737))</f>
        <v/>
      </c>
      <c r="K735" s="47">
        <f>IF(_imp!$C$737="","",INDEX(_imp!$J$4:$J$1503,_imp!$C$737))</f>
        <v/>
      </c>
    </row>
    <row r="736">
      <c r="A736" s="47">
        <f>IF(_imp!$C$738="","",INDEX(_imp!$D$4:$D$1503,_imp!$C$738))</f>
        <v/>
      </c>
      <c r="B736" s="47">
        <f>IF(_imp!$C$738="","",INDEX(_imp!$E$4:$E$1503,_imp!$C$738))</f>
        <v/>
      </c>
      <c r="C736" s="47">
        <f>IF(_imp!$C$738="","",INDEX(_imp!$F$4:$F$1503,_imp!$C$738))</f>
        <v/>
      </c>
      <c r="E736" s="47">
        <f>IF(_imp!$C$738="","",INDEX(_imp!$G$4:$G$1503,_imp!$C$738))</f>
        <v/>
      </c>
      <c r="F736" s="47">
        <f>IF(_imp!$C$738="","",INDEX(_imp!$H$4:$H$1503,_imp!$C$738))</f>
        <v/>
      </c>
      <c r="G736" s="47">
        <f>IF(_imp!$C$738="","",INDEX(_imp!$I$4:$I$1503,_imp!$C$738))</f>
        <v/>
      </c>
      <c r="K736" s="47">
        <f>IF(_imp!$C$738="","",INDEX(_imp!$J$4:$J$1503,_imp!$C$738))</f>
        <v/>
      </c>
    </row>
    <row r="737">
      <c r="A737" s="47">
        <f>IF(_imp!$C$739="","",INDEX(_imp!$D$4:$D$1503,_imp!$C$739))</f>
        <v/>
      </c>
      <c r="B737" s="47">
        <f>IF(_imp!$C$739="","",INDEX(_imp!$E$4:$E$1503,_imp!$C$739))</f>
        <v/>
      </c>
      <c r="C737" s="47">
        <f>IF(_imp!$C$739="","",INDEX(_imp!$F$4:$F$1503,_imp!$C$739))</f>
        <v/>
      </c>
      <c r="E737" s="47">
        <f>IF(_imp!$C$739="","",INDEX(_imp!$G$4:$G$1503,_imp!$C$739))</f>
        <v/>
      </c>
      <c r="F737" s="47">
        <f>IF(_imp!$C$739="","",INDEX(_imp!$H$4:$H$1503,_imp!$C$739))</f>
        <v/>
      </c>
      <c r="G737" s="47">
        <f>IF(_imp!$C$739="","",INDEX(_imp!$I$4:$I$1503,_imp!$C$739))</f>
        <v/>
      </c>
      <c r="K737" s="47">
        <f>IF(_imp!$C$739="","",INDEX(_imp!$J$4:$J$1503,_imp!$C$739))</f>
        <v/>
      </c>
    </row>
    <row r="738">
      <c r="A738" s="47">
        <f>IF(_imp!$C$740="","",INDEX(_imp!$D$4:$D$1503,_imp!$C$740))</f>
        <v/>
      </c>
      <c r="B738" s="47">
        <f>IF(_imp!$C$740="","",INDEX(_imp!$E$4:$E$1503,_imp!$C$740))</f>
        <v/>
      </c>
      <c r="C738" s="47">
        <f>IF(_imp!$C$740="","",INDEX(_imp!$F$4:$F$1503,_imp!$C$740))</f>
        <v/>
      </c>
      <c r="E738" s="47">
        <f>IF(_imp!$C$740="","",INDEX(_imp!$G$4:$G$1503,_imp!$C$740))</f>
        <v/>
      </c>
      <c r="F738" s="47">
        <f>IF(_imp!$C$740="","",INDEX(_imp!$H$4:$H$1503,_imp!$C$740))</f>
        <v/>
      </c>
      <c r="G738" s="47">
        <f>IF(_imp!$C$740="","",INDEX(_imp!$I$4:$I$1503,_imp!$C$740))</f>
        <v/>
      </c>
      <c r="K738" s="47">
        <f>IF(_imp!$C$740="","",INDEX(_imp!$J$4:$J$1503,_imp!$C$740))</f>
        <v/>
      </c>
    </row>
    <row r="739">
      <c r="A739" s="47">
        <f>IF(_imp!$C$741="","",INDEX(_imp!$D$4:$D$1503,_imp!$C$741))</f>
        <v/>
      </c>
      <c r="B739" s="47">
        <f>IF(_imp!$C$741="","",INDEX(_imp!$E$4:$E$1503,_imp!$C$741))</f>
        <v/>
      </c>
      <c r="C739" s="47">
        <f>IF(_imp!$C$741="","",INDEX(_imp!$F$4:$F$1503,_imp!$C$741))</f>
        <v/>
      </c>
      <c r="E739" s="47">
        <f>IF(_imp!$C$741="","",INDEX(_imp!$G$4:$G$1503,_imp!$C$741))</f>
        <v/>
      </c>
      <c r="F739" s="47">
        <f>IF(_imp!$C$741="","",INDEX(_imp!$H$4:$H$1503,_imp!$C$741))</f>
        <v/>
      </c>
      <c r="G739" s="47">
        <f>IF(_imp!$C$741="","",INDEX(_imp!$I$4:$I$1503,_imp!$C$741))</f>
        <v/>
      </c>
      <c r="K739" s="47">
        <f>IF(_imp!$C$741="","",INDEX(_imp!$J$4:$J$1503,_imp!$C$741))</f>
        <v/>
      </c>
    </row>
    <row r="740">
      <c r="A740" s="47">
        <f>IF(_imp!$C$742="","",INDEX(_imp!$D$4:$D$1503,_imp!$C$742))</f>
        <v/>
      </c>
      <c r="B740" s="47">
        <f>IF(_imp!$C$742="","",INDEX(_imp!$E$4:$E$1503,_imp!$C$742))</f>
        <v/>
      </c>
      <c r="C740" s="47">
        <f>IF(_imp!$C$742="","",INDEX(_imp!$F$4:$F$1503,_imp!$C$742))</f>
        <v/>
      </c>
      <c r="E740" s="47">
        <f>IF(_imp!$C$742="","",INDEX(_imp!$G$4:$G$1503,_imp!$C$742))</f>
        <v/>
      </c>
      <c r="F740" s="47">
        <f>IF(_imp!$C$742="","",INDEX(_imp!$H$4:$H$1503,_imp!$C$742))</f>
        <v/>
      </c>
      <c r="G740" s="47">
        <f>IF(_imp!$C$742="","",INDEX(_imp!$I$4:$I$1503,_imp!$C$742))</f>
        <v/>
      </c>
      <c r="K740" s="47">
        <f>IF(_imp!$C$742="","",INDEX(_imp!$J$4:$J$1503,_imp!$C$742))</f>
        <v/>
      </c>
    </row>
    <row r="741">
      <c r="A741" s="47">
        <f>IF(_imp!$C$743="","",INDEX(_imp!$D$4:$D$1503,_imp!$C$743))</f>
        <v/>
      </c>
      <c r="B741" s="47">
        <f>IF(_imp!$C$743="","",INDEX(_imp!$E$4:$E$1503,_imp!$C$743))</f>
        <v/>
      </c>
      <c r="C741" s="47">
        <f>IF(_imp!$C$743="","",INDEX(_imp!$F$4:$F$1503,_imp!$C$743))</f>
        <v/>
      </c>
      <c r="E741" s="47">
        <f>IF(_imp!$C$743="","",INDEX(_imp!$G$4:$G$1503,_imp!$C$743))</f>
        <v/>
      </c>
      <c r="F741" s="47">
        <f>IF(_imp!$C$743="","",INDEX(_imp!$H$4:$H$1503,_imp!$C$743))</f>
        <v/>
      </c>
      <c r="G741" s="47">
        <f>IF(_imp!$C$743="","",INDEX(_imp!$I$4:$I$1503,_imp!$C$743))</f>
        <v/>
      </c>
      <c r="K741" s="47">
        <f>IF(_imp!$C$743="","",INDEX(_imp!$J$4:$J$1503,_imp!$C$743))</f>
        <v/>
      </c>
    </row>
    <row r="742">
      <c r="A742" s="47">
        <f>IF(_imp!$C$744="","",INDEX(_imp!$D$4:$D$1503,_imp!$C$744))</f>
        <v/>
      </c>
      <c r="B742" s="47">
        <f>IF(_imp!$C$744="","",INDEX(_imp!$E$4:$E$1503,_imp!$C$744))</f>
        <v/>
      </c>
      <c r="C742" s="47">
        <f>IF(_imp!$C$744="","",INDEX(_imp!$F$4:$F$1503,_imp!$C$744))</f>
        <v/>
      </c>
      <c r="E742" s="47">
        <f>IF(_imp!$C$744="","",INDEX(_imp!$G$4:$G$1503,_imp!$C$744))</f>
        <v/>
      </c>
      <c r="F742" s="47">
        <f>IF(_imp!$C$744="","",INDEX(_imp!$H$4:$H$1503,_imp!$C$744))</f>
        <v/>
      </c>
      <c r="G742" s="47">
        <f>IF(_imp!$C$744="","",INDEX(_imp!$I$4:$I$1503,_imp!$C$744))</f>
        <v/>
      </c>
      <c r="K742" s="47">
        <f>IF(_imp!$C$744="","",INDEX(_imp!$J$4:$J$1503,_imp!$C$744))</f>
        <v/>
      </c>
    </row>
    <row r="743">
      <c r="A743" s="47">
        <f>IF(_imp!$C$745="","",INDEX(_imp!$D$4:$D$1503,_imp!$C$745))</f>
        <v/>
      </c>
      <c r="B743" s="47">
        <f>IF(_imp!$C$745="","",INDEX(_imp!$E$4:$E$1503,_imp!$C$745))</f>
        <v/>
      </c>
      <c r="C743" s="47">
        <f>IF(_imp!$C$745="","",INDEX(_imp!$F$4:$F$1503,_imp!$C$745))</f>
        <v/>
      </c>
      <c r="E743" s="47">
        <f>IF(_imp!$C$745="","",INDEX(_imp!$G$4:$G$1503,_imp!$C$745))</f>
        <v/>
      </c>
      <c r="F743" s="47">
        <f>IF(_imp!$C$745="","",INDEX(_imp!$H$4:$H$1503,_imp!$C$745))</f>
        <v/>
      </c>
      <c r="G743" s="47">
        <f>IF(_imp!$C$745="","",INDEX(_imp!$I$4:$I$1503,_imp!$C$745))</f>
        <v/>
      </c>
      <c r="K743" s="47">
        <f>IF(_imp!$C$745="","",INDEX(_imp!$J$4:$J$1503,_imp!$C$745))</f>
        <v/>
      </c>
    </row>
    <row r="744">
      <c r="A744" s="47">
        <f>IF(_imp!$C$746="","",INDEX(_imp!$D$4:$D$1503,_imp!$C$746))</f>
        <v/>
      </c>
      <c r="B744" s="47">
        <f>IF(_imp!$C$746="","",INDEX(_imp!$E$4:$E$1503,_imp!$C$746))</f>
        <v/>
      </c>
      <c r="C744" s="47">
        <f>IF(_imp!$C$746="","",INDEX(_imp!$F$4:$F$1503,_imp!$C$746))</f>
        <v/>
      </c>
      <c r="E744" s="47">
        <f>IF(_imp!$C$746="","",INDEX(_imp!$G$4:$G$1503,_imp!$C$746))</f>
        <v/>
      </c>
      <c r="F744" s="47">
        <f>IF(_imp!$C$746="","",INDEX(_imp!$H$4:$H$1503,_imp!$C$746))</f>
        <v/>
      </c>
      <c r="G744" s="47">
        <f>IF(_imp!$C$746="","",INDEX(_imp!$I$4:$I$1503,_imp!$C$746))</f>
        <v/>
      </c>
      <c r="K744" s="47">
        <f>IF(_imp!$C$746="","",INDEX(_imp!$J$4:$J$1503,_imp!$C$746))</f>
        <v/>
      </c>
    </row>
    <row r="745">
      <c r="A745" s="47">
        <f>IF(_imp!$C$747="","",INDEX(_imp!$D$4:$D$1503,_imp!$C$747))</f>
        <v/>
      </c>
      <c r="B745" s="47">
        <f>IF(_imp!$C$747="","",INDEX(_imp!$E$4:$E$1503,_imp!$C$747))</f>
        <v/>
      </c>
      <c r="C745" s="47">
        <f>IF(_imp!$C$747="","",INDEX(_imp!$F$4:$F$1503,_imp!$C$747))</f>
        <v/>
      </c>
      <c r="E745" s="47">
        <f>IF(_imp!$C$747="","",INDEX(_imp!$G$4:$G$1503,_imp!$C$747))</f>
        <v/>
      </c>
      <c r="F745" s="47">
        <f>IF(_imp!$C$747="","",INDEX(_imp!$H$4:$H$1503,_imp!$C$747))</f>
        <v/>
      </c>
      <c r="G745" s="47">
        <f>IF(_imp!$C$747="","",INDEX(_imp!$I$4:$I$1503,_imp!$C$747))</f>
        <v/>
      </c>
      <c r="K745" s="47">
        <f>IF(_imp!$C$747="","",INDEX(_imp!$J$4:$J$1503,_imp!$C$747))</f>
        <v/>
      </c>
    </row>
    <row r="746">
      <c r="A746" s="47">
        <f>IF(_imp!$C$748="","",INDEX(_imp!$D$4:$D$1503,_imp!$C$748))</f>
        <v/>
      </c>
      <c r="B746" s="47">
        <f>IF(_imp!$C$748="","",INDEX(_imp!$E$4:$E$1503,_imp!$C$748))</f>
        <v/>
      </c>
      <c r="C746" s="47">
        <f>IF(_imp!$C$748="","",INDEX(_imp!$F$4:$F$1503,_imp!$C$748))</f>
        <v/>
      </c>
      <c r="E746" s="47">
        <f>IF(_imp!$C$748="","",INDEX(_imp!$G$4:$G$1503,_imp!$C$748))</f>
        <v/>
      </c>
      <c r="F746" s="47">
        <f>IF(_imp!$C$748="","",INDEX(_imp!$H$4:$H$1503,_imp!$C$748))</f>
        <v/>
      </c>
      <c r="G746" s="47">
        <f>IF(_imp!$C$748="","",INDEX(_imp!$I$4:$I$1503,_imp!$C$748))</f>
        <v/>
      </c>
      <c r="K746" s="47">
        <f>IF(_imp!$C$748="","",INDEX(_imp!$J$4:$J$1503,_imp!$C$748))</f>
        <v/>
      </c>
    </row>
    <row r="747">
      <c r="A747" s="47">
        <f>IF(_imp!$C$749="","",INDEX(_imp!$D$4:$D$1503,_imp!$C$749))</f>
        <v/>
      </c>
      <c r="B747" s="47">
        <f>IF(_imp!$C$749="","",INDEX(_imp!$E$4:$E$1503,_imp!$C$749))</f>
        <v/>
      </c>
      <c r="C747" s="47">
        <f>IF(_imp!$C$749="","",INDEX(_imp!$F$4:$F$1503,_imp!$C$749))</f>
        <v/>
      </c>
      <c r="E747" s="47">
        <f>IF(_imp!$C$749="","",INDEX(_imp!$G$4:$G$1503,_imp!$C$749))</f>
        <v/>
      </c>
      <c r="F747" s="47">
        <f>IF(_imp!$C$749="","",INDEX(_imp!$H$4:$H$1503,_imp!$C$749))</f>
        <v/>
      </c>
      <c r="G747" s="47">
        <f>IF(_imp!$C$749="","",INDEX(_imp!$I$4:$I$1503,_imp!$C$749))</f>
        <v/>
      </c>
      <c r="K747" s="47">
        <f>IF(_imp!$C$749="","",INDEX(_imp!$J$4:$J$1503,_imp!$C$749))</f>
        <v/>
      </c>
    </row>
    <row r="748">
      <c r="A748" s="47">
        <f>IF(_imp!$C$750="","",INDEX(_imp!$D$4:$D$1503,_imp!$C$750))</f>
        <v/>
      </c>
      <c r="B748" s="47">
        <f>IF(_imp!$C$750="","",INDEX(_imp!$E$4:$E$1503,_imp!$C$750))</f>
        <v/>
      </c>
      <c r="C748" s="47">
        <f>IF(_imp!$C$750="","",INDEX(_imp!$F$4:$F$1503,_imp!$C$750))</f>
        <v/>
      </c>
      <c r="E748" s="47">
        <f>IF(_imp!$C$750="","",INDEX(_imp!$G$4:$G$1503,_imp!$C$750))</f>
        <v/>
      </c>
      <c r="F748" s="47">
        <f>IF(_imp!$C$750="","",INDEX(_imp!$H$4:$H$1503,_imp!$C$750))</f>
        <v/>
      </c>
      <c r="G748" s="47">
        <f>IF(_imp!$C$750="","",INDEX(_imp!$I$4:$I$1503,_imp!$C$750))</f>
        <v/>
      </c>
      <c r="K748" s="47">
        <f>IF(_imp!$C$750="","",INDEX(_imp!$J$4:$J$1503,_imp!$C$750))</f>
        <v/>
      </c>
    </row>
    <row r="749">
      <c r="A749" s="47">
        <f>IF(_imp!$C$751="","",INDEX(_imp!$D$4:$D$1503,_imp!$C$751))</f>
        <v/>
      </c>
      <c r="B749" s="47">
        <f>IF(_imp!$C$751="","",INDEX(_imp!$E$4:$E$1503,_imp!$C$751))</f>
        <v/>
      </c>
      <c r="C749" s="47">
        <f>IF(_imp!$C$751="","",INDEX(_imp!$F$4:$F$1503,_imp!$C$751))</f>
        <v/>
      </c>
      <c r="E749" s="47">
        <f>IF(_imp!$C$751="","",INDEX(_imp!$G$4:$G$1503,_imp!$C$751))</f>
        <v/>
      </c>
      <c r="F749" s="47">
        <f>IF(_imp!$C$751="","",INDEX(_imp!$H$4:$H$1503,_imp!$C$751))</f>
        <v/>
      </c>
      <c r="G749" s="47">
        <f>IF(_imp!$C$751="","",INDEX(_imp!$I$4:$I$1503,_imp!$C$751))</f>
        <v/>
      </c>
      <c r="K749" s="47">
        <f>IF(_imp!$C$751="","",INDEX(_imp!$J$4:$J$1503,_imp!$C$751))</f>
        <v/>
      </c>
    </row>
    <row r="750">
      <c r="A750" s="47">
        <f>IF(_imp!$C$752="","",INDEX(_imp!$D$4:$D$1503,_imp!$C$752))</f>
        <v/>
      </c>
      <c r="B750" s="47">
        <f>IF(_imp!$C$752="","",INDEX(_imp!$E$4:$E$1503,_imp!$C$752))</f>
        <v/>
      </c>
      <c r="C750" s="47">
        <f>IF(_imp!$C$752="","",INDEX(_imp!$F$4:$F$1503,_imp!$C$752))</f>
        <v/>
      </c>
      <c r="E750" s="47">
        <f>IF(_imp!$C$752="","",INDEX(_imp!$G$4:$G$1503,_imp!$C$752))</f>
        <v/>
      </c>
      <c r="F750" s="47">
        <f>IF(_imp!$C$752="","",INDEX(_imp!$H$4:$H$1503,_imp!$C$752))</f>
        <v/>
      </c>
      <c r="G750" s="47">
        <f>IF(_imp!$C$752="","",INDEX(_imp!$I$4:$I$1503,_imp!$C$752))</f>
        <v/>
      </c>
      <c r="K750" s="47">
        <f>IF(_imp!$C$752="","",INDEX(_imp!$J$4:$J$1503,_imp!$C$752))</f>
        <v/>
      </c>
    </row>
    <row r="751">
      <c r="A751" s="47">
        <f>IF(_imp!$C$753="","",INDEX(_imp!$D$4:$D$1503,_imp!$C$753))</f>
        <v/>
      </c>
      <c r="B751" s="47">
        <f>IF(_imp!$C$753="","",INDEX(_imp!$E$4:$E$1503,_imp!$C$753))</f>
        <v/>
      </c>
      <c r="C751" s="47">
        <f>IF(_imp!$C$753="","",INDEX(_imp!$F$4:$F$1503,_imp!$C$753))</f>
        <v/>
      </c>
      <c r="E751" s="47">
        <f>IF(_imp!$C$753="","",INDEX(_imp!$G$4:$G$1503,_imp!$C$753))</f>
        <v/>
      </c>
      <c r="F751" s="47">
        <f>IF(_imp!$C$753="","",INDEX(_imp!$H$4:$H$1503,_imp!$C$753))</f>
        <v/>
      </c>
      <c r="G751" s="47">
        <f>IF(_imp!$C$753="","",INDEX(_imp!$I$4:$I$1503,_imp!$C$753))</f>
        <v/>
      </c>
      <c r="K751" s="47">
        <f>IF(_imp!$C$753="","",INDEX(_imp!$J$4:$J$1503,_imp!$C$753))</f>
        <v/>
      </c>
    </row>
    <row r="752">
      <c r="A752" s="47">
        <f>IF(_imp!$C$754="","",INDEX(_imp!$D$4:$D$1503,_imp!$C$754))</f>
        <v/>
      </c>
      <c r="B752" s="47">
        <f>IF(_imp!$C$754="","",INDEX(_imp!$E$4:$E$1503,_imp!$C$754))</f>
        <v/>
      </c>
      <c r="C752" s="47">
        <f>IF(_imp!$C$754="","",INDEX(_imp!$F$4:$F$1503,_imp!$C$754))</f>
        <v/>
      </c>
      <c r="E752" s="47">
        <f>IF(_imp!$C$754="","",INDEX(_imp!$G$4:$G$1503,_imp!$C$754))</f>
        <v/>
      </c>
      <c r="F752" s="47">
        <f>IF(_imp!$C$754="","",INDEX(_imp!$H$4:$H$1503,_imp!$C$754))</f>
        <v/>
      </c>
      <c r="G752" s="47">
        <f>IF(_imp!$C$754="","",INDEX(_imp!$I$4:$I$1503,_imp!$C$754))</f>
        <v/>
      </c>
      <c r="K752" s="47">
        <f>IF(_imp!$C$754="","",INDEX(_imp!$J$4:$J$1503,_imp!$C$754))</f>
        <v/>
      </c>
    </row>
    <row r="753">
      <c r="A753" s="47">
        <f>IF(_imp!$C$755="","",INDEX(_imp!$D$4:$D$1503,_imp!$C$755))</f>
        <v/>
      </c>
      <c r="B753" s="47">
        <f>IF(_imp!$C$755="","",INDEX(_imp!$E$4:$E$1503,_imp!$C$755))</f>
        <v/>
      </c>
      <c r="C753" s="47">
        <f>IF(_imp!$C$755="","",INDEX(_imp!$F$4:$F$1503,_imp!$C$755))</f>
        <v/>
      </c>
      <c r="E753" s="47">
        <f>IF(_imp!$C$755="","",INDEX(_imp!$G$4:$G$1503,_imp!$C$755))</f>
        <v/>
      </c>
      <c r="F753" s="47">
        <f>IF(_imp!$C$755="","",INDEX(_imp!$H$4:$H$1503,_imp!$C$755))</f>
        <v/>
      </c>
      <c r="G753" s="47">
        <f>IF(_imp!$C$755="","",INDEX(_imp!$I$4:$I$1503,_imp!$C$755))</f>
        <v/>
      </c>
      <c r="K753" s="47">
        <f>IF(_imp!$C$755="","",INDEX(_imp!$J$4:$J$1503,_imp!$C$755))</f>
        <v/>
      </c>
    </row>
    <row r="754">
      <c r="A754" s="47">
        <f>IF(_imp!$C$756="","",INDEX(_imp!$D$4:$D$1503,_imp!$C$756))</f>
        <v/>
      </c>
      <c r="B754" s="47">
        <f>IF(_imp!$C$756="","",INDEX(_imp!$E$4:$E$1503,_imp!$C$756))</f>
        <v/>
      </c>
      <c r="C754" s="47">
        <f>IF(_imp!$C$756="","",INDEX(_imp!$F$4:$F$1503,_imp!$C$756))</f>
        <v/>
      </c>
      <c r="E754" s="47">
        <f>IF(_imp!$C$756="","",INDEX(_imp!$G$4:$G$1503,_imp!$C$756))</f>
        <v/>
      </c>
      <c r="F754" s="47">
        <f>IF(_imp!$C$756="","",INDEX(_imp!$H$4:$H$1503,_imp!$C$756))</f>
        <v/>
      </c>
      <c r="G754" s="47">
        <f>IF(_imp!$C$756="","",INDEX(_imp!$I$4:$I$1503,_imp!$C$756))</f>
        <v/>
      </c>
      <c r="K754" s="47">
        <f>IF(_imp!$C$756="","",INDEX(_imp!$J$4:$J$1503,_imp!$C$756))</f>
        <v/>
      </c>
    </row>
    <row r="755">
      <c r="A755" s="47">
        <f>IF(_imp!$C$757="","",INDEX(_imp!$D$4:$D$1503,_imp!$C$757))</f>
        <v/>
      </c>
      <c r="B755" s="47">
        <f>IF(_imp!$C$757="","",INDEX(_imp!$E$4:$E$1503,_imp!$C$757))</f>
        <v/>
      </c>
      <c r="C755" s="47">
        <f>IF(_imp!$C$757="","",INDEX(_imp!$F$4:$F$1503,_imp!$C$757))</f>
        <v/>
      </c>
      <c r="E755" s="47">
        <f>IF(_imp!$C$757="","",INDEX(_imp!$G$4:$G$1503,_imp!$C$757))</f>
        <v/>
      </c>
      <c r="F755" s="47">
        <f>IF(_imp!$C$757="","",INDEX(_imp!$H$4:$H$1503,_imp!$C$757))</f>
        <v/>
      </c>
      <c r="G755" s="47">
        <f>IF(_imp!$C$757="","",INDEX(_imp!$I$4:$I$1503,_imp!$C$757))</f>
        <v/>
      </c>
      <c r="K755" s="47">
        <f>IF(_imp!$C$757="","",INDEX(_imp!$J$4:$J$1503,_imp!$C$757))</f>
        <v/>
      </c>
    </row>
    <row r="756">
      <c r="A756" s="47">
        <f>IF(_imp!$C$758="","",INDEX(_imp!$D$4:$D$1503,_imp!$C$758))</f>
        <v/>
      </c>
      <c r="B756" s="47">
        <f>IF(_imp!$C$758="","",INDEX(_imp!$E$4:$E$1503,_imp!$C$758))</f>
        <v/>
      </c>
      <c r="C756" s="47">
        <f>IF(_imp!$C$758="","",INDEX(_imp!$F$4:$F$1503,_imp!$C$758))</f>
        <v/>
      </c>
      <c r="E756" s="47">
        <f>IF(_imp!$C$758="","",INDEX(_imp!$G$4:$G$1503,_imp!$C$758))</f>
        <v/>
      </c>
      <c r="F756" s="47">
        <f>IF(_imp!$C$758="","",INDEX(_imp!$H$4:$H$1503,_imp!$C$758))</f>
        <v/>
      </c>
      <c r="G756" s="47">
        <f>IF(_imp!$C$758="","",INDEX(_imp!$I$4:$I$1503,_imp!$C$758))</f>
        <v/>
      </c>
      <c r="K756" s="47">
        <f>IF(_imp!$C$758="","",INDEX(_imp!$J$4:$J$1503,_imp!$C$758))</f>
        <v/>
      </c>
    </row>
    <row r="757">
      <c r="A757" s="47">
        <f>IF(_imp!$C$759="","",INDEX(_imp!$D$4:$D$1503,_imp!$C$759))</f>
        <v/>
      </c>
      <c r="B757" s="47">
        <f>IF(_imp!$C$759="","",INDEX(_imp!$E$4:$E$1503,_imp!$C$759))</f>
        <v/>
      </c>
      <c r="C757" s="47">
        <f>IF(_imp!$C$759="","",INDEX(_imp!$F$4:$F$1503,_imp!$C$759))</f>
        <v/>
      </c>
      <c r="E757" s="47">
        <f>IF(_imp!$C$759="","",INDEX(_imp!$G$4:$G$1503,_imp!$C$759))</f>
        <v/>
      </c>
      <c r="F757" s="47">
        <f>IF(_imp!$C$759="","",INDEX(_imp!$H$4:$H$1503,_imp!$C$759))</f>
        <v/>
      </c>
      <c r="G757" s="47">
        <f>IF(_imp!$C$759="","",INDEX(_imp!$I$4:$I$1503,_imp!$C$759))</f>
        <v/>
      </c>
      <c r="K757" s="47">
        <f>IF(_imp!$C$759="","",INDEX(_imp!$J$4:$J$1503,_imp!$C$759))</f>
        <v/>
      </c>
    </row>
    <row r="758">
      <c r="A758" s="47">
        <f>IF(_imp!$C$760="","",INDEX(_imp!$D$4:$D$1503,_imp!$C$760))</f>
        <v/>
      </c>
      <c r="B758" s="47">
        <f>IF(_imp!$C$760="","",INDEX(_imp!$E$4:$E$1503,_imp!$C$760))</f>
        <v/>
      </c>
      <c r="C758" s="47">
        <f>IF(_imp!$C$760="","",INDEX(_imp!$F$4:$F$1503,_imp!$C$760))</f>
        <v/>
      </c>
      <c r="E758" s="47">
        <f>IF(_imp!$C$760="","",INDEX(_imp!$G$4:$G$1503,_imp!$C$760))</f>
        <v/>
      </c>
      <c r="F758" s="47">
        <f>IF(_imp!$C$760="","",INDEX(_imp!$H$4:$H$1503,_imp!$C$760))</f>
        <v/>
      </c>
      <c r="G758" s="47">
        <f>IF(_imp!$C$760="","",INDEX(_imp!$I$4:$I$1503,_imp!$C$760))</f>
        <v/>
      </c>
      <c r="K758" s="47">
        <f>IF(_imp!$C$760="","",INDEX(_imp!$J$4:$J$1503,_imp!$C$760))</f>
        <v/>
      </c>
    </row>
    <row r="759">
      <c r="A759" s="47">
        <f>IF(_imp!$C$761="","",INDEX(_imp!$D$4:$D$1503,_imp!$C$761))</f>
        <v/>
      </c>
      <c r="B759" s="47">
        <f>IF(_imp!$C$761="","",INDEX(_imp!$E$4:$E$1503,_imp!$C$761))</f>
        <v/>
      </c>
      <c r="C759" s="47">
        <f>IF(_imp!$C$761="","",INDEX(_imp!$F$4:$F$1503,_imp!$C$761))</f>
        <v/>
      </c>
      <c r="E759" s="47">
        <f>IF(_imp!$C$761="","",INDEX(_imp!$G$4:$G$1503,_imp!$C$761))</f>
        <v/>
      </c>
      <c r="F759" s="47">
        <f>IF(_imp!$C$761="","",INDEX(_imp!$H$4:$H$1503,_imp!$C$761))</f>
        <v/>
      </c>
      <c r="G759" s="47">
        <f>IF(_imp!$C$761="","",INDEX(_imp!$I$4:$I$1503,_imp!$C$761))</f>
        <v/>
      </c>
      <c r="K759" s="47">
        <f>IF(_imp!$C$761="","",INDEX(_imp!$J$4:$J$1503,_imp!$C$761))</f>
        <v/>
      </c>
    </row>
    <row r="760">
      <c r="A760" s="47">
        <f>IF(_imp!$C$762="","",INDEX(_imp!$D$4:$D$1503,_imp!$C$762))</f>
        <v/>
      </c>
      <c r="B760" s="47">
        <f>IF(_imp!$C$762="","",INDEX(_imp!$E$4:$E$1503,_imp!$C$762))</f>
        <v/>
      </c>
      <c r="C760" s="47">
        <f>IF(_imp!$C$762="","",INDEX(_imp!$F$4:$F$1503,_imp!$C$762))</f>
        <v/>
      </c>
      <c r="E760" s="47">
        <f>IF(_imp!$C$762="","",INDEX(_imp!$G$4:$G$1503,_imp!$C$762))</f>
        <v/>
      </c>
      <c r="F760" s="47">
        <f>IF(_imp!$C$762="","",INDEX(_imp!$H$4:$H$1503,_imp!$C$762))</f>
        <v/>
      </c>
      <c r="G760" s="47">
        <f>IF(_imp!$C$762="","",INDEX(_imp!$I$4:$I$1503,_imp!$C$762))</f>
        <v/>
      </c>
      <c r="K760" s="47">
        <f>IF(_imp!$C$762="","",INDEX(_imp!$J$4:$J$1503,_imp!$C$762))</f>
        <v/>
      </c>
    </row>
    <row r="761">
      <c r="A761" s="47">
        <f>IF(_imp!$C$763="","",INDEX(_imp!$D$4:$D$1503,_imp!$C$763))</f>
        <v/>
      </c>
      <c r="B761" s="47">
        <f>IF(_imp!$C$763="","",INDEX(_imp!$E$4:$E$1503,_imp!$C$763))</f>
        <v/>
      </c>
      <c r="C761" s="47">
        <f>IF(_imp!$C$763="","",INDEX(_imp!$F$4:$F$1503,_imp!$C$763))</f>
        <v/>
      </c>
      <c r="E761" s="47">
        <f>IF(_imp!$C$763="","",INDEX(_imp!$G$4:$G$1503,_imp!$C$763))</f>
        <v/>
      </c>
      <c r="F761" s="47">
        <f>IF(_imp!$C$763="","",INDEX(_imp!$H$4:$H$1503,_imp!$C$763))</f>
        <v/>
      </c>
      <c r="G761" s="47">
        <f>IF(_imp!$C$763="","",INDEX(_imp!$I$4:$I$1503,_imp!$C$763))</f>
        <v/>
      </c>
      <c r="K761" s="47">
        <f>IF(_imp!$C$763="","",INDEX(_imp!$J$4:$J$1503,_imp!$C$763))</f>
        <v/>
      </c>
    </row>
    <row r="762">
      <c r="A762" s="47">
        <f>IF(_imp!$C$764="","",INDEX(_imp!$D$4:$D$1503,_imp!$C$764))</f>
        <v/>
      </c>
      <c r="B762" s="47">
        <f>IF(_imp!$C$764="","",INDEX(_imp!$E$4:$E$1503,_imp!$C$764))</f>
        <v/>
      </c>
      <c r="C762" s="47">
        <f>IF(_imp!$C$764="","",INDEX(_imp!$F$4:$F$1503,_imp!$C$764))</f>
        <v/>
      </c>
      <c r="E762" s="47">
        <f>IF(_imp!$C$764="","",INDEX(_imp!$G$4:$G$1503,_imp!$C$764))</f>
        <v/>
      </c>
      <c r="F762" s="47">
        <f>IF(_imp!$C$764="","",INDEX(_imp!$H$4:$H$1503,_imp!$C$764))</f>
        <v/>
      </c>
      <c r="G762" s="47">
        <f>IF(_imp!$C$764="","",INDEX(_imp!$I$4:$I$1503,_imp!$C$764))</f>
        <v/>
      </c>
      <c r="K762" s="47">
        <f>IF(_imp!$C$764="","",INDEX(_imp!$J$4:$J$1503,_imp!$C$764))</f>
        <v/>
      </c>
    </row>
    <row r="763">
      <c r="A763" s="47">
        <f>IF(_imp!$C$765="","",INDEX(_imp!$D$4:$D$1503,_imp!$C$765))</f>
        <v/>
      </c>
      <c r="B763" s="47">
        <f>IF(_imp!$C$765="","",INDEX(_imp!$E$4:$E$1503,_imp!$C$765))</f>
        <v/>
      </c>
      <c r="C763" s="47">
        <f>IF(_imp!$C$765="","",INDEX(_imp!$F$4:$F$1503,_imp!$C$765))</f>
        <v/>
      </c>
      <c r="E763" s="47">
        <f>IF(_imp!$C$765="","",INDEX(_imp!$G$4:$G$1503,_imp!$C$765))</f>
        <v/>
      </c>
      <c r="F763" s="47">
        <f>IF(_imp!$C$765="","",INDEX(_imp!$H$4:$H$1503,_imp!$C$765))</f>
        <v/>
      </c>
      <c r="G763" s="47">
        <f>IF(_imp!$C$765="","",INDEX(_imp!$I$4:$I$1503,_imp!$C$765))</f>
        <v/>
      </c>
      <c r="K763" s="47">
        <f>IF(_imp!$C$765="","",INDEX(_imp!$J$4:$J$1503,_imp!$C$765))</f>
        <v/>
      </c>
    </row>
    <row r="764">
      <c r="A764" s="47">
        <f>IF(_imp!$C$766="","",INDEX(_imp!$D$4:$D$1503,_imp!$C$766))</f>
        <v/>
      </c>
      <c r="B764" s="47">
        <f>IF(_imp!$C$766="","",INDEX(_imp!$E$4:$E$1503,_imp!$C$766))</f>
        <v/>
      </c>
      <c r="C764" s="47">
        <f>IF(_imp!$C$766="","",INDEX(_imp!$F$4:$F$1503,_imp!$C$766))</f>
        <v/>
      </c>
      <c r="E764" s="47">
        <f>IF(_imp!$C$766="","",INDEX(_imp!$G$4:$G$1503,_imp!$C$766))</f>
        <v/>
      </c>
      <c r="F764" s="47">
        <f>IF(_imp!$C$766="","",INDEX(_imp!$H$4:$H$1503,_imp!$C$766))</f>
        <v/>
      </c>
      <c r="G764" s="47">
        <f>IF(_imp!$C$766="","",INDEX(_imp!$I$4:$I$1503,_imp!$C$766))</f>
        <v/>
      </c>
      <c r="K764" s="47">
        <f>IF(_imp!$C$766="","",INDEX(_imp!$J$4:$J$1503,_imp!$C$766))</f>
        <v/>
      </c>
    </row>
    <row r="765">
      <c r="A765" s="47">
        <f>IF(_imp!$C$767="","",INDEX(_imp!$D$4:$D$1503,_imp!$C$767))</f>
        <v/>
      </c>
      <c r="B765" s="47">
        <f>IF(_imp!$C$767="","",INDEX(_imp!$E$4:$E$1503,_imp!$C$767))</f>
        <v/>
      </c>
      <c r="C765" s="47">
        <f>IF(_imp!$C$767="","",INDEX(_imp!$F$4:$F$1503,_imp!$C$767))</f>
        <v/>
      </c>
      <c r="E765" s="47">
        <f>IF(_imp!$C$767="","",INDEX(_imp!$G$4:$G$1503,_imp!$C$767))</f>
        <v/>
      </c>
      <c r="F765" s="47">
        <f>IF(_imp!$C$767="","",INDEX(_imp!$H$4:$H$1503,_imp!$C$767))</f>
        <v/>
      </c>
      <c r="G765" s="47">
        <f>IF(_imp!$C$767="","",INDEX(_imp!$I$4:$I$1503,_imp!$C$767))</f>
        <v/>
      </c>
      <c r="K765" s="47">
        <f>IF(_imp!$C$767="","",INDEX(_imp!$J$4:$J$1503,_imp!$C$767))</f>
        <v/>
      </c>
    </row>
    <row r="766">
      <c r="A766" s="47">
        <f>IF(_imp!$C$768="","",INDEX(_imp!$D$4:$D$1503,_imp!$C$768))</f>
        <v/>
      </c>
      <c r="B766" s="47">
        <f>IF(_imp!$C$768="","",INDEX(_imp!$E$4:$E$1503,_imp!$C$768))</f>
        <v/>
      </c>
      <c r="C766" s="47">
        <f>IF(_imp!$C$768="","",INDEX(_imp!$F$4:$F$1503,_imp!$C$768))</f>
        <v/>
      </c>
      <c r="E766" s="47">
        <f>IF(_imp!$C$768="","",INDEX(_imp!$G$4:$G$1503,_imp!$C$768))</f>
        <v/>
      </c>
      <c r="F766" s="47">
        <f>IF(_imp!$C$768="","",INDEX(_imp!$H$4:$H$1503,_imp!$C$768))</f>
        <v/>
      </c>
      <c r="G766" s="47">
        <f>IF(_imp!$C$768="","",INDEX(_imp!$I$4:$I$1503,_imp!$C$768))</f>
        <v/>
      </c>
      <c r="K766" s="47">
        <f>IF(_imp!$C$768="","",INDEX(_imp!$J$4:$J$1503,_imp!$C$768))</f>
        <v/>
      </c>
    </row>
    <row r="767">
      <c r="A767" s="47">
        <f>IF(_imp!$C$769="","",INDEX(_imp!$D$4:$D$1503,_imp!$C$769))</f>
        <v/>
      </c>
      <c r="B767" s="47">
        <f>IF(_imp!$C$769="","",INDEX(_imp!$E$4:$E$1503,_imp!$C$769))</f>
        <v/>
      </c>
      <c r="C767" s="47">
        <f>IF(_imp!$C$769="","",INDEX(_imp!$F$4:$F$1503,_imp!$C$769))</f>
        <v/>
      </c>
      <c r="E767" s="47">
        <f>IF(_imp!$C$769="","",INDEX(_imp!$G$4:$G$1503,_imp!$C$769))</f>
        <v/>
      </c>
      <c r="F767" s="47">
        <f>IF(_imp!$C$769="","",INDEX(_imp!$H$4:$H$1503,_imp!$C$769))</f>
        <v/>
      </c>
      <c r="G767" s="47">
        <f>IF(_imp!$C$769="","",INDEX(_imp!$I$4:$I$1503,_imp!$C$769))</f>
        <v/>
      </c>
      <c r="K767" s="47">
        <f>IF(_imp!$C$769="","",INDEX(_imp!$J$4:$J$1503,_imp!$C$769))</f>
        <v/>
      </c>
    </row>
    <row r="768">
      <c r="A768" s="47">
        <f>IF(_imp!$C$770="","",INDEX(_imp!$D$4:$D$1503,_imp!$C$770))</f>
        <v/>
      </c>
      <c r="B768" s="47">
        <f>IF(_imp!$C$770="","",INDEX(_imp!$E$4:$E$1503,_imp!$C$770))</f>
        <v/>
      </c>
      <c r="C768" s="47">
        <f>IF(_imp!$C$770="","",INDEX(_imp!$F$4:$F$1503,_imp!$C$770))</f>
        <v/>
      </c>
      <c r="E768" s="47">
        <f>IF(_imp!$C$770="","",INDEX(_imp!$G$4:$G$1503,_imp!$C$770))</f>
        <v/>
      </c>
      <c r="F768" s="47">
        <f>IF(_imp!$C$770="","",INDEX(_imp!$H$4:$H$1503,_imp!$C$770))</f>
        <v/>
      </c>
      <c r="G768" s="47">
        <f>IF(_imp!$C$770="","",INDEX(_imp!$I$4:$I$1503,_imp!$C$770))</f>
        <v/>
      </c>
      <c r="K768" s="47">
        <f>IF(_imp!$C$770="","",INDEX(_imp!$J$4:$J$1503,_imp!$C$770))</f>
        <v/>
      </c>
    </row>
    <row r="769">
      <c r="A769" s="47">
        <f>IF(_imp!$C$771="","",INDEX(_imp!$D$4:$D$1503,_imp!$C$771))</f>
        <v/>
      </c>
      <c r="B769" s="47">
        <f>IF(_imp!$C$771="","",INDEX(_imp!$E$4:$E$1503,_imp!$C$771))</f>
        <v/>
      </c>
      <c r="C769" s="47">
        <f>IF(_imp!$C$771="","",INDEX(_imp!$F$4:$F$1503,_imp!$C$771))</f>
        <v/>
      </c>
      <c r="E769" s="47">
        <f>IF(_imp!$C$771="","",INDEX(_imp!$G$4:$G$1503,_imp!$C$771))</f>
        <v/>
      </c>
      <c r="F769" s="47">
        <f>IF(_imp!$C$771="","",INDEX(_imp!$H$4:$H$1503,_imp!$C$771))</f>
        <v/>
      </c>
      <c r="G769" s="47">
        <f>IF(_imp!$C$771="","",INDEX(_imp!$I$4:$I$1503,_imp!$C$771))</f>
        <v/>
      </c>
      <c r="K769" s="47">
        <f>IF(_imp!$C$771="","",INDEX(_imp!$J$4:$J$1503,_imp!$C$771))</f>
        <v/>
      </c>
    </row>
    <row r="770">
      <c r="A770" s="47">
        <f>IF(_imp!$C$772="","",INDEX(_imp!$D$4:$D$1503,_imp!$C$772))</f>
        <v/>
      </c>
      <c r="B770" s="47">
        <f>IF(_imp!$C$772="","",INDEX(_imp!$E$4:$E$1503,_imp!$C$772))</f>
        <v/>
      </c>
      <c r="C770" s="47">
        <f>IF(_imp!$C$772="","",INDEX(_imp!$F$4:$F$1503,_imp!$C$772))</f>
        <v/>
      </c>
      <c r="E770" s="47">
        <f>IF(_imp!$C$772="","",INDEX(_imp!$G$4:$G$1503,_imp!$C$772))</f>
        <v/>
      </c>
      <c r="F770" s="47">
        <f>IF(_imp!$C$772="","",INDEX(_imp!$H$4:$H$1503,_imp!$C$772))</f>
        <v/>
      </c>
      <c r="G770" s="47">
        <f>IF(_imp!$C$772="","",INDEX(_imp!$I$4:$I$1503,_imp!$C$772))</f>
        <v/>
      </c>
      <c r="K770" s="47">
        <f>IF(_imp!$C$772="","",INDEX(_imp!$J$4:$J$1503,_imp!$C$772))</f>
        <v/>
      </c>
    </row>
    <row r="771">
      <c r="A771" s="47">
        <f>IF(_imp!$C$773="","",INDEX(_imp!$D$4:$D$1503,_imp!$C$773))</f>
        <v/>
      </c>
      <c r="B771" s="47">
        <f>IF(_imp!$C$773="","",INDEX(_imp!$E$4:$E$1503,_imp!$C$773))</f>
        <v/>
      </c>
      <c r="C771" s="47">
        <f>IF(_imp!$C$773="","",INDEX(_imp!$F$4:$F$1503,_imp!$C$773))</f>
        <v/>
      </c>
      <c r="E771" s="47">
        <f>IF(_imp!$C$773="","",INDEX(_imp!$G$4:$G$1503,_imp!$C$773))</f>
        <v/>
      </c>
      <c r="F771" s="47">
        <f>IF(_imp!$C$773="","",INDEX(_imp!$H$4:$H$1503,_imp!$C$773))</f>
        <v/>
      </c>
      <c r="G771" s="47">
        <f>IF(_imp!$C$773="","",INDEX(_imp!$I$4:$I$1503,_imp!$C$773))</f>
        <v/>
      </c>
      <c r="K771" s="47">
        <f>IF(_imp!$C$773="","",INDEX(_imp!$J$4:$J$1503,_imp!$C$773))</f>
        <v/>
      </c>
    </row>
    <row r="772">
      <c r="A772" s="47">
        <f>IF(_imp!$C$774="","",INDEX(_imp!$D$4:$D$1503,_imp!$C$774))</f>
        <v/>
      </c>
      <c r="B772" s="47">
        <f>IF(_imp!$C$774="","",INDEX(_imp!$E$4:$E$1503,_imp!$C$774))</f>
        <v/>
      </c>
      <c r="C772" s="47">
        <f>IF(_imp!$C$774="","",INDEX(_imp!$F$4:$F$1503,_imp!$C$774))</f>
        <v/>
      </c>
      <c r="E772" s="47">
        <f>IF(_imp!$C$774="","",INDEX(_imp!$G$4:$G$1503,_imp!$C$774))</f>
        <v/>
      </c>
      <c r="F772" s="47">
        <f>IF(_imp!$C$774="","",INDEX(_imp!$H$4:$H$1503,_imp!$C$774))</f>
        <v/>
      </c>
      <c r="G772" s="47">
        <f>IF(_imp!$C$774="","",INDEX(_imp!$I$4:$I$1503,_imp!$C$774))</f>
        <v/>
      </c>
      <c r="K772" s="47">
        <f>IF(_imp!$C$774="","",INDEX(_imp!$J$4:$J$1503,_imp!$C$774))</f>
        <v/>
      </c>
    </row>
    <row r="773">
      <c r="A773" s="47">
        <f>IF(_imp!$C$775="","",INDEX(_imp!$D$4:$D$1503,_imp!$C$775))</f>
        <v/>
      </c>
      <c r="B773" s="47">
        <f>IF(_imp!$C$775="","",INDEX(_imp!$E$4:$E$1503,_imp!$C$775))</f>
        <v/>
      </c>
      <c r="C773" s="47">
        <f>IF(_imp!$C$775="","",INDEX(_imp!$F$4:$F$1503,_imp!$C$775))</f>
        <v/>
      </c>
      <c r="E773" s="47">
        <f>IF(_imp!$C$775="","",INDEX(_imp!$G$4:$G$1503,_imp!$C$775))</f>
        <v/>
      </c>
      <c r="F773" s="47">
        <f>IF(_imp!$C$775="","",INDEX(_imp!$H$4:$H$1503,_imp!$C$775))</f>
        <v/>
      </c>
      <c r="G773" s="47">
        <f>IF(_imp!$C$775="","",INDEX(_imp!$I$4:$I$1503,_imp!$C$775))</f>
        <v/>
      </c>
      <c r="K773" s="47">
        <f>IF(_imp!$C$775="","",INDEX(_imp!$J$4:$J$1503,_imp!$C$775))</f>
        <v/>
      </c>
    </row>
    <row r="774">
      <c r="A774" s="47">
        <f>IF(_imp!$C$776="","",INDEX(_imp!$D$4:$D$1503,_imp!$C$776))</f>
        <v/>
      </c>
      <c r="B774" s="47">
        <f>IF(_imp!$C$776="","",INDEX(_imp!$E$4:$E$1503,_imp!$C$776))</f>
        <v/>
      </c>
      <c r="C774" s="47">
        <f>IF(_imp!$C$776="","",INDEX(_imp!$F$4:$F$1503,_imp!$C$776))</f>
        <v/>
      </c>
      <c r="E774" s="47">
        <f>IF(_imp!$C$776="","",INDEX(_imp!$G$4:$G$1503,_imp!$C$776))</f>
        <v/>
      </c>
      <c r="F774" s="47">
        <f>IF(_imp!$C$776="","",INDEX(_imp!$H$4:$H$1503,_imp!$C$776))</f>
        <v/>
      </c>
      <c r="G774" s="47">
        <f>IF(_imp!$C$776="","",INDEX(_imp!$I$4:$I$1503,_imp!$C$776))</f>
        <v/>
      </c>
      <c r="K774" s="47">
        <f>IF(_imp!$C$776="","",INDEX(_imp!$J$4:$J$1503,_imp!$C$776))</f>
        <v/>
      </c>
    </row>
    <row r="775">
      <c r="A775" s="47">
        <f>IF(_imp!$C$777="","",INDEX(_imp!$D$4:$D$1503,_imp!$C$777))</f>
        <v/>
      </c>
      <c r="B775" s="47">
        <f>IF(_imp!$C$777="","",INDEX(_imp!$E$4:$E$1503,_imp!$C$777))</f>
        <v/>
      </c>
      <c r="C775" s="47">
        <f>IF(_imp!$C$777="","",INDEX(_imp!$F$4:$F$1503,_imp!$C$777))</f>
        <v/>
      </c>
      <c r="E775" s="47">
        <f>IF(_imp!$C$777="","",INDEX(_imp!$G$4:$G$1503,_imp!$C$777))</f>
        <v/>
      </c>
      <c r="F775" s="47">
        <f>IF(_imp!$C$777="","",INDEX(_imp!$H$4:$H$1503,_imp!$C$777))</f>
        <v/>
      </c>
      <c r="G775" s="47">
        <f>IF(_imp!$C$777="","",INDEX(_imp!$I$4:$I$1503,_imp!$C$777))</f>
        <v/>
      </c>
      <c r="K775" s="47">
        <f>IF(_imp!$C$777="","",INDEX(_imp!$J$4:$J$1503,_imp!$C$777))</f>
        <v/>
      </c>
    </row>
    <row r="776">
      <c r="A776" s="47">
        <f>IF(_imp!$C$778="","",INDEX(_imp!$D$4:$D$1503,_imp!$C$778))</f>
        <v/>
      </c>
      <c r="B776" s="47">
        <f>IF(_imp!$C$778="","",INDEX(_imp!$E$4:$E$1503,_imp!$C$778))</f>
        <v/>
      </c>
      <c r="C776" s="47">
        <f>IF(_imp!$C$778="","",INDEX(_imp!$F$4:$F$1503,_imp!$C$778))</f>
        <v/>
      </c>
      <c r="E776" s="47">
        <f>IF(_imp!$C$778="","",INDEX(_imp!$G$4:$G$1503,_imp!$C$778))</f>
        <v/>
      </c>
      <c r="F776" s="47">
        <f>IF(_imp!$C$778="","",INDEX(_imp!$H$4:$H$1503,_imp!$C$778))</f>
        <v/>
      </c>
      <c r="G776" s="47">
        <f>IF(_imp!$C$778="","",INDEX(_imp!$I$4:$I$1503,_imp!$C$778))</f>
        <v/>
      </c>
      <c r="K776" s="47">
        <f>IF(_imp!$C$778="","",INDEX(_imp!$J$4:$J$1503,_imp!$C$778))</f>
        <v/>
      </c>
    </row>
    <row r="777">
      <c r="A777" s="47">
        <f>IF(_imp!$C$779="","",INDEX(_imp!$D$4:$D$1503,_imp!$C$779))</f>
        <v/>
      </c>
      <c r="B777" s="47">
        <f>IF(_imp!$C$779="","",INDEX(_imp!$E$4:$E$1503,_imp!$C$779))</f>
        <v/>
      </c>
      <c r="C777" s="47">
        <f>IF(_imp!$C$779="","",INDEX(_imp!$F$4:$F$1503,_imp!$C$779))</f>
        <v/>
      </c>
      <c r="E777" s="47">
        <f>IF(_imp!$C$779="","",INDEX(_imp!$G$4:$G$1503,_imp!$C$779))</f>
        <v/>
      </c>
      <c r="F777" s="47">
        <f>IF(_imp!$C$779="","",INDEX(_imp!$H$4:$H$1503,_imp!$C$779))</f>
        <v/>
      </c>
      <c r="G777" s="47">
        <f>IF(_imp!$C$779="","",INDEX(_imp!$I$4:$I$1503,_imp!$C$779))</f>
        <v/>
      </c>
      <c r="K777" s="47">
        <f>IF(_imp!$C$779="","",INDEX(_imp!$J$4:$J$1503,_imp!$C$779))</f>
        <v/>
      </c>
    </row>
    <row r="778">
      <c r="A778" s="47">
        <f>IF(_imp!$C$780="","",INDEX(_imp!$D$4:$D$1503,_imp!$C$780))</f>
        <v/>
      </c>
      <c r="B778" s="47">
        <f>IF(_imp!$C$780="","",INDEX(_imp!$E$4:$E$1503,_imp!$C$780))</f>
        <v/>
      </c>
      <c r="C778" s="47">
        <f>IF(_imp!$C$780="","",INDEX(_imp!$F$4:$F$1503,_imp!$C$780))</f>
        <v/>
      </c>
      <c r="E778" s="47">
        <f>IF(_imp!$C$780="","",INDEX(_imp!$G$4:$G$1503,_imp!$C$780))</f>
        <v/>
      </c>
      <c r="F778" s="47">
        <f>IF(_imp!$C$780="","",INDEX(_imp!$H$4:$H$1503,_imp!$C$780))</f>
        <v/>
      </c>
      <c r="G778" s="47">
        <f>IF(_imp!$C$780="","",INDEX(_imp!$I$4:$I$1503,_imp!$C$780))</f>
        <v/>
      </c>
      <c r="K778" s="47">
        <f>IF(_imp!$C$780="","",INDEX(_imp!$J$4:$J$1503,_imp!$C$780))</f>
        <v/>
      </c>
    </row>
    <row r="779">
      <c r="A779" s="47">
        <f>IF(_imp!$C$781="","",INDEX(_imp!$D$4:$D$1503,_imp!$C$781))</f>
        <v/>
      </c>
      <c r="B779" s="47">
        <f>IF(_imp!$C$781="","",INDEX(_imp!$E$4:$E$1503,_imp!$C$781))</f>
        <v/>
      </c>
      <c r="C779" s="47">
        <f>IF(_imp!$C$781="","",INDEX(_imp!$F$4:$F$1503,_imp!$C$781))</f>
        <v/>
      </c>
      <c r="E779" s="47">
        <f>IF(_imp!$C$781="","",INDEX(_imp!$G$4:$G$1503,_imp!$C$781))</f>
        <v/>
      </c>
      <c r="F779" s="47">
        <f>IF(_imp!$C$781="","",INDEX(_imp!$H$4:$H$1503,_imp!$C$781))</f>
        <v/>
      </c>
      <c r="G779" s="47">
        <f>IF(_imp!$C$781="","",INDEX(_imp!$I$4:$I$1503,_imp!$C$781))</f>
        <v/>
      </c>
      <c r="K779" s="47">
        <f>IF(_imp!$C$781="","",INDEX(_imp!$J$4:$J$1503,_imp!$C$781))</f>
        <v/>
      </c>
    </row>
    <row r="780">
      <c r="A780" s="47">
        <f>IF(_imp!$C$782="","",INDEX(_imp!$D$4:$D$1503,_imp!$C$782))</f>
        <v/>
      </c>
      <c r="B780" s="47">
        <f>IF(_imp!$C$782="","",INDEX(_imp!$E$4:$E$1503,_imp!$C$782))</f>
        <v/>
      </c>
      <c r="C780" s="47">
        <f>IF(_imp!$C$782="","",INDEX(_imp!$F$4:$F$1503,_imp!$C$782))</f>
        <v/>
      </c>
      <c r="E780" s="47">
        <f>IF(_imp!$C$782="","",INDEX(_imp!$G$4:$G$1503,_imp!$C$782))</f>
        <v/>
      </c>
      <c r="F780" s="47">
        <f>IF(_imp!$C$782="","",INDEX(_imp!$H$4:$H$1503,_imp!$C$782))</f>
        <v/>
      </c>
      <c r="G780" s="47">
        <f>IF(_imp!$C$782="","",INDEX(_imp!$I$4:$I$1503,_imp!$C$782))</f>
        <v/>
      </c>
      <c r="K780" s="47">
        <f>IF(_imp!$C$782="","",INDEX(_imp!$J$4:$J$1503,_imp!$C$782))</f>
        <v/>
      </c>
    </row>
    <row r="781">
      <c r="A781" s="47">
        <f>IF(_imp!$C$783="","",INDEX(_imp!$D$4:$D$1503,_imp!$C$783))</f>
        <v/>
      </c>
      <c r="B781" s="47">
        <f>IF(_imp!$C$783="","",INDEX(_imp!$E$4:$E$1503,_imp!$C$783))</f>
        <v/>
      </c>
      <c r="C781" s="47">
        <f>IF(_imp!$C$783="","",INDEX(_imp!$F$4:$F$1503,_imp!$C$783))</f>
        <v/>
      </c>
      <c r="E781" s="47">
        <f>IF(_imp!$C$783="","",INDEX(_imp!$G$4:$G$1503,_imp!$C$783))</f>
        <v/>
      </c>
      <c r="F781" s="47">
        <f>IF(_imp!$C$783="","",INDEX(_imp!$H$4:$H$1503,_imp!$C$783))</f>
        <v/>
      </c>
      <c r="G781" s="47">
        <f>IF(_imp!$C$783="","",INDEX(_imp!$I$4:$I$1503,_imp!$C$783))</f>
        <v/>
      </c>
      <c r="K781" s="47">
        <f>IF(_imp!$C$783="","",INDEX(_imp!$J$4:$J$1503,_imp!$C$783))</f>
        <v/>
      </c>
    </row>
    <row r="782">
      <c r="A782" s="47">
        <f>IF(_imp!$C$784="","",INDEX(_imp!$D$4:$D$1503,_imp!$C$784))</f>
        <v/>
      </c>
      <c r="B782" s="47">
        <f>IF(_imp!$C$784="","",INDEX(_imp!$E$4:$E$1503,_imp!$C$784))</f>
        <v/>
      </c>
      <c r="C782" s="47">
        <f>IF(_imp!$C$784="","",INDEX(_imp!$F$4:$F$1503,_imp!$C$784))</f>
        <v/>
      </c>
      <c r="E782" s="47">
        <f>IF(_imp!$C$784="","",INDEX(_imp!$G$4:$G$1503,_imp!$C$784))</f>
        <v/>
      </c>
      <c r="F782" s="47">
        <f>IF(_imp!$C$784="","",INDEX(_imp!$H$4:$H$1503,_imp!$C$784))</f>
        <v/>
      </c>
      <c r="G782" s="47">
        <f>IF(_imp!$C$784="","",INDEX(_imp!$I$4:$I$1503,_imp!$C$784))</f>
        <v/>
      </c>
      <c r="K782" s="47">
        <f>IF(_imp!$C$784="","",INDEX(_imp!$J$4:$J$1503,_imp!$C$784))</f>
        <v/>
      </c>
    </row>
    <row r="783">
      <c r="A783" s="47">
        <f>IF(_imp!$C$785="","",INDEX(_imp!$D$4:$D$1503,_imp!$C$785))</f>
        <v/>
      </c>
      <c r="B783" s="47">
        <f>IF(_imp!$C$785="","",INDEX(_imp!$E$4:$E$1503,_imp!$C$785))</f>
        <v/>
      </c>
      <c r="C783" s="47">
        <f>IF(_imp!$C$785="","",INDEX(_imp!$F$4:$F$1503,_imp!$C$785))</f>
        <v/>
      </c>
      <c r="E783" s="47">
        <f>IF(_imp!$C$785="","",INDEX(_imp!$G$4:$G$1503,_imp!$C$785))</f>
        <v/>
      </c>
      <c r="F783" s="47">
        <f>IF(_imp!$C$785="","",INDEX(_imp!$H$4:$H$1503,_imp!$C$785))</f>
        <v/>
      </c>
      <c r="G783" s="47">
        <f>IF(_imp!$C$785="","",INDEX(_imp!$I$4:$I$1503,_imp!$C$785))</f>
        <v/>
      </c>
      <c r="K783" s="47">
        <f>IF(_imp!$C$785="","",INDEX(_imp!$J$4:$J$1503,_imp!$C$785))</f>
        <v/>
      </c>
    </row>
    <row r="784">
      <c r="A784" s="47">
        <f>IF(_imp!$C$786="","",INDEX(_imp!$D$4:$D$1503,_imp!$C$786))</f>
        <v/>
      </c>
      <c r="B784" s="47">
        <f>IF(_imp!$C$786="","",INDEX(_imp!$E$4:$E$1503,_imp!$C$786))</f>
        <v/>
      </c>
      <c r="C784" s="47">
        <f>IF(_imp!$C$786="","",INDEX(_imp!$F$4:$F$1503,_imp!$C$786))</f>
        <v/>
      </c>
      <c r="E784" s="47">
        <f>IF(_imp!$C$786="","",INDEX(_imp!$G$4:$G$1503,_imp!$C$786))</f>
        <v/>
      </c>
      <c r="F784" s="47">
        <f>IF(_imp!$C$786="","",INDEX(_imp!$H$4:$H$1503,_imp!$C$786))</f>
        <v/>
      </c>
      <c r="G784" s="47">
        <f>IF(_imp!$C$786="","",INDEX(_imp!$I$4:$I$1503,_imp!$C$786))</f>
        <v/>
      </c>
      <c r="K784" s="47">
        <f>IF(_imp!$C$786="","",INDEX(_imp!$J$4:$J$1503,_imp!$C$786))</f>
        <v/>
      </c>
    </row>
    <row r="785">
      <c r="A785" s="47">
        <f>IF(_imp!$C$787="","",INDEX(_imp!$D$4:$D$1503,_imp!$C$787))</f>
        <v/>
      </c>
      <c r="B785" s="47">
        <f>IF(_imp!$C$787="","",INDEX(_imp!$E$4:$E$1503,_imp!$C$787))</f>
        <v/>
      </c>
      <c r="C785" s="47">
        <f>IF(_imp!$C$787="","",INDEX(_imp!$F$4:$F$1503,_imp!$C$787))</f>
        <v/>
      </c>
      <c r="E785" s="47">
        <f>IF(_imp!$C$787="","",INDEX(_imp!$G$4:$G$1503,_imp!$C$787))</f>
        <v/>
      </c>
      <c r="F785" s="47">
        <f>IF(_imp!$C$787="","",INDEX(_imp!$H$4:$H$1503,_imp!$C$787))</f>
        <v/>
      </c>
      <c r="G785" s="47">
        <f>IF(_imp!$C$787="","",INDEX(_imp!$I$4:$I$1503,_imp!$C$787))</f>
        <v/>
      </c>
      <c r="K785" s="47">
        <f>IF(_imp!$C$787="","",INDEX(_imp!$J$4:$J$1503,_imp!$C$787))</f>
        <v/>
      </c>
    </row>
    <row r="786">
      <c r="A786" s="47">
        <f>IF(_imp!$C$788="","",INDEX(_imp!$D$4:$D$1503,_imp!$C$788))</f>
        <v/>
      </c>
      <c r="B786" s="47">
        <f>IF(_imp!$C$788="","",INDEX(_imp!$E$4:$E$1503,_imp!$C$788))</f>
        <v/>
      </c>
      <c r="C786" s="47">
        <f>IF(_imp!$C$788="","",INDEX(_imp!$F$4:$F$1503,_imp!$C$788))</f>
        <v/>
      </c>
      <c r="E786" s="47">
        <f>IF(_imp!$C$788="","",INDEX(_imp!$G$4:$G$1503,_imp!$C$788))</f>
        <v/>
      </c>
      <c r="F786" s="47">
        <f>IF(_imp!$C$788="","",INDEX(_imp!$H$4:$H$1503,_imp!$C$788))</f>
        <v/>
      </c>
      <c r="G786" s="47">
        <f>IF(_imp!$C$788="","",INDEX(_imp!$I$4:$I$1503,_imp!$C$788))</f>
        <v/>
      </c>
      <c r="K786" s="47">
        <f>IF(_imp!$C$788="","",INDEX(_imp!$J$4:$J$1503,_imp!$C$788))</f>
        <v/>
      </c>
    </row>
    <row r="787">
      <c r="A787" s="47">
        <f>IF(_imp!$C$789="","",INDEX(_imp!$D$4:$D$1503,_imp!$C$789))</f>
        <v/>
      </c>
      <c r="B787" s="47">
        <f>IF(_imp!$C$789="","",INDEX(_imp!$E$4:$E$1503,_imp!$C$789))</f>
        <v/>
      </c>
      <c r="C787" s="47">
        <f>IF(_imp!$C$789="","",INDEX(_imp!$F$4:$F$1503,_imp!$C$789))</f>
        <v/>
      </c>
      <c r="E787" s="47">
        <f>IF(_imp!$C$789="","",INDEX(_imp!$G$4:$G$1503,_imp!$C$789))</f>
        <v/>
      </c>
      <c r="F787" s="47">
        <f>IF(_imp!$C$789="","",INDEX(_imp!$H$4:$H$1503,_imp!$C$789))</f>
        <v/>
      </c>
      <c r="G787" s="47">
        <f>IF(_imp!$C$789="","",INDEX(_imp!$I$4:$I$1503,_imp!$C$789))</f>
        <v/>
      </c>
      <c r="K787" s="47">
        <f>IF(_imp!$C$789="","",INDEX(_imp!$J$4:$J$1503,_imp!$C$789))</f>
        <v/>
      </c>
    </row>
    <row r="788">
      <c r="A788" s="47">
        <f>IF(_imp!$C$790="","",INDEX(_imp!$D$4:$D$1503,_imp!$C$790))</f>
        <v/>
      </c>
      <c r="B788" s="47">
        <f>IF(_imp!$C$790="","",INDEX(_imp!$E$4:$E$1503,_imp!$C$790))</f>
        <v/>
      </c>
      <c r="C788" s="47">
        <f>IF(_imp!$C$790="","",INDEX(_imp!$F$4:$F$1503,_imp!$C$790))</f>
        <v/>
      </c>
      <c r="E788" s="47">
        <f>IF(_imp!$C$790="","",INDEX(_imp!$G$4:$G$1503,_imp!$C$790))</f>
        <v/>
      </c>
      <c r="F788" s="47">
        <f>IF(_imp!$C$790="","",INDEX(_imp!$H$4:$H$1503,_imp!$C$790))</f>
        <v/>
      </c>
      <c r="G788" s="47">
        <f>IF(_imp!$C$790="","",INDEX(_imp!$I$4:$I$1503,_imp!$C$790))</f>
        <v/>
      </c>
      <c r="K788" s="47">
        <f>IF(_imp!$C$790="","",INDEX(_imp!$J$4:$J$1503,_imp!$C$790))</f>
        <v/>
      </c>
    </row>
    <row r="789">
      <c r="A789" s="47">
        <f>IF(_imp!$C$791="","",INDEX(_imp!$D$4:$D$1503,_imp!$C$791))</f>
        <v/>
      </c>
      <c r="B789" s="47">
        <f>IF(_imp!$C$791="","",INDEX(_imp!$E$4:$E$1503,_imp!$C$791))</f>
        <v/>
      </c>
      <c r="C789" s="47">
        <f>IF(_imp!$C$791="","",INDEX(_imp!$F$4:$F$1503,_imp!$C$791))</f>
        <v/>
      </c>
      <c r="E789" s="47">
        <f>IF(_imp!$C$791="","",INDEX(_imp!$G$4:$G$1503,_imp!$C$791))</f>
        <v/>
      </c>
      <c r="F789" s="47">
        <f>IF(_imp!$C$791="","",INDEX(_imp!$H$4:$H$1503,_imp!$C$791))</f>
        <v/>
      </c>
      <c r="G789" s="47">
        <f>IF(_imp!$C$791="","",INDEX(_imp!$I$4:$I$1503,_imp!$C$791))</f>
        <v/>
      </c>
      <c r="K789" s="47">
        <f>IF(_imp!$C$791="","",INDEX(_imp!$J$4:$J$1503,_imp!$C$791))</f>
        <v/>
      </c>
    </row>
    <row r="790">
      <c r="A790" s="47">
        <f>IF(_imp!$C$792="","",INDEX(_imp!$D$4:$D$1503,_imp!$C$792))</f>
        <v/>
      </c>
      <c r="B790" s="47">
        <f>IF(_imp!$C$792="","",INDEX(_imp!$E$4:$E$1503,_imp!$C$792))</f>
        <v/>
      </c>
      <c r="C790" s="47">
        <f>IF(_imp!$C$792="","",INDEX(_imp!$F$4:$F$1503,_imp!$C$792))</f>
        <v/>
      </c>
      <c r="E790" s="47">
        <f>IF(_imp!$C$792="","",INDEX(_imp!$G$4:$G$1503,_imp!$C$792))</f>
        <v/>
      </c>
      <c r="F790" s="47">
        <f>IF(_imp!$C$792="","",INDEX(_imp!$H$4:$H$1503,_imp!$C$792))</f>
        <v/>
      </c>
      <c r="G790" s="47">
        <f>IF(_imp!$C$792="","",INDEX(_imp!$I$4:$I$1503,_imp!$C$792))</f>
        <v/>
      </c>
      <c r="K790" s="47">
        <f>IF(_imp!$C$792="","",INDEX(_imp!$J$4:$J$1503,_imp!$C$792))</f>
        <v/>
      </c>
    </row>
    <row r="791">
      <c r="A791" s="47">
        <f>IF(_imp!$C$793="","",INDEX(_imp!$D$4:$D$1503,_imp!$C$793))</f>
        <v/>
      </c>
      <c r="B791" s="47">
        <f>IF(_imp!$C$793="","",INDEX(_imp!$E$4:$E$1503,_imp!$C$793))</f>
        <v/>
      </c>
      <c r="C791" s="47">
        <f>IF(_imp!$C$793="","",INDEX(_imp!$F$4:$F$1503,_imp!$C$793))</f>
        <v/>
      </c>
      <c r="E791" s="47">
        <f>IF(_imp!$C$793="","",INDEX(_imp!$G$4:$G$1503,_imp!$C$793))</f>
        <v/>
      </c>
      <c r="F791" s="47">
        <f>IF(_imp!$C$793="","",INDEX(_imp!$H$4:$H$1503,_imp!$C$793))</f>
        <v/>
      </c>
      <c r="G791" s="47">
        <f>IF(_imp!$C$793="","",INDEX(_imp!$I$4:$I$1503,_imp!$C$793))</f>
        <v/>
      </c>
      <c r="K791" s="47">
        <f>IF(_imp!$C$793="","",INDEX(_imp!$J$4:$J$1503,_imp!$C$793))</f>
        <v/>
      </c>
    </row>
    <row r="792">
      <c r="A792" s="47">
        <f>IF(_imp!$C$794="","",INDEX(_imp!$D$4:$D$1503,_imp!$C$794))</f>
        <v/>
      </c>
      <c r="B792" s="47">
        <f>IF(_imp!$C$794="","",INDEX(_imp!$E$4:$E$1503,_imp!$C$794))</f>
        <v/>
      </c>
      <c r="C792" s="47">
        <f>IF(_imp!$C$794="","",INDEX(_imp!$F$4:$F$1503,_imp!$C$794))</f>
        <v/>
      </c>
      <c r="E792" s="47">
        <f>IF(_imp!$C$794="","",INDEX(_imp!$G$4:$G$1503,_imp!$C$794))</f>
        <v/>
      </c>
      <c r="F792" s="47">
        <f>IF(_imp!$C$794="","",INDEX(_imp!$H$4:$H$1503,_imp!$C$794))</f>
        <v/>
      </c>
      <c r="G792" s="47">
        <f>IF(_imp!$C$794="","",INDEX(_imp!$I$4:$I$1503,_imp!$C$794))</f>
        <v/>
      </c>
      <c r="K792" s="47">
        <f>IF(_imp!$C$794="","",INDEX(_imp!$J$4:$J$1503,_imp!$C$794))</f>
        <v/>
      </c>
    </row>
    <row r="793">
      <c r="A793" s="47">
        <f>IF(_imp!$C$795="","",INDEX(_imp!$D$4:$D$1503,_imp!$C$795))</f>
        <v/>
      </c>
      <c r="B793" s="47">
        <f>IF(_imp!$C$795="","",INDEX(_imp!$E$4:$E$1503,_imp!$C$795))</f>
        <v/>
      </c>
      <c r="C793" s="47">
        <f>IF(_imp!$C$795="","",INDEX(_imp!$F$4:$F$1503,_imp!$C$795))</f>
        <v/>
      </c>
      <c r="E793" s="47">
        <f>IF(_imp!$C$795="","",INDEX(_imp!$G$4:$G$1503,_imp!$C$795))</f>
        <v/>
      </c>
      <c r="F793" s="47">
        <f>IF(_imp!$C$795="","",INDEX(_imp!$H$4:$H$1503,_imp!$C$795))</f>
        <v/>
      </c>
      <c r="G793" s="47">
        <f>IF(_imp!$C$795="","",INDEX(_imp!$I$4:$I$1503,_imp!$C$795))</f>
        <v/>
      </c>
      <c r="K793" s="47">
        <f>IF(_imp!$C$795="","",INDEX(_imp!$J$4:$J$1503,_imp!$C$795))</f>
        <v/>
      </c>
    </row>
    <row r="794">
      <c r="A794" s="47">
        <f>IF(_imp!$C$796="","",INDEX(_imp!$D$4:$D$1503,_imp!$C$796))</f>
        <v/>
      </c>
      <c r="B794" s="47">
        <f>IF(_imp!$C$796="","",INDEX(_imp!$E$4:$E$1503,_imp!$C$796))</f>
        <v/>
      </c>
      <c r="C794" s="47">
        <f>IF(_imp!$C$796="","",INDEX(_imp!$F$4:$F$1503,_imp!$C$796))</f>
        <v/>
      </c>
      <c r="E794" s="47">
        <f>IF(_imp!$C$796="","",INDEX(_imp!$G$4:$G$1503,_imp!$C$796))</f>
        <v/>
      </c>
      <c r="F794" s="47">
        <f>IF(_imp!$C$796="","",INDEX(_imp!$H$4:$H$1503,_imp!$C$796))</f>
        <v/>
      </c>
      <c r="G794" s="47">
        <f>IF(_imp!$C$796="","",INDEX(_imp!$I$4:$I$1503,_imp!$C$796))</f>
        <v/>
      </c>
      <c r="K794" s="47">
        <f>IF(_imp!$C$796="","",INDEX(_imp!$J$4:$J$1503,_imp!$C$796))</f>
        <v/>
      </c>
    </row>
    <row r="795">
      <c r="A795" s="47">
        <f>IF(_imp!$C$797="","",INDEX(_imp!$D$4:$D$1503,_imp!$C$797))</f>
        <v/>
      </c>
      <c r="B795" s="47">
        <f>IF(_imp!$C$797="","",INDEX(_imp!$E$4:$E$1503,_imp!$C$797))</f>
        <v/>
      </c>
      <c r="C795" s="47">
        <f>IF(_imp!$C$797="","",INDEX(_imp!$F$4:$F$1503,_imp!$C$797))</f>
        <v/>
      </c>
      <c r="E795" s="47">
        <f>IF(_imp!$C$797="","",INDEX(_imp!$G$4:$G$1503,_imp!$C$797))</f>
        <v/>
      </c>
      <c r="F795" s="47">
        <f>IF(_imp!$C$797="","",INDEX(_imp!$H$4:$H$1503,_imp!$C$797))</f>
        <v/>
      </c>
      <c r="G795" s="47">
        <f>IF(_imp!$C$797="","",INDEX(_imp!$I$4:$I$1503,_imp!$C$797))</f>
        <v/>
      </c>
      <c r="K795" s="47">
        <f>IF(_imp!$C$797="","",INDEX(_imp!$J$4:$J$1503,_imp!$C$797))</f>
        <v/>
      </c>
    </row>
    <row r="796">
      <c r="A796" s="47">
        <f>IF(_imp!$C$798="","",INDEX(_imp!$D$4:$D$1503,_imp!$C$798))</f>
        <v/>
      </c>
      <c r="B796" s="47">
        <f>IF(_imp!$C$798="","",INDEX(_imp!$E$4:$E$1503,_imp!$C$798))</f>
        <v/>
      </c>
      <c r="C796" s="47">
        <f>IF(_imp!$C$798="","",INDEX(_imp!$F$4:$F$1503,_imp!$C$798))</f>
        <v/>
      </c>
      <c r="E796" s="47">
        <f>IF(_imp!$C$798="","",INDEX(_imp!$G$4:$G$1503,_imp!$C$798))</f>
        <v/>
      </c>
      <c r="F796" s="47">
        <f>IF(_imp!$C$798="","",INDEX(_imp!$H$4:$H$1503,_imp!$C$798))</f>
        <v/>
      </c>
      <c r="G796" s="47">
        <f>IF(_imp!$C$798="","",INDEX(_imp!$I$4:$I$1503,_imp!$C$798))</f>
        <v/>
      </c>
      <c r="K796" s="47">
        <f>IF(_imp!$C$798="","",INDEX(_imp!$J$4:$J$1503,_imp!$C$798))</f>
        <v/>
      </c>
    </row>
    <row r="797">
      <c r="A797" s="47">
        <f>IF(_imp!$C$799="","",INDEX(_imp!$D$4:$D$1503,_imp!$C$799))</f>
        <v/>
      </c>
      <c r="B797" s="47">
        <f>IF(_imp!$C$799="","",INDEX(_imp!$E$4:$E$1503,_imp!$C$799))</f>
        <v/>
      </c>
      <c r="C797" s="47">
        <f>IF(_imp!$C$799="","",INDEX(_imp!$F$4:$F$1503,_imp!$C$799))</f>
        <v/>
      </c>
      <c r="E797" s="47">
        <f>IF(_imp!$C$799="","",INDEX(_imp!$G$4:$G$1503,_imp!$C$799))</f>
        <v/>
      </c>
      <c r="F797" s="47">
        <f>IF(_imp!$C$799="","",INDEX(_imp!$H$4:$H$1503,_imp!$C$799))</f>
        <v/>
      </c>
      <c r="G797" s="47">
        <f>IF(_imp!$C$799="","",INDEX(_imp!$I$4:$I$1503,_imp!$C$799))</f>
        <v/>
      </c>
      <c r="K797" s="47">
        <f>IF(_imp!$C$799="","",INDEX(_imp!$J$4:$J$1503,_imp!$C$799))</f>
        <v/>
      </c>
    </row>
    <row r="798">
      <c r="A798" s="47">
        <f>IF(_imp!$C$800="","",INDEX(_imp!$D$4:$D$1503,_imp!$C$800))</f>
        <v/>
      </c>
      <c r="B798" s="47">
        <f>IF(_imp!$C$800="","",INDEX(_imp!$E$4:$E$1503,_imp!$C$800))</f>
        <v/>
      </c>
      <c r="C798" s="47">
        <f>IF(_imp!$C$800="","",INDEX(_imp!$F$4:$F$1503,_imp!$C$800))</f>
        <v/>
      </c>
      <c r="E798" s="47">
        <f>IF(_imp!$C$800="","",INDEX(_imp!$G$4:$G$1503,_imp!$C$800))</f>
        <v/>
      </c>
      <c r="F798" s="47">
        <f>IF(_imp!$C$800="","",INDEX(_imp!$H$4:$H$1503,_imp!$C$800))</f>
        <v/>
      </c>
      <c r="G798" s="47">
        <f>IF(_imp!$C$800="","",INDEX(_imp!$I$4:$I$1503,_imp!$C$800))</f>
        <v/>
      </c>
      <c r="K798" s="47">
        <f>IF(_imp!$C$800="","",INDEX(_imp!$J$4:$J$1503,_imp!$C$800))</f>
        <v/>
      </c>
    </row>
    <row r="799">
      <c r="A799" s="47">
        <f>IF(_imp!$C$801="","",INDEX(_imp!$D$4:$D$1503,_imp!$C$801))</f>
        <v/>
      </c>
      <c r="B799" s="47">
        <f>IF(_imp!$C$801="","",INDEX(_imp!$E$4:$E$1503,_imp!$C$801))</f>
        <v/>
      </c>
      <c r="C799" s="47">
        <f>IF(_imp!$C$801="","",INDEX(_imp!$F$4:$F$1503,_imp!$C$801))</f>
        <v/>
      </c>
      <c r="E799" s="47">
        <f>IF(_imp!$C$801="","",INDEX(_imp!$G$4:$G$1503,_imp!$C$801))</f>
        <v/>
      </c>
      <c r="F799" s="47">
        <f>IF(_imp!$C$801="","",INDEX(_imp!$H$4:$H$1503,_imp!$C$801))</f>
        <v/>
      </c>
      <c r="G799" s="47">
        <f>IF(_imp!$C$801="","",INDEX(_imp!$I$4:$I$1503,_imp!$C$801))</f>
        <v/>
      </c>
      <c r="K799" s="47">
        <f>IF(_imp!$C$801="","",INDEX(_imp!$J$4:$J$1503,_imp!$C$801))</f>
        <v/>
      </c>
    </row>
    <row r="800">
      <c r="A800" s="47">
        <f>IF(_imp!$C$802="","",INDEX(_imp!$D$4:$D$1503,_imp!$C$802))</f>
        <v/>
      </c>
      <c r="B800" s="47">
        <f>IF(_imp!$C$802="","",INDEX(_imp!$E$4:$E$1503,_imp!$C$802))</f>
        <v/>
      </c>
      <c r="C800" s="47">
        <f>IF(_imp!$C$802="","",INDEX(_imp!$F$4:$F$1503,_imp!$C$802))</f>
        <v/>
      </c>
      <c r="E800" s="47">
        <f>IF(_imp!$C$802="","",INDEX(_imp!$G$4:$G$1503,_imp!$C$802))</f>
        <v/>
      </c>
      <c r="F800" s="47">
        <f>IF(_imp!$C$802="","",INDEX(_imp!$H$4:$H$1503,_imp!$C$802))</f>
        <v/>
      </c>
      <c r="G800" s="47">
        <f>IF(_imp!$C$802="","",INDEX(_imp!$I$4:$I$1503,_imp!$C$802))</f>
        <v/>
      </c>
      <c r="K800" s="47">
        <f>IF(_imp!$C$802="","",INDEX(_imp!$J$4:$J$1503,_imp!$C$802))</f>
        <v/>
      </c>
    </row>
    <row r="801">
      <c r="A801" s="47">
        <f>IF(_imp!$C$803="","",INDEX(_imp!$D$4:$D$1503,_imp!$C$803))</f>
        <v/>
      </c>
      <c r="B801" s="47">
        <f>IF(_imp!$C$803="","",INDEX(_imp!$E$4:$E$1503,_imp!$C$803))</f>
        <v/>
      </c>
      <c r="C801" s="47">
        <f>IF(_imp!$C$803="","",INDEX(_imp!$F$4:$F$1503,_imp!$C$803))</f>
        <v/>
      </c>
      <c r="E801" s="47">
        <f>IF(_imp!$C$803="","",INDEX(_imp!$G$4:$G$1503,_imp!$C$803))</f>
        <v/>
      </c>
      <c r="F801" s="47">
        <f>IF(_imp!$C$803="","",INDEX(_imp!$H$4:$H$1503,_imp!$C$803))</f>
        <v/>
      </c>
      <c r="G801" s="47">
        <f>IF(_imp!$C$803="","",INDEX(_imp!$I$4:$I$1503,_imp!$C$803))</f>
        <v/>
      </c>
      <c r="K801" s="47">
        <f>IF(_imp!$C$803="","",INDEX(_imp!$J$4:$J$1503,_imp!$C$803))</f>
        <v/>
      </c>
    </row>
    <row r="802">
      <c r="A802" s="47">
        <f>IF(_imp!$C$804="","",INDEX(_imp!$D$4:$D$1503,_imp!$C$804))</f>
        <v/>
      </c>
      <c r="B802" s="47">
        <f>IF(_imp!$C$804="","",INDEX(_imp!$E$4:$E$1503,_imp!$C$804))</f>
        <v/>
      </c>
      <c r="C802" s="47">
        <f>IF(_imp!$C$804="","",INDEX(_imp!$F$4:$F$1503,_imp!$C$804))</f>
        <v/>
      </c>
      <c r="E802" s="47">
        <f>IF(_imp!$C$804="","",INDEX(_imp!$G$4:$G$1503,_imp!$C$804))</f>
        <v/>
      </c>
      <c r="F802" s="47">
        <f>IF(_imp!$C$804="","",INDEX(_imp!$H$4:$H$1503,_imp!$C$804))</f>
        <v/>
      </c>
      <c r="G802" s="47">
        <f>IF(_imp!$C$804="","",INDEX(_imp!$I$4:$I$1503,_imp!$C$804))</f>
        <v/>
      </c>
      <c r="K802" s="47">
        <f>IF(_imp!$C$804="","",INDEX(_imp!$J$4:$J$1503,_imp!$C$804))</f>
        <v/>
      </c>
    </row>
    <row r="803">
      <c r="A803" s="47">
        <f>IF(_imp!$C$805="","",INDEX(_imp!$D$4:$D$1503,_imp!$C$805))</f>
        <v/>
      </c>
      <c r="B803" s="47">
        <f>IF(_imp!$C$805="","",INDEX(_imp!$E$4:$E$1503,_imp!$C$805))</f>
        <v/>
      </c>
      <c r="C803" s="47">
        <f>IF(_imp!$C$805="","",INDEX(_imp!$F$4:$F$1503,_imp!$C$805))</f>
        <v/>
      </c>
      <c r="E803" s="47">
        <f>IF(_imp!$C$805="","",INDEX(_imp!$G$4:$G$1503,_imp!$C$805))</f>
        <v/>
      </c>
      <c r="F803" s="47">
        <f>IF(_imp!$C$805="","",INDEX(_imp!$H$4:$H$1503,_imp!$C$805))</f>
        <v/>
      </c>
      <c r="G803" s="47">
        <f>IF(_imp!$C$805="","",INDEX(_imp!$I$4:$I$1503,_imp!$C$805))</f>
        <v/>
      </c>
      <c r="K803" s="47">
        <f>IF(_imp!$C$805="","",INDEX(_imp!$J$4:$J$1503,_imp!$C$805))</f>
        <v/>
      </c>
    </row>
    <row r="804">
      <c r="A804" s="47">
        <f>IF(_imp!$C$806="","",INDEX(_imp!$D$4:$D$1503,_imp!$C$806))</f>
        <v/>
      </c>
      <c r="B804" s="47">
        <f>IF(_imp!$C$806="","",INDEX(_imp!$E$4:$E$1503,_imp!$C$806))</f>
        <v/>
      </c>
      <c r="C804" s="47">
        <f>IF(_imp!$C$806="","",INDEX(_imp!$F$4:$F$1503,_imp!$C$806))</f>
        <v/>
      </c>
      <c r="E804" s="47">
        <f>IF(_imp!$C$806="","",INDEX(_imp!$G$4:$G$1503,_imp!$C$806))</f>
        <v/>
      </c>
      <c r="F804" s="47">
        <f>IF(_imp!$C$806="","",INDEX(_imp!$H$4:$H$1503,_imp!$C$806))</f>
        <v/>
      </c>
      <c r="G804" s="47">
        <f>IF(_imp!$C$806="","",INDEX(_imp!$I$4:$I$1503,_imp!$C$806))</f>
        <v/>
      </c>
      <c r="K804" s="47">
        <f>IF(_imp!$C$806="","",INDEX(_imp!$J$4:$J$1503,_imp!$C$806))</f>
        <v/>
      </c>
    </row>
    <row r="805">
      <c r="A805" s="47">
        <f>IF(_imp!$C$807="","",INDEX(_imp!$D$4:$D$1503,_imp!$C$807))</f>
        <v/>
      </c>
      <c r="B805" s="47">
        <f>IF(_imp!$C$807="","",INDEX(_imp!$E$4:$E$1503,_imp!$C$807))</f>
        <v/>
      </c>
      <c r="C805" s="47">
        <f>IF(_imp!$C$807="","",INDEX(_imp!$F$4:$F$1503,_imp!$C$807))</f>
        <v/>
      </c>
      <c r="E805" s="47">
        <f>IF(_imp!$C$807="","",INDEX(_imp!$G$4:$G$1503,_imp!$C$807))</f>
        <v/>
      </c>
      <c r="F805" s="47">
        <f>IF(_imp!$C$807="","",INDEX(_imp!$H$4:$H$1503,_imp!$C$807))</f>
        <v/>
      </c>
      <c r="G805" s="47">
        <f>IF(_imp!$C$807="","",INDEX(_imp!$I$4:$I$1503,_imp!$C$807))</f>
        <v/>
      </c>
      <c r="K805" s="47">
        <f>IF(_imp!$C$807="","",INDEX(_imp!$J$4:$J$1503,_imp!$C$807))</f>
        <v/>
      </c>
    </row>
    <row r="806">
      <c r="A806" s="47">
        <f>IF(_imp!$C$808="","",INDEX(_imp!$D$4:$D$1503,_imp!$C$808))</f>
        <v/>
      </c>
      <c r="B806" s="47">
        <f>IF(_imp!$C$808="","",INDEX(_imp!$E$4:$E$1503,_imp!$C$808))</f>
        <v/>
      </c>
      <c r="C806" s="47">
        <f>IF(_imp!$C$808="","",INDEX(_imp!$F$4:$F$1503,_imp!$C$808))</f>
        <v/>
      </c>
      <c r="E806" s="47">
        <f>IF(_imp!$C$808="","",INDEX(_imp!$G$4:$G$1503,_imp!$C$808))</f>
        <v/>
      </c>
      <c r="F806" s="47">
        <f>IF(_imp!$C$808="","",INDEX(_imp!$H$4:$H$1503,_imp!$C$808))</f>
        <v/>
      </c>
      <c r="G806" s="47">
        <f>IF(_imp!$C$808="","",INDEX(_imp!$I$4:$I$1503,_imp!$C$808))</f>
        <v/>
      </c>
      <c r="K806" s="47">
        <f>IF(_imp!$C$808="","",INDEX(_imp!$J$4:$J$1503,_imp!$C$808))</f>
        <v/>
      </c>
    </row>
    <row r="807">
      <c r="A807" s="47">
        <f>IF(_imp!$C$809="","",INDEX(_imp!$D$4:$D$1503,_imp!$C$809))</f>
        <v/>
      </c>
      <c r="B807" s="47">
        <f>IF(_imp!$C$809="","",INDEX(_imp!$E$4:$E$1503,_imp!$C$809))</f>
        <v/>
      </c>
      <c r="C807" s="47">
        <f>IF(_imp!$C$809="","",INDEX(_imp!$F$4:$F$1503,_imp!$C$809))</f>
        <v/>
      </c>
      <c r="E807" s="47">
        <f>IF(_imp!$C$809="","",INDEX(_imp!$G$4:$G$1503,_imp!$C$809))</f>
        <v/>
      </c>
      <c r="F807" s="47">
        <f>IF(_imp!$C$809="","",INDEX(_imp!$H$4:$H$1503,_imp!$C$809))</f>
        <v/>
      </c>
      <c r="G807" s="47">
        <f>IF(_imp!$C$809="","",INDEX(_imp!$I$4:$I$1503,_imp!$C$809))</f>
        <v/>
      </c>
      <c r="K807" s="47">
        <f>IF(_imp!$C$809="","",INDEX(_imp!$J$4:$J$1503,_imp!$C$809))</f>
        <v/>
      </c>
    </row>
    <row r="808">
      <c r="A808" s="47">
        <f>IF(_imp!$C$810="","",INDEX(_imp!$D$4:$D$1503,_imp!$C$810))</f>
        <v/>
      </c>
      <c r="B808" s="47">
        <f>IF(_imp!$C$810="","",INDEX(_imp!$E$4:$E$1503,_imp!$C$810))</f>
        <v/>
      </c>
      <c r="C808" s="47">
        <f>IF(_imp!$C$810="","",INDEX(_imp!$F$4:$F$1503,_imp!$C$810))</f>
        <v/>
      </c>
      <c r="E808" s="47">
        <f>IF(_imp!$C$810="","",INDEX(_imp!$G$4:$G$1503,_imp!$C$810))</f>
        <v/>
      </c>
      <c r="F808" s="47">
        <f>IF(_imp!$C$810="","",INDEX(_imp!$H$4:$H$1503,_imp!$C$810))</f>
        <v/>
      </c>
      <c r="G808" s="47">
        <f>IF(_imp!$C$810="","",INDEX(_imp!$I$4:$I$1503,_imp!$C$810))</f>
        <v/>
      </c>
      <c r="K808" s="47">
        <f>IF(_imp!$C$810="","",INDEX(_imp!$J$4:$J$1503,_imp!$C$810))</f>
        <v/>
      </c>
    </row>
    <row r="809">
      <c r="A809" s="47">
        <f>IF(_imp!$C$811="","",INDEX(_imp!$D$4:$D$1503,_imp!$C$811))</f>
        <v/>
      </c>
      <c r="B809" s="47">
        <f>IF(_imp!$C$811="","",INDEX(_imp!$E$4:$E$1503,_imp!$C$811))</f>
        <v/>
      </c>
      <c r="C809" s="47">
        <f>IF(_imp!$C$811="","",INDEX(_imp!$F$4:$F$1503,_imp!$C$811))</f>
        <v/>
      </c>
      <c r="E809" s="47">
        <f>IF(_imp!$C$811="","",INDEX(_imp!$G$4:$G$1503,_imp!$C$811))</f>
        <v/>
      </c>
      <c r="F809" s="47">
        <f>IF(_imp!$C$811="","",INDEX(_imp!$H$4:$H$1503,_imp!$C$811))</f>
        <v/>
      </c>
      <c r="G809" s="47">
        <f>IF(_imp!$C$811="","",INDEX(_imp!$I$4:$I$1503,_imp!$C$811))</f>
        <v/>
      </c>
      <c r="K809" s="47">
        <f>IF(_imp!$C$811="","",INDEX(_imp!$J$4:$J$1503,_imp!$C$811))</f>
        <v/>
      </c>
    </row>
    <row r="810">
      <c r="A810" s="47">
        <f>IF(_imp!$C$812="","",INDEX(_imp!$D$4:$D$1503,_imp!$C$812))</f>
        <v/>
      </c>
      <c r="B810" s="47">
        <f>IF(_imp!$C$812="","",INDEX(_imp!$E$4:$E$1503,_imp!$C$812))</f>
        <v/>
      </c>
      <c r="C810" s="47">
        <f>IF(_imp!$C$812="","",INDEX(_imp!$F$4:$F$1503,_imp!$C$812))</f>
        <v/>
      </c>
      <c r="E810" s="47">
        <f>IF(_imp!$C$812="","",INDEX(_imp!$G$4:$G$1503,_imp!$C$812))</f>
        <v/>
      </c>
      <c r="F810" s="47">
        <f>IF(_imp!$C$812="","",INDEX(_imp!$H$4:$H$1503,_imp!$C$812))</f>
        <v/>
      </c>
      <c r="G810" s="47">
        <f>IF(_imp!$C$812="","",INDEX(_imp!$I$4:$I$1503,_imp!$C$812))</f>
        <v/>
      </c>
      <c r="K810" s="47">
        <f>IF(_imp!$C$812="","",INDEX(_imp!$J$4:$J$1503,_imp!$C$812))</f>
        <v/>
      </c>
    </row>
    <row r="811">
      <c r="A811" s="47">
        <f>IF(_imp!$C$813="","",INDEX(_imp!$D$4:$D$1503,_imp!$C$813))</f>
        <v/>
      </c>
      <c r="B811" s="47">
        <f>IF(_imp!$C$813="","",INDEX(_imp!$E$4:$E$1503,_imp!$C$813))</f>
        <v/>
      </c>
      <c r="C811" s="47">
        <f>IF(_imp!$C$813="","",INDEX(_imp!$F$4:$F$1503,_imp!$C$813))</f>
        <v/>
      </c>
      <c r="E811" s="47">
        <f>IF(_imp!$C$813="","",INDEX(_imp!$G$4:$G$1503,_imp!$C$813))</f>
        <v/>
      </c>
      <c r="F811" s="47">
        <f>IF(_imp!$C$813="","",INDEX(_imp!$H$4:$H$1503,_imp!$C$813))</f>
        <v/>
      </c>
      <c r="G811" s="47">
        <f>IF(_imp!$C$813="","",INDEX(_imp!$I$4:$I$1503,_imp!$C$813))</f>
        <v/>
      </c>
      <c r="K811" s="47">
        <f>IF(_imp!$C$813="","",INDEX(_imp!$J$4:$J$1503,_imp!$C$813))</f>
        <v/>
      </c>
    </row>
    <row r="812">
      <c r="A812" s="47">
        <f>IF(_imp!$C$814="","",INDEX(_imp!$D$4:$D$1503,_imp!$C$814))</f>
        <v/>
      </c>
      <c r="B812" s="47">
        <f>IF(_imp!$C$814="","",INDEX(_imp!$E$4:$E$1503,_imp!$C$814))</f>
        <v/>
      </c>
      <c r="C812" s="47">
        <f>IF(_imp!$C$814="","",INDEX(_imp!$F$4:$F$1503,_imp!$C$814))</f>
        <v/>
      </c>
      <c r="E812" s="47">
        <f>IF(_imp!$C$814="","",INDEX(_imp!$G$4:$G$1503,_imp!$C$814))</f>
        <v/>
      </c>
      <c r="F812" s="47">
        <f>IF(_imp!$C$814="","",INDEX(_imp!$H$4:$H$1503,_imp!$C$814))</f>
        <v/>
      </c>
      <c r="G812" s="47">
        <f>IF(_imp!$C$814="","",INDEX(_imp!$I$4:$I$1503,_imp!$C$814))</f>
        <v/>
      </c>
      <c r="K812" s="47">
        <f>IF(_imp!$C$814="","",INDEX(_imp!$J$4:$J$1503,_imp!$C$814))</f>
        <v/>
      </c>
    </row>
    <row r="813">
      <c r="A813" s="47">
        <f>IF(_imp!$C$815="","",INDEX(_imp!$D$4:$D$1503,_imp!$C$815))</f>
        <v/>
      </c>
      <c r="B813" s="47">
        <f>IF(_imp!$C$815="","",INDEX(_imp!$E$4:$E$1503,_imp!$C$815))</f>
        <v/>
      </c>
      <c r="C813" s="47">
        <f>IF(_imp!$C$815="","",INDEX(_imp!$F$4:$F$1503,_imp!$C$815))</f>
        <v/>
      </c>
      <c r="E813" s="47">
        <f>IF(_imp!$C$815="","",INDEX(_imp!$G$4:$G$1503,_imp!$C$815))</f>
        <v/>
      </c>
      <c r="F813" s="47">
        <f>IF(_imp!$C$815="","",INDEX(_imp!$H$4:$H$1503,_imp!$C$815))</f>
        <v/>
      </c>
      <c r="G813" s="47">
        <f>IF(_imp!$C$815="","",INDEX(_imp!$I$4:$I$1503,_imp!$C$815))</f>
        <v/>
      </c>
      <c r="K813" s="47">
        <f>IF(_imp!$C$815="","",INDEX(_imp!$J$4:$J$1503,_imp!$C$815))</f>
        <v/>
      </c>
    </row>
    <row r="814">
      <c r="A814" s="47">
        <f>IF(_imp!$C$816="","",INDEX(_imp!$D$4:$D$1503,_imp!$C$816))</f>
        <v/>
      </c>
      <c r="B814" s="47">
        <f>IF(_imp!$C$816="","",INDEX(_imp!$E$4:$E$1503,_imp!$C$816))</f>
        <v/>
      </c>
      <c r="C814" s="47">
        <f>IF(_imp!$C$816="","",INDEX(_imp!$F$4:$F$1503,_imp!$C$816))</f>
        <v/>
      </c>
      <c r="E814" s="47">
        <f>IF(_imp!$C$816="","",INDEX(_imp!$G$4:$G$1503,_imp!$C$816))</f>
        <v/>
      </c>
      <c r="F814" s="47">
        <f>IF(_imp!$C$816="","",INDEX(_imp!$H$4:$H$1503,_imp!$C$816))</f>
        <v/>
      </c>
      <c r="G814" s="47">
        <f>IF(_imp!$C$816="","",INDEX(_imp!$I$4:$I$1503,_imp!$C$816))</f>
        <v/>
      </c>
      <c r="K814" s="47">
        <f>IF(_imp!$C$816="","",INDEX(_imp!$J$4:$J$1503,_imp!$C$816))</f>
        <v/>
      </c>
    </row>
    <row r="815">
      <c r="A815" s="47">
        <f>IF(_imp!$C$817="","",INDEX(_imp!$D$4:$D$1503,_imp!$C$817))</f>
        <v/>
      </c>
      <c r="B815" s="47">
        <f>IF(_imp!$C$817="","",INDEX(_imp!$E$4:$E$1503,_imp!$C$817))</f>
        <v/>
      </c>
      <c r="C815" s="47">
        <f>IF(_imp!$C$817="","",INDEX(_imp!$F$4:$F$1503,_imp!$C$817))</f>
        <v/>
      </c>
      <c r="E815" s="47">
        <f>IF(_imp!$C$817="","",INDEX(_imp!$G$4:$G$1503,_imp!$C$817))</f>
        <v/>
      </c>
      <c r="F815" s="47">
        <f>IF(_imp!$C$817="","",INDEX(_imp!$H$4:$H$1503,_imp!$C$817))</f>
        <v/>
      </c>
      <c r="G815" s="47">
        <f>IF(_imp!$C$817="","",INDEX(_imp!$I$4:$I$1503,_imp!$C$817))</f>
        <v/>
      </c>
      <c r="K815" s="47">
        <f>IF(_imp!$C$817="","",INDEX(_imp!$J$4:$J$1503,_imp!$C$817))</f>
        <v/>
      </c>
    </row>
    <row r="816">
      <c r="A816" s="47">
        <f>IF(_imp!$C$818="","",INDEX(_imp!$D$4:$D$1503,_imp!$C$818))</f>
        <v/>
      </c>
      <c r="B816" s="47">
        <f>IF(_imp!$C$818="","",INDEX(_imp!$E$4:$E$1503,_imp!$C$818))</f>
        <v/>
      </c>
      <c r="C816" s="47">
        <f>IF(_imp!$C$818="","",INDEX(_imp!$F$4:$F$1503,_imp!$C$818))</f>
        <v/>
      </c>
      <c r="E816" s="47">
        <f>IF(_imp!$C$818="","",INDEX(_imp!$G$4:$G$1503,_imp!$C$818))</f>
        <v/>
      </c>
      <c r="F816" s="47">
        <f>IF(_imp!$C$818="","",INDEX(_imp!$H$4:$H$1503,_imp!$C$818))</f>
        <v/>
      </c>
      <c r="G816" s="47">
        <f>IF(_imp!$C$818="","",INDEX(_imp!$I$4:$I$1503,_imp!$C$818))</f>
        <v/>
      </c>
      <c r="K816" s="47">
        <f>IF(_imp!$C$818="","",INDEX(_imp!$J$4:$J$1503,_imp!$C$818))</f>
        <v/>
      </c>
    </row>
    <row r="817">
      <c r="A817" s="47">
        <f>IF(_imp!$C$819="","",INDEX(_imp!$D$4:$D$1503,_imp!$C$819))</f>
        <v/>
      </c>
      <c r="B817" s="47">
        <f>IF(_imp!$C$819="","",INDEX(_imp!$E$4:$E$1503,_imp!$C$819))</f>
        <v/>
      </c>
      <c r="C817" s="47">
        <f>IF(_imp!$C$819="","",INDEX(_imp!$F$4:$F$1503,_imp!$C$819))</f>
        <v/>
      </c>
      <c r="E817" s="47">
        <f>IF(_imp!$C$819="","",INDEX(_imp!$G$4:$G$1503,_imp!$C$819))</f>
        <v/>
      </c>
      <c r="F817" s="47">
        <f>IF(_imp!$C$819="","",INDEX(_imp!$H$4:$H$1503,_imp!$C$819))</f>
        <v/>
      </c>
      <c r="G817" s="47">
        <f>IF(_imp!$C$819="","",INDEX(_imp!$I$4:$I$1503,_imp!$C$819))</f>
        <v/>
      </c>
      <c r="K817" s="47">
        <f>IF(_imp!$C$819="","",INDEX(_imp!$J$4:$J$1503,_imp!$C$819))</f>
        <v/>
      </c>
    </row>
    <row r="818">
      <c r="A818" s="47">
        <f>IF(_imp!$C$820="","",INDEX(_imp!$D$4:$D$1503,_imp!$C$820))</f>
        <v/>
      </c>
      <c r="B818" s="47">
        <f>IF(_imp!$C$820="","",INDEX(_imp!$E$4:$E$1503,_imp!$C$820))</f>
        <v/>
      </c>
      <c r="C818" s="47">
        <f>IF(_imp!$C$820="","",INDEX(_imp!$F$4:$F$1503,_imp!$C$820))</f>
        <v/>
      </c>
      <c r="E818" s="47">
        <f>IF(_imp!$C$820="","",INDEX(_imp!$G$4:$G$1503,_imp!$C$820))</f>
        <v/>
      </c>
      <c r="F818" s="47">
        <f>IF(_imp!$C$820="","",INDEX(_imp!$H$4:$H$1503,_imp!$C$820))</f>
        <v/>
      </c>
      <c r="G818" s="47">
        <f>IF(_imp!$C$820="","",INDEX(_imp!$I$4:$I$1503,_imp!$C$820))</f>
        <v/>
      </c>
      <c r="K818" s="47">
        <f>IF(_imp!$C$820="","",INDEX(_imp!$J$4:$J$1503,_imp!$C$820))</f>
        <v/>
      </c>
    </row>
    <row r="819">
      <c r="A819" s="47">
        <f>IF(_imp!$C$821="","",INDEX(_imp!$D$4:$D$1503,_imp!$C$821))</f>
        <v/>
      </c>
      <c r="B819" s="47">
        <f>IF(_imp!$C$821="","",INDEX(_imp!$E$4:$E$1503,_imp!$C$821))</f>
        <v/>
      </c>
      <c r="C819" s="47">
        <f>IF(_imp!$C$821="","",INDEX(_imp!$F$4:$F$1503,_imp!$C$821))</f>
        <v/>
      </c>
      <c r="E819" s="47">
        <f>IF(_imp!$C$821="","",INDEX(_imp!$G$4:$G$1503,_imp!$C$821))</f>
        <v/>
      </c>
      <c r="F819" s="47">
        <f>IF(_imp!$C$821="","",INDEX(_imp!$H$4:$H$1503,_imp!$C$821))</f>
        <v/>
      </c>
      <c r="G819" s="47">
        <f>IF(_imp!$C$821="","",INDEX(_imp!$I$4:$I$1503,_imp!$C$821))</f>
        <v/>
      </c>
      <c r="K819" s="47">
        <f>IF(_imp!$C$821="","",INDEX(_imp!$J$4:$J$1503,_imp!$C$821))</f>
        <v/>
      </c>
    </row>
    <row r="820">
      <c r="A820" s="47">
        <f>IF(_imp!$C$822="","",INDEX(_imp!$D$4:$D$1503,_imp!$C$822))</f>
        <v/>
      </c>
      <c r="B820" s="47">
        <f>IF(_imp!$C$822="","",INDEX(_imp!$E$4:$E$1503,_imp!$C$822))</f>
        <v/>
      </c>
      <c r="C820" s="47">
        <f>IF(_imp!$C$822="","",INDEX(_imp!$F$4:$F$1503,_imp!$C$822))</f>
        <v/>
      </c>
      <c r="E820" s="47">
        <f>IF(_imp!$C$822="","",INDEX(_imp!$G$4:$G$1503,_imp!$C$822))</f>
        <v/>
      </c>
      <c r="F820" s="47">
        <f>IF(_imp!$C$822="","",INDEX(_imp!$H$4:$H$1503,_imp!$C$822))</f>
        <v/>
      </c>
      <c r="G820" s="47">
        <f>IF(_imp!$C$822="","",INDEX(_imp!$I$4:$I$1503,_imp!$C$822))</f>
        <v/>
      </c>
      <c r="K820" s="47">
        <f>IF(_imp!$C$822="","",INDEX(_imp!$J$4:$J$1503,_imp!$C$822))</f>
        <v/>
      </c>
    </row>
    <row r="821">
      <c r="A821" s="47">
        <f>IF(_imp!$C$823="","",INDEX(_imp!$D$4:$D$1503,_imp!$C$823))</f>
        <v/>
      </c>
      <c r="B821" s="47">
        <f>IF(_imp!$C$823="","",INDEX(_imp!$E$4:$E$1503,_imp!$C$823))</f>
        <v/>
      </c>
      <c r="C821" s="47">
        <f>IF(_imp!$C$823="","",INDEX(_imp!$F$4:$F$1503,_imp!$C$823))</f>
        <v/>
      </c>
      <c r="E821" s="47">
        <f>IF(_imp!$C$823="","",INDEX(_imp!$G$4:$G$1503,_imp!$C$823))</f>
        <v/>
      </c>
      <c r="F821" s="47">
        <f>IF(_imp!$C$823="","",INDEX(_imp!$H$4:$H$1503,_imp!$C$823))</f>
        <v/>
      </c>
      <c r="G821" s="47">
        <f>IF(_imp!$C$823="","",INDEX(_imp!$I$4:$I$1503,_imp!$C$823))</f>
        <v/>
      </c>
      <c r="K821" s="47">
        <f>IF(_imp!$C$823="","",INDEX(_imp!$J$4:$J$1503,_imp!$C$823))</f>
        <v/>
      </c>
    </row>
    <row r="822">
      <c r="A822" s="47">
        <f>IF(_imp!$C$824="","",INDEX(_imp!$D$4:$D$1503,_imp!$C$824))</f>
        <v/>
      </c>
      <c r="B822" s="47">
        <f>IF(_imp!$C$824="","",INDEX(_imp!$E$4:$E$1503,_imp!$C$824))</f>
        <v/>
      </c>
      <c r="C822" s="47">
        <f>IF(_imp!$C$824="","",INDEX(_imp!$F$4:$F$1503,_imp!$C$824))</f>
        <v/>
      </c>
      <c r="E822" s="47">
        <f>IF(_imp!$C$824="","",INDEX(_imp!$G$4:$G$1503,_imp!$C$824))</f>
        <v/>
      </c>
      <c r="F822" s="47">
        <f>IF(_imp!$C$824="","",INDEX(_imp!$H$4:$H$1503,_imp!$C$824))</f>
        <v/>
      </c>
      <c r="G822" s="47">
        <f>IF(_imp!$C$824="","",INDEX(_imp!$I$4:$I$1503,_imp!$C$824))</f>
        <v/>
      </c>
      <c r="K822" s="47">
        <f>IF(_imp!$C$824="","",INDEX(_imp!$J$4:$J$1503,_imp!$C$824))</f>
        <v/>
      </c>
    </row>
    <row r="823">
      <c r="A823" s="47">
        <f>IF(_imp!$C$825="","",INDEX(_imp!$D$4:$D$1503,_imp!$C$825))</f>
        <v/>
      </c>
      <c r="B823" s="47">
        <f>IF(_imp!$C$825="","",INDEX(_imp!$E$4:$E$1503,_imp!$C$825))</f>
        <v/>
      </c>
      <c r="C823" s="47">
        <f>IF(_imp!$C$825="","",INDEX(_imp!$F$4:$F$1503,_imp!$C$825))</f>
        <v/>
      </c>
      <c r="E823" s="47">
        <f>IF(_imp!$C$825="","",INDEX(_imp!$G$4:$G$1503,_imp!$C$825))</f>
        <v/>
      </c>
      <c r="F823" s="47">
        <f>IF(_imp!$C$825="","",INDEX(_imp!$H$4:$H$1503,_imp!$C$825))</f>
        <v/>
      </c>
      <c r="G823" s="47">
        <f>IF(_imp!$C$825="","",INDEX(_imp!$I$4:$I$1503,_imp!$C$825))</f>
        <v/>
      </c>
      <c r="K823" s="47">
        <f>IF(_imp!$C$825="","",INDEX(_imp!$J$4:$J$1503,_imp!$C$825))</f>
        <v/>
      </c>
    </row>
    <row r="824">
      <c r="A824" s="47">
        <f>IF(_imp!$C$826="","",INDEX(_imp!$D$4:$D$1503,_imp!$C$826))</f>
        <v/>
      </c>
      <c r="B824" s="47">
        <f>IF(_imp!$C$826="","",INDEX(_imp!$E$4:$E$1503,_imp!$C$826))</f>
        <v/>
      </c>
      <c r="C824" s="47">
        <f>IF(_imp!$C$826="","",INDEX(_imp!$F$4:$F$1503,_imp!$C$826))</f>
        <v/>
      </c>
      <c r="E824" s="47">
        <f>IF(_imp!$C$826="","",INDEX(_imp!$G$4:$G$1503,_imp!$C$826))</f>
        <v/>
      </c>
      <c r="F824" s="47">
        <f>IF(_imp!$C$826="","",INDEX(_imp!$H$4:$H$1503,_imp!$C$826))</f>
        <v/>
      </c>
      <c r="G824" s="47">
        <f>IF(_imp!$C$826="","",INDEX(_imp!$I$4:$I$1503,_imp!$C$826))</f>
        <v/>
      </c>
      <c r="K824" s="47">
        <f>IF(_imp!$C$826="","",INDEX(_imp!$J$4:$J$1503,_imp!$C$826))</f>
        <v/>
      </c>
    </row>
    <row r="825">
      <c r="A825" s="47">
        <f>IF(_imp!$C$827="","",INDEX(_imp!$D$4:$D$1503,_imp!$C$827))</f>
        <v/>
      </c>
      <c r="B825" s="47">
        <f>IF(_imp!$C$827="","",INDEX(_imp!$E$4:$E$1503,_imp!$C$827))</f>
        <v/>
      </c>
      <c r="C825" s="47">
        <f>IF(_imp!$C$827="","",INDEX(_imp!$F$4:$F$1503,_imp!$C$827))</f>
        <v/>
      </c>
      <c r="E825" s="47">
        <f>IF(_imp!$C$827="","",INDEX(_imp!$G$4:$G$1503,_imp!$C$827))</f>
        <v/>
      </c>
      <c r="F825" s="47">
        <f>IF(_imp!$C$827="","",INDEX(_imp!$H$4:$H$1503,_imp!$C$827))</f>
        <v/>
      </c>
      <c r="G825" s="47">
        <f>IF(_imp!$C$827="","",INDEX(_imp!$I$4:$I$1503,_imp!$C$827))</f>
        <v/>
      </c>
      <c r="K825" s="47">
        <f>IF(_imp!$C$827="","",INDEX(_imp!$J$4:$J$1503,_imp!$C$827))</f>
        <v/>
      </c>
    </row>
    <row r="826">
      <c r="A826" s="47">
        <f>IF(_imp!$C$828="","",INDEX(_imp!$D$4:$D$1503,_imp!$C$828))</f>
        <v/>
      </c>
      <c r="B826" s="47">
        <f>IF(_imp!$C$828="","",INDEX(_imp!$E$4:$E$1503,_imp!$C$828))</f>
        <v/>
      </c>
      <c r="C826" s="47">
        <f>IF(_imp!$C$828="","",INDEX(_imp!$F$4:$F$1503,_imp!$C$828))</f>
        <v/>
      </c>
      <c r="E826" s="47">
        <f>IF(_imp!$C$828="","",INDEX(_imp!$G$4:$G$1503,_imp!$C$828))</f>
        <v/>
      </c>
      <c r="F826" s="47">
        <f>IF(_imp!$C$828="","",INDEX(_imp!$H$4:$H$1503,_imp!$C$828))</f>
        <v/>
      </c>
      <c r="G826" s="47">
        <f>IF(_imp!$C$828="","",INDEX(_imp!$I$4:$I$1503,_imp!$C$828))</f>
        <v/>
      </c>
      <c r="K826" s="47">
        <f>IF(_imp!$C$828="","",INDEX(_imp!$J$4:$J$1503,_imp!$C$828))</f>
        <v/>
      </c>
    </row>
    <row r="827">
      <c r="A827" s="47">
        <f>IF(_imp!$C$829="","",INDEX(_imp!$D$4:$D$1503,_imp!$C$829))</f>
        <v/>
      </c>
      <c r="B827" s="47">
        <f>IF(_imp!$C$829="","",INDEX(_imp!$E$4:$E$1503,_imp!$C$829))</f>
        <v/>
      </c>
      <c r="C827" s="47">
        <f>IF(_imp!$C$829="","",INDEX(_imp!$F$4:$F$1503,_imp!$C$829))</f>
        <v/>
      </c>
      <c r="E827" s="47">
        <f>IF(_imp!$C$829="","",INDEX(_imp!$G$4:$G$1503,_imp!$C$829))</f>
        <v/>
      </c>
      <c r="F827" s="47">
        <f>IF(_imp!$C$829="","",INDEX(_imp!$H$4:$H$1503,_imp!$C$829))</f>
        <v/>
      </c>
      <c r="G827" s="47">
        <f>IF(_imp!$C$829="","",INDEX(_imp!$I$4:$I$1503,_imp!$C$829))</f>
        <v/>
      </c>
      <c r="K827" s="47">
        <f>IF(_imp!$C$829="","",INDEX(_imp!$J$4:$J$1503,_imp!$C$829))</f>
        <v/>
      </c>
    </row>
    <row r="828">
      <c r="A828" s="47">
        <f>IF(_imp!$C$830="","",INDEX(_imp!$D$4:$D$1503,_imp!$C$830))</f>
        <v/>
      </c>
      <c r="B828" s="47">
        <f>IF(_imp!$C$830="","",INDEX(_imp!$E$4:$E$1503,_imp!$C$830))</f>
        <v/>
      </c>
      <c r="C828" s="47">
        <f>IF(_imp!$C$830="","",INDEX(_imp!$F$4:$F$1503,_imp!$C$830))</f>
        <v/>
      </c>
      <c r="E828" s="47">
        <f>IF(_imp!$C$830="","",INDEX(_imp!$G$4:$G$1503,_imp!$C$830))</f>
        <v/>
      </c>
      <c r="F828" s="47">
        <f>IF(_imp!$C$830="","",INDEX(_imp!$H$4:$H$1503,_imp!$C$830))</f>
        <v/>
      </c>
      <c r="G828" s="47">
        <f>IF(_imp!$C$830="","",INDEX(_imp!$I$4:$I$1503,_imp!$C$830))</f>
        <v/>
      </c>
      <c r="K828" s="47">
        <f>IF(_imp!$C$830="","",INDEX(_imp!$J$4:$J$1503,_imp!$C$830))</f>
        <v/>
      </c>
    </row>
    <row r="829">
      <c r="A829" s="47">
        <f>IF(_imp!$C$831="","",INDEX(_imp!$D$4:$D$1503,_imp!$C$831))</f>
        <v/>
      </c>
      <c r="B829" s="47">
        <f>IF(_imp!$C$831="","",INDEX(_imp!$E$4:$E$1503,_imp!$C$831))</f>
        <v/>
      </c>
      <c r="C829" s="47">
        <f>IF(_imp!$C$831="","",INDEX(_imp!$F$4:$F$1503,_imp!$C$831))</f>
        <v/>
      </c>
      <c r="E829" s="47">
        <f>IF(_imp!$C$831="","",INDEX(_imp!$G$4:$G$1503,_imp!$C$831))</f>
        <v/>
      </c>
      <c r="F829" s="47">
        <f>IF(_imp!$C$831="","",INDEX(_imp!$H$4:$H$1503,_imp!$C$831))</f>
        <v/>
      </c>
      <c r="G829" s="47">
        <f>IF(_imp!$C$831="","",INDEX(_imp!$I$4:$I$1503,_imp!$C$831))</f>
        <v/>
      </c>
      <c r="K829" s="47">
        <f>IF(_imp!$C$831="","",INDEX(_imp!$J$4:$J$1503,_imp!$C$831))</f>
        <v/>
      </c>
    </row>
    <row r="830">
      <c r="A830" s="47">
        <f>IF(_imp!$C$832="","",INDEX(_imp!$D$4:$D$1503,_imp!$C$832))</f>
        <v/>
      </c>
      <c r="B830" s="47">
        <f>IF(_imp!$C$832="","",INDEX(_imp!$E$4:$E$1503,_imp!$C$832))</f>
        <v/>
      </c>
      <c r="C830" s="47">
        <f>IF(_imp!$C$832="","",INDEX(_imp!$F$4:$F$1503,_imp!$C$832))</f>
        <v/>
      </c>
      <c r="E830" s="47">
        <f>IF(_imp!$C$832="","",INDEX(_imp!$G$4:$G$1503,_imp!$C$832))</f>
        <v/>
      </c>
      <c r="F830" s="47">
        <f>IF(_imp!$C$832="","",INDEX(_imp!$H$4:$H$1503,_imp!$C$832))</f>
        <v/>
      </c>
      <c r="G830" s="47">
        <f>IF(_imp!$C$832="","",INDEX(_imp!$I$4:$I$1503,_imp!$C$832))</f>
        <v/>
      </c>
      <c r="K830" s="47">
        <f>IF(_imp!$C$832="","",INDEX(_imp!$J$4:$J$1503,_imp!$C$832))</f>
        <v/>
      </c>
    </row>
    <row r="831">
      <c r="A831" s="47">
        <f>IF(_imp!$C$833="","",INDEX(_imp!$D$4:$D$1503,_imp!$C$833))</f>
        <v/>
      </c>
      <c r="B831" s="47">
        <f>IF(_imp!$C$833="","",INDEX(_imp!$E$4:$E$1503,_imp!$C$833))</f>
        <v/>
      </c>
      <c r="C831" s="47">
        <f>IF(_imp!$C$833="","",INDEX(_imp!$F$4:$F$1503,_imp!$C$833))</f>
        <v/>
      </c>
      <c r="E831" s="47">
        <f>IF(_imp!$C$833="","",INDEX(_imp!$G$4:$G$1503,_imp!$C$833))</f>
        <v/>
      </c>
      <c r="F831" s="47">
        <f>IF(_imp!$C$833="","",INDEX(_imp!$H$4:$H$1503,_imp!$C$833))</f>
        <v/>
      </c>
      <c r="G831" s="47">
        <f>IF(_imp!$C$833="","",INDEX(_imp!$I$4:$I$1503,_imp!$C$833))</f>
        <v/>
      </c>
      <c r="K831" s="47">
        <f>IF(_imp!$C$833="","",INDEX(_imp!$J$4:$J$1503,_imp!$C$833))</f>
        <v/>
      </c>
    </row>
    <row r="832">
      <c r="A832" s="47">
        <f>IF(_imp!$C$834="","",INDEX(_imp!$D$4:$D$1503,_imp!$C$834))</f>
        <v/>
      </c>
      <c r="B832" s="47">
        <f>IF(_imp!$C$834="","",INDEX(_imp!$E$4:$E$1503,_imp!$C$834))</f>
        <v/>
      </c>
      <c r="C832" s="47">
        <f>IF(_imp!$C$834="","",INDEX(_imp!$F$4:$F$1503,_imp!$C$834))</f>
        <v/>
      </c>
      <c r="E832" s="47">
        <f>IF(_imp!$C$834="","",INDEX(_imp!$G$4:$G$1503,_imp!$C$834))</f>
        <v/>
      </c>
      <c r="F832" s="47">
        <f>IF(_imp!$C$834="","",INDEX(_imp!$H$4:$H$1503,_imp!$C$834))</f>
        <v/>
      </c>
      <c r="G832" s="47">
        <f>IF(_imp!$C$834="","",INDEX(_imp!$I$4:$I$1503,_imp!$C$834))</f>
        <v/>
      </c>
      <c r="K832" s="47">
        <f>IF(_imp!$C$834="","",INDEX(_imp!$J$4:$J$1503,_imp!$C$834))</f>
        <v/>
      </c>
    </row>
    <row r="833">
      <c r="A833" s="47">
        <f>IF(_imp!$C$835="","",INDEX(_imp!$D$4:$D$1503,_imp!$C$835))</f>
        <v/>
      </c>
      <c r="B833" s="47">
        <f>IF(_imp!$C$835="","",INDEX(_imp!$E$4:$E$1503,_imp!$C$835))</f>
        <v/>
      </c>
      <c r="C833" s="47">
        <f>IF(_imp!$C$835="","",INDEX(_imp!$F$4:$F$1503,_imp!$C$835))</f>
        <v/>
      </c>
      <c r="E833" s="47">
        <f>IF(_imp!$C$835="","",INDEX(_imp!$G$4:$G$1503,_imp!$C$835))</f>
        <v/>
      </c>
      <c r="F833" s="47">
        <f>IF(_imp!$C$835="","",INDEX(_imp!$H$4:$H$1503,_imp!$C$835))</f>
        <v/>
      </c>
      <c r="G833" s="47">
        <f>IF(_imp!$C$835="","",INDEX(_imp!$I$4:$I$1503,_imp!$C$835))</f>
        <v/>
      </c>
      <c r="K833" s="47">
        <f>IF(_imp!$C$835="","",INDEX(_imp!$J$4:$J$1503,_imp!$C$835))</f>
        <v/>
      </c>
    </row>
    <row r="834">
      <c r="A834" s="47">
        <f>IF(_imp!$C$836="","",INDEX(_imp!$D$4:$D$1503,_imp!$C$836))</f>
        <v/>
      </c>
      <c r="B834" s="47">
        <f>IF(_imp!$C$836="","",INDEX(_imp!$E$4:$E$1503,_imp!$C$836))</f>
        <v/>
      </c>
      <c r="C834" s="47">
        <f>IF(_imp!$C$836="","",INDEX(_imp!$F$4:$F$1503,_imp!$C$836))</f>
        <v/>
      </c>
      <c r="E834" s="47">
        <f>IF(_imp!$C$836="","",INDEX(_imp!$G$4:$G$1503,_imp!$C$836))</f>
        <v/>
      </c>
      <c r="F834" s="47">
        <f>IF(_imp!$C$836="","",INDEX(_imp!$H$4:$H$1503,_imp!$C$836))</f>
        <v/>
      </c>
      <c r="G834" s="47">
        <f>IF(_imp!$C$836="","",INDEX(_imp!$I$4:$I$1503,_imp!$C$836))</f>
        <v/>
      </c>
      <c r="K834" s="47">
        <f>IF(_imp!$C$836="","",INDEX(_imp!$J$4:$J$1503,_imp!$C$836))</f>
        <v/>
      </c>
    </row>
    <row r="835">
      <c r="A835" s="47">
        <f>IF(_imp!$C$837="","",INDEX(_imp!$D$4:$D$1503,_imp!$C$837))</f>
        <v/>
      </c>
      <c r="B835" s="47">
        <f>IF(_imp!$C$837="","",INDEX(_imp!$E$4:$E$1503,_imp!$C$837))</f>
        <v/>
      </c>
      <c r="C835" s="47">
        <f>IF(_imp!$C$837="","",INDEX(_imp!$F$4:$F$1503,_imp!$C$837))</f>
        <v/>
      </c>
      <c r="E835" s="47">
        <f>IF(_imp!$C$837="","",INDEX(_imp!$G$4:$G$1503,_imp!$C$837))</f>
        <v/>
      </c>
      <c r="F835" s="47">
        <f>IF(_imp!$C$837="","",INDEX(_imp!$H$4:$H$1503,_imp!$C$837))</f>
        <v/>
      </c>
      <c r="G835" s="47">
        <f>IF(_imp!$C$837="","",INDEX(_imp!$I$4:$I$1503,_imp!$C$837))</f>
        <v/>
      </c>
      <c r="K835" s="47">
        <f>IF(_imp!$C$837="","",INDEX(_imp!$J$4:$J$1503,_imp!$C$837))</f>
        <v/>
      </c>
    </row>
    <row r="836">
      <c r="A836" s="47">
        <f>IF(_imp!$C$838="","",INDEX(_imp!$D$4:$D$1503,_imp!$C$838))</f>
        <v/>
      </c>
      <c r="B836" s="47">
        <f>IF(_imp!$C$838="","",INDEX(_imp!$E$4:$E$1503,_imp!$C$838))</f>
        <v/>
      </c>
      <c r="C836" s="47">
        <f>IF(_imp!$C$838="","",INDEX(_imp!$F$4:$F$1503,_imp!$C$838))</f>
        <v/>
      </c>
      <c r="E836" s="47">
        <f>IF(_imp!$C$838="","",INDEX(_imp!$G$4:$G$1503,_imp!$C$838))</f>
        <v/>
      </c>
      <c r="F836" s="47">
        <f>IF(_imp!$C$838="","",INDEX(_imp!$H$4:$H$1503,_imp!$C$838))</f>
        <v/>
      </c>
      <c r="G836" s="47">
        <f>IF(_imp!$C$838="","",INDEX(_imp!$I$4:$I$1503,_imp!$C$838))</f>
        <v/>
      </c>
      <c r="K836" s="47">
        <f>IF(_imp!$C$838="","",INDEX(_imp!$J$4:$J$1503,_imp!$C$838))</f>
        <v/>
      </c>
    </row>
    <row r="837">
      <c r="A837" s="47">
        <f>IF(_imp!$C$839="","",INDEX(_imp!$D$4:$D$1503,_imp!$C$839))</f>
        <v/>
      </c>
      <c r="B837" s="47">
        <f>IF(_imp!$C$839="","",INDEX(_imp!$E$4:$E$1503,_imp!$C$839))</f>
        <v/>
      </c>
      <c r="C837" s="47">
        <f>IF(_imp!$C$839="","",INDEX(_imp!$F$4:$F$1503,_imp!$C$839))</f>
        <v/>
      </c>
      <c r="E837" s="47">
        <f>IF(_imp!$C$839="","",INDEX(_imp!$G$4:$G$1503,_imp!$C$839))</f>
        <v/>
      </c>
      <c r="F837" s="47">
        <f>IF(_imp!$C$839="","",INDEX(_imp!$H$4:$H$1503,_imp!$C$839))</f>
        <v/>
      </c>
      <c r="G837" s="47">
        <f>IF(_imp!$C$839="","",INDEX(_imp!$I$4:$I$1503,_imp!$C$839))</f>
        <v/>
      </c>
      <c r="K837" s="47">
        <f>IF(_imp!$C$839="","",INDEX(_imp!$J$4:$J$1503,_imp!$C$839))</f>
        <v/>
      </c>
    </row>
    <row r="838">
      <c r="A838" s="47">
        <f>IF(_imp!$C$840="","",INDEX(_imp!$D$4:$D$1503,_imp!$C$840))</f>
        <v/>
      </c>
      <c r="B838" s="47">
        <f>IF(_imp!$C$840="","",INDEX(_imp!$E$4:$E$1503,_imp!$C$840))</f>
        <v/>
      </c>
      <c r="C838" s="47">
        <f>IF(_imp!$C$840="","",INDEX(_imp!$F$4:$F$1503,_imp!$C$840))</f>
        <v/>
      </c>
      <c r="E838" s="47">
        <f>IF(_imp!$C$840="","",INDEX(_imp!$G$4:$G$1503,_imp!$C$840))</f>
        <v/>
      </c>
      <c r="F838" s="47">
        <f>IF(_imp!$C$840="","",INDEX(_imp!$H$4:$H$1503,_imp!$C$840))</f>
        <v/>
      </c>
      <c r="G838" s="47">
        <f>IF(_imp!$C$840="","",INDEX(_imp!$I$4:$I$1503,_imp!$C$840))</f>
        <v/>
      </c>
      <c r="K838" s="47">
        <f>IF(_imp!$C$840="","",INDEX(_imp!$J$4:$J$1503,_imp!$C$840))</f>
        <v/>
      </c>
    </row>
    <row r="839">
      <c r="A839" s="47">
        <f>IF(_imp!$C$841="","",INDEX(_imp!$D$4:$D$1503,_imp!$C$841))</f>
        <v/>
      </c>
      <c r="B839" s="47">
        <f>IF(_imp!$C$841="","",INDEX(_imp!$E$4:$E$1503,_imp!$C$841))</f>
        <v/>
      </c>
      <c r="C839" s="47">
        <f>IF(_imp!$C$841="","",INDEX(_imp!$F$4:$F$1503,_imp!$C$841))</f>
        <v/>
      </c>
      <c r="E839" s="47">
        <f>IF(_imp!$C$841="","",INDEX(_imp!$G$4:$G$1503,_imp!$C$841))</f>
        <v/>
      </c>
      <c r="F839" s="47">
        <f>IF(_imp!$C$841="","",INDEX(_imp!$H$4:$H$1503,_imp!$C$841))</f>
        <v/>
      </c>
      <c r="G839" s="47">
        <f>IF(_imp!$C$841="","",INDEX(_imp!$I$4:$I$1503,_imp!$C$841))</f>
        <v/>
      </c>
      <c r="K839" s="47">
        <f>IF(_imp!$C$841="","",INDEX(_imp!$J$4:$J$1503,_imp!$C$841))</f>
        <v/>
      </c>
    </row>
    <row r="840">
      <c r="A840" s="47">
        <f>IF(_imp!$C$842="","",INDEX(_imp!$D$4:$D$1503,_imp!$C$842))</f>
        <v/>
      </c>
      <c r="B840" s="47">
        <f>IF(_imp!$C$842="","",INDEX(_imp!$E$4:$E$1503,_imp!$C$842))</f>
        <v/>
      </c>
      <c r="C840" s="47">
        <f>IF(_imp!$C$842="","",INDEX(_imp!$F$4:$F$1503,_imp!$C$842))</f>
        <v/>
      </c>
      <c r="E840" s="47">
        <f>IF(_imp!$C$842="","",INDEX(_imp!$G$4:$G$1503,_imp!$C$842))</f>
        <v/>
      </c>
      <c r="F840" s="47">
        <f>IF(_imp!$C$842="","",INDEX(_imp!$H$4:$H$1503,_imp!$C$842))</f>
        <v/>
      </c>
      <c r="G840" s="47">
        <f>IF(_imp!$C$842="","",INDEX(_imp!$I$4:$I$1503,_imp!$C$842))</f>
        <v/>
      </c>
      <c r="K840" s="47">
        <f>IF(_imp!$C$842="","",INDEX(_imp!$J$4:$J$1503,_imp!$C$842))</f>
        <v/>
      </c>
    </row>
    <row r="841">
      <c r="A841" s="47">
        <f>IF(_imp!$C$843="","",INDEX(_imp!$D$4:$D$1503,_imp!$C$843))</f>
        <v/>
      </c>
      <c r="B841" s="47">
        <f>IF(_imp!$C$843="","",INDEX(_imp!$E$4:$E$1503,_imp!$C$843))</f>
        <v/>
      </c>
      <c r="C841" s="47">
        <f>IF(_imp!$C$843="","",INDEX(_imp!$F$4:$F$1503,_imp!$C$843))</f>
        <v/>
      </c>
      <c r="E841" s="47">
        <f>IF(_imp!$C$843="","",INDEX(_imp!$G$4:$G$1503,_imp!$C$843))</f>
        <v/>
      </c>
      <c r="F841" s="47">
        <f>IF(_imp!$C$843="","",INDEX(_imp!$H$4:$H$1503,_imp!$C$843))</f>
        <v/>
      </c>
      <c r="G841" s="47">
        <f>IF(_imp!$C$843="","",INDEX(_imp!$I$4:$I$1503,_imp!$C$843))</f>
        <v/>
      </c>
      <c r="K841" s="47">
        <f>IF(_imp!$C$843="","",INDEX(_imp!$J$4:$J$1503,_imp!$C$843))</f>
        <v/>
      </c>
    </row>
    <row r="842">
      <c r="A842" s="47">
        <f>IF(_imp!$C$844="","",INDEX(_imp!$D$4:$D$1503,_imp!$C$844))</f>
        <v/>
      </c>
      <c r="B842" s="47">
        <f>IF(_imp!$C$844="","",INDEX(_imp!$E$4:$E$1503,_imp!$C$844))</f>
        <v/>
      </c>
      <c r="C842" s="47">
        <f>IF(_imp!$C$844="","",INDEX(_imp!$F$4:$F$1503,_imp!$C$844))</f>
        <v/>
      </c>
      <c r="E842" s="47">
        <f>IF(_imp!$C$844="","",INDEX(_imp!$G$4:$G$1503,_imp!$C$844))</f>
        <v/>
      </c>
      <c r="F842" s="47">
        <f>IF(_imp!$C$844="","",INDEX(_imp!$H$4:$H$1503,_imp!$C$844))</f>
        <v/>
      </c>
      <c r="G842" s="47">
        <f>IF(_imp!$C$844="","",INDEX(_imp!$I$4:$I$1503,_imp!$C$844))</f>
        <v/>
      </c>
      <c r="K842" s="47">
        <f>IF(_imp!$C$844="","",INDEX(_imp!$J$4:$J$1503,_imp!$C$844))</f>
        <v/>
      </c>
    </row>
    <row r="843">
      <c r="A843" s="47">
        <f>IF(_imp!$C$845="","",INDEX(_imp!$D$4:$D$1503,_imp!$C$845))</f>
        <v/>
      </c>
      <c r="B843" s="47">
        <f>IF(_imp!$C$845="","",INDEX(_imp!$E$4:$E$1503,_imp!$C$845))</f>
        <v/>
      </c>
      <c r="C843" s="47">
        <f>IF(_imp!$C$845="","",INDEX(_imp!$F$4:$F$1503,_imp!$C$845))</f>
        <v/>
      </c>
      <c r="E843" s="47">
        <f>IF(_imp!$C$845="","",INDEX(_imp!$G$4:$G$1503,_imp!$C$845))</f>
        <v/>
      </c>
      <c r="F843" s="47">
        <f>IF(_imp!$C$845="","",INDEX(_imp!$H$4:$H$1503,_imp!$C$845))</f>
        <v/>
      </c>
      <c r="G843" s="47">
        <f>IF(_imp!$C$845="","",INDEX(_imp!$I$4:$I$1503,_imp!$C$845))</f>
        <v/>
      </c>
      <c r="K843" s="47">
        <f>IF(_imp!$C$845="","",INDEX(_imp!$J$4:$J$1503,_imp!$C$845))</f>
        <v/>
      </c>
    </row>
    <row r="844">
      <c r="A844" s="47">
        <f>IF(_imp!$C$846="","",INDEX(_imp!$D$4:$D$1503,_imp!$C$846))</f>
        <v/>
      </c>
      <c r="B844" s="47">
        <f>IF(_imp!$C$846="","",INDEX(_imp!$E$4:$E$1503,_imp!$C$846))</f>
        <v/>
      </c>
      <c r="C844" s="47">
        <f>IF(_imp!$C$846="","",INDEX(_imp!$F$4:$F$1503,_imp!$C$846))</f>
        <v/>
      </c>
      <c r="E844" s="47">
        <f>IF(_imp!$C$846="","",INDEX(_imp!$G$4:$G$1503,_imp!$C$846))</f>
        <v/>
      </c>
      <c r="F844" s="47">
        <f>IF(_imp!$C$846="","",INDEX(_imp!$H$4:$H$1503,_imp!$C$846))</f>
        <v/>
      </c>
      <c r="G844" s="47">
        <f>IF(_imp!$C$846="","",INDEX(_imp!$I$4:$I$1503,_imp!$C$846))</f>
        <v/>
      </c>
      <c r="K844" s="47">
        <f>IF(_imp!$C$846="","",INDEX(_imp!$J$4:$J$1503,_imp!$C$846))</f>
        <v/>
      </c>
    </row>
    <row r="845">
      <c r="A845" s="47">
        <f>IF(_imp!$C$847="","",INDEX(_imp!$D$4:$D$1503,_imp!$C$847))</f>
        <v/>
      </c>
      <c r="B845" s="47">
        <f>IF(_imp!$C$847="","",INDEX(_imp!$E$4:$E$1503,_imp!$C$847))</f>
        <v/>
      </c>
      <c r="C845" s="47">
        <f>IF(_imp!$C$847="","",INDEX(_imp!$F$4:$F$1503,_imp!$C$847))</f>
        <v/>
      </c>
      <c r="E845" s="47">
        <f>IF(_imp!$C$847="","",INDEX(_imp!$G$4:$G$1503,_imp!$C$847))</f>
        <v/>
      </c>
      <c r="F845" s="47">
        <f>IF(_imp!$C$847="","",INDEX(_imp!$H$4:$H$1503,_imp!$C$847))</f>
        <v/>
      </c>
      <c r="G845" s="47">
        <f>IF(_imp!$C$847="","",INDEX(_imp!$I$4:$I$1503,_imp!$C$847))</f>
        <v/>
      </c>
      <c r="K845" s="47">
        <f>IF(_imp!$C$847="","",INDEX(_imp!$J$4:$J$1503,_imp!$C$847))</f>
        <v/>
      </c>
    </row>
    <row r="846">
      <c r="A846" s="47">
        <f>IF(_imp!$C$848="","",INDEX(_imp!$D$4:$D$1503,_imp!$C$848))</f>
        <v/>
      </c>
      <c r="B846" s="47">
        <f>IF(_imp!$C$848="","",INDEX(_imp!$E$4:$E$1503,_imp!$C$848))</f>
        <v/>
      </c>
      <c r="C846" s="47">
        <f>IF(_imp!$C$848="","",INDEX(_imp!$F$4:$F$1503,_imp!$C$848))</f>
        <v/>
      </c>
      <c r="E846" s="47">
        <f>IF(_imp!$C$848="","",INDEX(_imp!$G$4:$G$1503,_imp!$C$848))</f>
        <v/>
      </c>
      <c r="F846" s="47">
        <f>IF(_imp!$C$848="","",INDEX(_imp!$H$4:$H$1503,_imp!$C$848))</f>
        <v/>
      </c>
      <c r="G846" s="47">
        <f>IF(_imp!$C$848="","",INDEX(_imp!$I$4:$I$1503,_imp!$C$848))</f>
        <v/>
      </c>
      <c r="K846" s="47">
        <f>IF(_imp!$C$848="","",INDEX(_imp!$J$4:$J$1503,_imp!$C$848))</f>
        <v/>
      </c>
    </row>
    <row r="847">
      <c r="A847" s="47">
        <f>IF(_imp!$C$849="","",INDEX(_imp!$D$4:$D$1503,_imp!$C$849))</f>
        <v/>
      </c>
      <c r="B847" s="47">
        <f>IF(_imp!$C$849="","",INDEX(_imp!$E$4:$E$1503,_imp!$C$849))</f>
        <v/>
      </c>
      <c r="C847" s="47">
        <f>IF(_imp!$C$849="","",INDEX(_imp!$F$4:$F$1503,_imp!$C$849))</f>
        <v/>
      </c>
      <c r="E847" s="47">
        <f>IF(_imp!$C$849="","",INDEX(_imp!$G$4:$G$1503,_imp!$C$849))</f>
        <v/>
      </c>
      <c r="F847" s="47">
        <f>IF(_imp!$C$849="","",INDEX(_imp!$H$4:$H$1503,_imp!$C$849))</f>
        <v/>
      </c>
      <c r="G847" s="47">
        <f>IF(_imp!$C$849="","",INDEX(_imp!$I$4:$I$1503,_imp!$C$849))</f>
        <v/>
      </c>
      <c r="K847" s="47">
        <f>IF(_imp!$C$849="","",INDEX(_imp!$J$4:$J$1503,_imp!$C$849))</f>
        <v/>
      </c>
    </row>
    <row r="848">
      <c r="A848" s="47">
        <f>IF(_imp!$C$850="","",INDEX(_imp!$D$4:$D$1503,_imp!$C$850))</f>
        <v/>
      </c>
      <c r="B848" s="47">
        <f>IF(_imp!$C$850="","",INDEX(_imp!$E$4:$E$1503,_imp!$C$850))</f>
        <v/>
      </c>
      <c r="C848" s="47">
        <f>IF(_imp!$C$850="","",INDEX(_imp!$F$4:$F$1503,_imp!$C$850))</f>
        <v/>
      </c>
      <c r="E848" s="47">
        <f>IF(_imp!$C$850="","",INDEX(_imp!$G$4:$G$1503,_imp!$C$850))</f>
        <v/>
      </c>
      <c r="F848" s="47">
        <f>IF(_imp!$C$850="","",INDEX(_imp!$H$4:$H$1503,_imp!$C$850))</f>
        <v/>
      </c>
      <c r="G848" s="47">
        <f>IF(_imp!$C$850="","",INDEX(_imp!$I$4:$I$1503,_imp!$C$850))</f>
        <v/>
      </c>
      <c r="K848" s="47">
        <f>IF(_imp!$C$850="","",INDEX(_imp!$J$4:$J$1503,_imp!$C$850))</f>
        <v/>
      </c>
    </row>
    <row r="849">
      <c r="A849" s="47">
        <f>IF(_imp!$C$851="","",INDEX(_imp!$D$4:$D$1503,_imp!$C$851))</f>
        <v/>
      </c>
      <c r="B849" s="47">
        <f>IF(_imp!$C$851="","",INDEX(_imp!$E$4:$E$1503,_imp!$C$851))</f>
        <v/>
      </c>
      <c r="C849" s="47">
        <f>IF(_imp!$C$851="","",INDEX(_imp!$F$4:$F$1503,_imp!$C$851))</f>
        <v/>
      </c>
      <c r="E849" s="47">
        <f>IF(_imp!$C$851="","",INDEX(_imp!$G$4:$G$1503,_imp!$C$851))</f>
        <v/>
      </c>
      <c r="F849" s="47">
        <f>IF(_imp!$C$851="","",INDEX(_imp!$H$4:$H$1503,_imp!$C$851))</f>
        <v/>
      </c>
      <c r="G849" s="47">
        <f>IF(_imp!$C$851="","",INDEX(_imp!$I$4:$I$1503,_imp!$C$851))</f>
        <v/>
      </c>
      <c r="K849" s="47">
        <f>IF(_imp!$C$851="","",INDEX(_imp!$J$4:$J$1503,_imp!$C$851))</f>
        <v/>
      </c>
    </row>
    <row r="850">
      <c r="A850" s="47">
        <f>IF(_imp!$C$852="","",INDEX(_imp!$D$4:$D$1503,_imp!$C$852))</f>
        <v/>
      </c>
      <c r="B850" s="47">
        <f>IF(_imp!$C$852="","",INDEX(_imp!$E$4:$E$1503,_imp!$C$852))</f>
        <v/>
      </c>
      <c r="C850" s="47">
        <f>IF(_imp!$C$852="","",INDEX(_imp!$F$4:$F$1503,_imp!$C$852))</f>
        <v/>
      </c>
      <c r="E850" s="47">
        <f>IF(_imp!$C$852="","",INDEX(_imp!$G$4:$G$1503,_imp!$C$852))</f>
        <v/>
      </c>
      <c r="F850" s="47">
        <f>IF(_imp!$C$852="","",INDEX(_imp!$H$4:$H$1503,_imp!$C$852))</f>
        <v/>
      </c>
      <c r="G850" s="47">
        <f>IF(_imp!$C$852="","",INDEX(_imp!$I$4:$I$1503,_imp!$C$852))</f>
        <v/>
      </c>
      <c r="K850" s="47">
        <f>IF(_imp!$C$852="","",INDEX(_imp!$J$4:$J$1503,_imp!$C$852))</f>
        <v/>
      </c>
    </row>
    <row r="851">
      <c r="A851" s="47">
        <f>IF(_imp!$C$853="","",INDEX(_imp!$D$4:$D$1503,_imp!$C$853))</f>
        <v/>
      </c>
      <c r="B851" s="47">
        <f>IF(_imp!$C$853="","",INDEX(_imp!$E$4:$E$1503,_imp!$C$853))</f>
        <v/>
      </c>
      <c r="C851" s="47">
        <f>IF(_imp!$C$853="","",INDEX(_imp!$F$4:$F$1503,_imp!$C$853))</f>
        <v/>
      </c>
      <c r="E851" s="47">
        <f>IF(_imp!$C$853="","",INDEX(_imp!$G$4:$G$1503,_imp!$C$853))</f>
        <v/>
      </c>
      <c r="F851" s="47">
        <f>IF(_imp!$C$853="","",INDEX(_imp!$H$4:$H$1503,_imp!$C$853))</f>
        <v/>
      </c>
      <c r="G851" s="47">
        <f>IF(_imp!$C$853="","",INDEX(_imp!$I$4:$I$1503,_imp!$C$853))</f>
        <v/>
      </c>
      <c r="K851" s="47">
        <f>IF(_imp!$C$853="","",INDEX(_imp!$J$4:$J$1503,_imp!$C$853))</f>
        <v/>
      </c>
    </row>
    <row r="852">
      <c r="A852" s="47">
        <f>IF(_imp!$C$854="","",INDEX(_imp!$D$4:$D$1503,_imp!$C$854))</f>
        <v/>
      </c>
      <c r="B852" s="47">
        <f>IF(_imp!$C$854="","",INDEX(_imp!$E$4:$E$1503,_imp!$C$854))</f>
        <v/>
      </c>
      <c r="C852" s="47">
        <f>IF(_imp!$C$854="","",INDEX(_imp!$F$4:$F$1503,_imp!$C$854))</f>
        <v/>
      </c>
      <c r="E852" s="47">
        <f>IF(_imp!$C$854="","",INDEX(_imp!$G$4:$G$1503,_imp!$C$854))</f>
        <v/>
      </c>
      <c r="F852" s="47">
        <f>IF(_imp!$C$854="","",INDEX(_imp!$H$4:$H$1503,_imp!$C$854))</f>
        <v/>
      </c>
      <c r="G852" s="47">
        <f>IF(_imp!$C$854="","",INDEX(_imp!$I$4:$I$1503,_imp!$C$854))</f>
        <v/>
      </c>
      <c r="K852" s="47">
        <f>IF(_imp!$C$854="","",INDEX(_imp!$J$4:$J$1503,_imp!$C$854))</f>
        <v/>
      </c>
    </row>
    <row r="853">
      <c r="A853" s="47">
        <f>IF(_imp!$C$855="","",INDEX(_imp!$D$4:$D$1503,_imp!$C$855))</f>
        <v/>
      </c>
      <c r="B853" s="47">
        <f>IF(_imp!$C$855="","",INDEX(_imp!$E$4:$E$1503,_imp!$C$855))</f>
        <v/>
      </c>
      <c r="C853" s="47">
        <f>IF(_imp!$C$855="","",INDEX(_imp!$F$4:$F$1503,_imp!$C$855))</f>
        <v/>
      </c>
      <c r="E853" s="47">
        <f>IF(_imp!$C$855="","",INDEX(_imp!$G$4:$G$1503,_imp!$C$855))</f>
        <v/>
      </c>
      <c r="F853" s="47">
        <f>IF(_imp!$C$855="","",INDEX(_imp!$H$4:$H$1503,_imp!$C$855))</f>
        <v/>
      </c>
      <c r="G853" s="47">
        <f>IF(_imp!$C$855="","",INDEX(_imp!$I$4:$I$1503,_imp!$C$855))</f>
        <v/>
      </c>
      <c r="K853" s="47">
        <f>IF(_imp!$C$855="","",INDEX(_imp!$J$4:$J$1503,_imp!$C$855))</f>
        <v/>
      </c>
    </row>
    <row r="854">
      <c r="A854" s="47">
        <f>IF(_imp!$C$856="","",INDEX(_imp!$D$4:$D$1503,_imp!$C$856))</f>
        <v/>
      </c>
      <c r="B854" s="47">
        <f>IF(_imp!$C$856="","",INDEX(_imp!$E$4:$E$1503,_imp!$C$856))</f>
        <v/>
      </c>
      <c r="C854" s="47">
        <f>IF(_imp!$C$856="","",INDEX(_imp!$F$4:$F$1503,_imp!$C$856))</f>
        <v/>
      </c>
      <c r="E854" s="47">
        <f>IF(_imp!$C$856="","",INDEX(_imp!$G$4:$G$1503,_imp!$C$856))</f>
        <v/>
      </c>
      <c r="F854" s="47">
        <f>IF(_imp!$C$856="","",INDEX(_imp!$H$4:$H$1503,_imp!$C$856))</f>
        <v/>
      </c>
      <c r="G854" s="47">
        <f>IF(_imp!$C$856="","",INDEX(_imp!$I$4:$I$1503,_imp!$C$856))</f>
        <v/>
      </c>
      <c r="K854" s="47">
        <f>IF(_imp!$C$856="","",INDEX(_imp!$J$4:$J$1503,_imp!$C$856))</f>
        <v/>
      </c>
    </row>
    <row r="855">
      <c r="A855" s="47">
        <f>IF(_imp!$C$857="","",INDEX(_imp!$D$4:$D$1503,_imp!$C$857))</f>
        <v/>
      </c>
      <c r="B855" s="47">
        <f>IF(_imp!$C$857="","",INDEX(_imp!$E$4:$E$1503,_imp!$C$857))</f>
        <v/>
      </c>
      <c r="C855" s="47">
        <f>IF(_imp!$C$857="","",INDEX(_imp!$F$4:$F$1503,_imp!$C$857))</f>
        <v/>
      </c>
      <c r="E855" s="47">
        <f>IF(_imp!$C$857="","",INDEX(_imp!$G$4:$G$1503,_imp!$C$857))</f>
        <v/>
      </c>
      <c r="F855" s="47">
        <f>IF(_imp!$C$857="","",INDEX(_imp!$H$4:$H$1503,_imp!$C$857))</f>
        <v/>
      </c>
      <c r="G855" s="47">
        <f>IF(_imp!$C$857="","",INDEX(_imp!$I$4:$I$1503,_imp!$C$857))</f>
        <v/>
      </c>
      <c r="K855" s="47">
        <f>IF(_imp!$C$857="","",INDEX(_imp!$J$4:$J$1503,_imp!$C$857))</f>
        <v/>
      </c>
    </row>
    <row r="856">
      <c r="A856" s="47">
        <f>IF(_imp!$C$858="","",INDEX(_imp!$D$4:$D$1503,_imp!$C$858))</f>
        <v/>
      </c>
      <c r="B856" s="47">
        <f>IF(_imp!$C$858="","",INDEX(_imp!$E$4:$E$1503,_imp!$C$858))</f>
        <v/>
      </c>
      <c r="C856" s="47">
        <f>IF(_imp!$C$858="","",INDEX(_imp!$F$4:$F$1503,_imp!$C$858))</f>
        <v/>
      </c>
      <c r="E856" s="47">
        <f>IF(_imp!$C$858="","",INDEX(_imp!$G$4:$G$1503,_imp!$C$858))</f>
        <v/>
      </c>
      <c r="F856" s="47">
        <f>IF(_imp!$C$858="","",INDEX(_imp!$H$4:$H$1503,_imp!$C$858))</f>
        <v/>
      </c>
      <c r="G856" s="47">
        <f>IF(_imp!$C$858="","",INDEX(_imp!$I$4:$I$1503,_imp!$C$858))</f>
        <v/>
      </c>
      <c r="K856" s="47">
        <f>IF(_imp!$C$858="","",INDEX(_imp!$J$4:$J$1503,_imp!$C$858))</f>
        <v/>
      </c>
    </row>
    <row r="857">
      <c r="A857" s="47">
        <f>IF(_imp!$C$859="","",INDEX(_imp!$D$4:$D$1503,_imp!$C$859))</f>
        <v/>
      </c>
      <c r="B857" s="47">
        <f>IF(_imp!$C$859="","",INDEX(_imp!$E$4:$E$1503,_imp!$C$859))</f>
        <v/>
      </c>
      <c r="C857" s="47">
        <f>IF(_imp!$C$859="","",INDEX(_imp!$F$4:$F$1503,_imp!$C$859))</f>
        <v/>
      </c>
      <c r="E857" s="47">
        <f>IF(_imp!$C$859="","",INDEX(_imp!$G$4:$G$1503,_imp!$C$859))</f>
        <v/>
      </c>
      <c r="F857" s="47">
        <f>IF(_imp!$C$859="","",INDEX(_imp!$H$4:$H$1503,_imp!$C$859))</f>
        <v/>
      </c>
      <c r="G857" s="47">
        <f>IF(_imp!$C$859="","",INDEX(_imp!$I$4:$I$1503,_imp!$C$859))</f>
        <v/>
      </c>
      <c r="K857" s="47">
        <f>IF(_imp!$C$859="","",INDEX(_imp!$J$4:$J$1503,_imp!$C$859))</f>
        <v/>
      </c>
    </row>
    <row r="858">
      <c r="A858" s="47">
        <f>IF(_imp!$C$860="","",INDEX(_imp!$D$4:$D$1503,_imp!$C$860))</f>
        <v/>
      </c>
      <c r="B858" s="47">
        <f>IF(_imp!$C$860="","",INDEX(_imp!$E$4:$E$1503,_imp!$C$860))</f>
        <v/>
      </c>
      <c r="C858" s="47">
        <f>IF(_imp!$C$860="","",INDEX(_imp!$F$4:$F$1503,_imp!$C$860))</f>
        <v/>
      </c>
      <c r="E858" s="47">
        <f>IF(_imp!$C$860="","",INDEX(_imp!$G$4:$G$1503,_imp!$C$860))</f>
        <v/>
      </c>
      <c r="F858" s="47">
        <f>IF(_imp!$C$860="","",INDEX(_imp!$H$4:$H$1503,_imp!$C$860))</f>
        <v/>
      </c>
      <c r="G858" s="47">
        <f>IF(_imp!$C$860="","",INDEX(_imp!$I$4:$I$1503,_imp!$C$860))</f>
        <v/>
      </c>
      <c r="K858" s="47">
        <f>IF(_imp!$C$860="","",INDEX(_imp!$J$4:$J$1503,_imp!$C$860))</f>
        <v/>
      </c>
    </row>
    <row r="859">
      <c r="A859" s="47">
        <f>IF(_imp!$C$861="","",INDEX(_imp!$D$4:$D$1503,_imp!$C$861))</f>
        <v/>
      </c>
      <c r="B859" s="47">
        <f>IF(_imp!$C$861="","",INDEX(_imp!$E$4:$E$1503,_imp!$C$861))</f>
        <v/>
      </c>
      <c r="C859" s="47">
        <f>IF(_imp!$C$861="","",INDEX(_imp!$F$4:$F$1503,_imp!$C$861))</f>
        <v/>
      </c>
      <c r="E859" s="47">
        <f>IF(_imp!$C$861="","",INDEX(_imp!$G$4:$G$1503,_imp!$C$861))</f>
        <v/>
      </c>
      <c r="F859" s="47">
        <f>IF(_imp!$C$861="","",INDEX(_imp!$H$4:$H$1503,_imp!$C$861))</f>
        <v/>
      </c>
      <c r="G859" s="47">
        <f>IF(_imp!$C$861="","",INDEX(_imp!$I$4:$I$1503,_imp!$C$861))</f>
        <v/>
      </c>
      <c r="K859" s="47">
        <f>IF(_imp!$C$861="","",INDEX(_imp!$J$4:$J$1503,_imp!$C$861))</f>
        <v/>
      </c>
    </row>
    <row r="860">
      <c r="A860" s="47">
        <f>IF(_imp!$C$862="","",INDEX(_imp!$D$4:$D$1503,_imp!$C$862))</f>
        <v/>
      </c>
      <c r="B860" s="47">
        <f>IF(_imp!$C$862="","",INDEX(_imp!$E$4:$E$1503,_imp!$C$862))</f>
        <v/>
      </c>
      <c r="C860" s="47">
        <f>IF(_imp!$C$862="","",INDEX(_imp!$F$4:$F$1503,_imp!$C$862))</f>
        <v/>
      </c>
      <c r="E860" s="47">
        <f>IF(_imp!$C$862="","",INDEX(_imp!$G$4:$G$1503,_imp!$C$862))</f>
        <v/>
      </c>
      <c r="F860" s="47">
        <f>IF(_imp!$C$862="","",INDEX(_imp!$H$4:$H$1503,_imp!$C$862))</f>
        <v/>
      </c>
      <c r="G860" s="47">
        <f>IF(_imp!$C$862="","",INDEX(_imp!$I$4:$I$1503,_imp!$C$862))</f>
        <v/>
      </c>
      <c r="K860" s="47">
        <f>IF(_imp!$C$862="","",INDEX(_imp!$J$4:$J$1503,_imp!$C$862))</f>
        <v/>
      </c>
    </row>
    <row r="861">
      <c r="A861" s="47">
        <f>IF(_imp!$C$863="","",INDEX(_imp!$D$4:$D$1503,_imp!$C$863))</f>
        <v/>
      </c>
      <c r="B861" s="47">
        <f>IF(_imp!$C$863="","",INDEX(_imp!$E$4:$E$1503,_imp!$C$863))</f>
        <v/>
      </c>
      <c r="C861" s="47">
        <f>IF(_imp!$C$863="","",INDEX(_imp!$F$4:$F$1503,_imp!$C$863))</f>
        <v/>
      </c>
      <c r="E861" s="47">
        <f>IF(_imp!$C$863="","",INDEX(_imp!$G$4:$G$1503,_imp!$C$863))</f>
        <v/>
      </c>
      <c r="F861" s="47">
        <f>IF(_imp!$C$863="","",INDEX(_imp!$H$4:$H$1503,_imp!$C$863))</f>
        <v/>
      </c>
      <c r="G861" s="47">
        <f>IF(_imp!$C$863="","",INDEX(_imp!$I$4:$I$1503,_imp!$C$863))</f>
        <v/>
      </c>
      <c r="K861" s="47">
        <f>IF(_imp!$C$863="","",INDEX(_imp!$J$4:$J$1503,_imp!$C$863))</f>
        <v/>
      </c>
    </row>
    <row r="862">
      <c r="A862" s="47">
        <f>IF(_imp!$C$864="","",INDEX(_imp!$D$4:$D$1503,_imp!$C$864))</f>
        <v/>
      </c>
      <c r="B862" s="47">
        <f>IF(_imp!$C$864="","",INDEX(_imp!$E$4:$E$1503,_imp!$C$864))</f>
        <v/>
      </c>
      <c r="C862" s="47">
        <f>IF(_imp!$C$864="","",INDEX(_imp!$F$4:$F$1503,_imp!$C$864))</f>
        <v/>
      </c>
      <c r="E862" s="47">
        <f>IF(_imp!$C$864="","",INDEX(_imp!$G$4:$G$1503,_imp!$C$864))</f>
        <v/>
      </c>
      <c r="F862" s="47">
        <f>IF(_imp!$C$864="","",INDEX(_imp!$H$4:$H$1503,_imp!$C$864))</f>
        <v/>
      </c>
      <c r="G862" s="47">
        <f>IF(_imp!$C$864="","",INDEX(_imp!$I$4:$I$1503,_imp!$C$864))</f>
        <v/>
      </c>
      <c r="K862" s="47">
        <f>IF(_imp!$C$864="","",INDEX(_imp!$J$4:$J$1503,_imp!$C$864))</f>
        <v/>
      </c>
    </row>
    <row r="863">
      <c r="A863" s="47">
        <f>IF(_imp!$C$865="","",INDEX(_imp!$D$4:$D$1503,_imp!$C$865))</f>
        <v/>
      </c>
      <c r="B863" s="47">
        <f>IF(_imp!$C$865="","",INDEX(_imp!$E$4:$E$1503,_imp!$C$865))</f>
        <v/>
      </c>
      <c r="C863" s="47">
        <f>IF(_imp!$C$865="","",INDEX(_imp!$F$4:$F$1503,_imp!$C$865))</f>
        <v/>
      </c>
      <c r="E863" s="47">
        <f>IF(_imp!$C$865="","",INDEX(_imp!$G$4:$G$1503,_imp!$C$865))</f>
        <v/>
      </c>
      <c r="F863" s="47">
        <f>IF(_imp!$C$865="","",INDEX(_imp!$H$4:$H$1503,_imp!$C$865))</f>
        <v/>
      </c>
      <c r="G863" s="47">
        <f>IF(_imp!$C$865="","",INDEX(_imp!$I$4:$I$1503,_imp!$C$865))</f>
        <v/>
      </c>
      <c r="K863" s="47">
        <f>IF(_imp!$C$865="","",INDEX(_imp!$J$4:$J$1503,_imp!$C$865))</f>
        <v/>
      </c>
    </row>
    <row r="864">
      <c r="A864" s="47">
        <f>IF(_imp!$C$866="","",INDEX(_imp!$D$4:$D$1503,_imp!$C$866))</f>
        <v/>
      </c>
      <c r="B864" s="47">
        <f>IF(_imp!$C$866="","",INDEX(_imp!$E$4:$E$1503,_imp!$C$866))</f>
        <v/>
      </c>
      <c r="C864" s="47">
        <f>IF(_imp!$C$866="","",INDEX(_imp!$F$4:$F$1503,_imp!$C$866))</f>
        <v/>
      </c>
      <c r="E864" s="47">
        <f>IF(_imp!$C$866="","",INDEX(_imp!$G$4:$G$1503,_imp!$C$866))</f>
        <v/>
      </c>
      <c r="F864" s="47">
        <f>IF(_imp!$C$866="","",INDEX(_imp!$H$4:$H$1503,_imp!$C$866))</f>
        <v/>
      </c>
      <c r="G864" s="47">
        <f>IF(_imp!$C$866="","",INDEX(_imp!$I$4:$I$1503,_imp!$C$866))</f>
        <v/>
      </c>
      <c r="K864" s="47">
        <f>IF(_imp!$C$866="","",INDEX(_imp!$J$4:$J$1503,_imp!$C$866))</f>
        <v/>
      </c>
    </row>
    <row r="865">
      <c r="A865" s="47">
        <f>IF(_imp!$C$867="","",INDEX(_imp!$D$4:$D$1503,_imp!$C$867))</f>
        <v/>
      </c>
      <c r="B865" s="47">
        <f>IF(_imp!$C$867="","",INDEX(_imp!$E$4:$E$1503,_imp!$C$867))</f>
        <v/>
      </c>
      <c r="C865" s="47">
        <f>IF(_imp!$C$867="","",INDEX(_imp!$F$4:$F$1503,_imp!$C$867))</f>
        <v/>
      </c>
      <c r="E865" s="47">
        <f>IF(_imp!$C$867="","",INDEX(_imp!$G$4:$G$1503,_imp!$C$867))</f>
        <v/>
      </c>
      <c r="F865" s="47">
        <f>IF(_imp!$C$867="","",INDEX(_imp!$H$4:$H$1503,_imp!$C$867))</f>
        <v/>
      </c>
      <c r="G865" s="47">
        <f>IF(_imp!$C$867="","",INDEX(_imp!$I$4:$I$1503,_imp!$C$867))</f>
        <v/>
      </c>
      <c r="K865" s="47">
        <f>IF(_imp!$C$867="","",INDEX(_imp!$J$4:$J$1503,_imp!$C$867))</f>
        <v/>
      </c>
    </row>
    <row r="866">
      <c r="A866" s="47">
        <f>IF(_imp!$C$868="","",INDEX(_imp!$D$4:$D$1503,_imp!$C$868))</f>
        <v/>
      </c>
      <c r="B866" s="47">
        <f>IF(_imp!$C$868="","",INDEX(_imp!$E$4:$E$1503,_imp!$C$868))</f>
        <v/>
      </c>
      <c r="C866" s="47">
        <f>IF(_imp!$C$868="","",INDEX(_imp!$F$4:$F$1503,_imp!$C$868))</f>
        <v/>
      </c>
      <c r="E866" s="47">
        <f>IF(_imp!$C$868="","",INDEX(_imp!$G$4:$G$1503,_imp!$C$868))</f>
        <v/>
      </c>
      <c r="F866" s="47">
        <f>IF(_imp!$C$868="","",INDEX(_imp!$H$4:$H$1503,_imp!$C$868))</f>
        <v/>
      </c>
      <c r="G866" s="47">
        <f>IF(_imp!$C$868="","",INDEX(_imp!$I$4:$I$1503,_imp!$C$868))</f>
        <v/>
      </c>
      <c r="K866" s="47">
        <f>IF(_imp!$C$868="","",INDEX(_imp!$J$4:$J$1503,_imp!$C$868))</f>
        <v/>
      </c>
    </row>
    <row r="867">
      <c r="A867" s="47">
        <f>IF(_imp!$C$869="","",INDEX(_imp!$D$4:$D$1503,_imp!$C$869))</f>
        <v/>
      </c>
      <c r="B867" s="47">
        <f>IF(_imp!$C$869="","",INDEX(_imp!$E$4:$E$1503,_imp!$C$869))</f>
        <v/>
      </c>
      <c r="C867" s="47">
        <f>IF(_imp!$C$869="","",INDEX(_imp!$F$4:$F$1503,_imp!$C$869))</f>
        <v/>
      </c>
      <c r="E867" s="47">
        <f>IF(_imp!$C$869="","",INDEX(_imp!$G$4:$G$1503,_imp!$C$869))</f>
        <v/>
      </c>
      <c r="F867" s="47">
        <f>IF(_imp!$C$869="","",INDEX(_imp!$H$4:$H$1503,_imp!$C$869))</f>
        <v/>
      </c>
      <c r="G867" s="47">
        <f>IF(_imp!$C$869="","",INDEX(_imp!$I$4:$I$1503,_imp!$C$869))</f>
        <v/>
      </c>
      <c r="K867" s="47">
        <f>IF(_imp!$C$869="","",INDEX(_imp!$J$4:$J$1503,_imp!$C$869))</f>
        <v/>
      </c>
    </row>
    <row r="868">
      <c r="A868" s="47">
        <f>IF(_imp!$C$870="","",INDEX(_imp!$D$4:$D$1503,_imp!$C$870))</f>
        <v/>
      </c>
      <c r="B868" s="47">
        <f>IF(_imp!$C$870="","",INDEX(_imp!$E$4:$E$1503,_imp!$C$870))</f>
        <v/>
      </c>
      <c r="C868" s="47">
        <f>IF(_imp!$C$870="","",INDEX(_imp!$F$4:$F$1503,_imp!$C$870))</f>
        <v/>
      </c>
      <c r="E868" s="47">
        <f>IF(_imp!$C$870="","",INDEX(_imp!$G$4:$G$1503,_imp!$C$870))</f>
        <v/>
      </c>
      <c r="F868" s="47">
        <f>IF(_imp!$C$870="","",INDEX(_imp!$H$4:$H$1503,_imp!$C$870))</f>
        <v/>
      </c>
      <c r="G868" s="47">
        <f>IF(_imp!$C$870="","",INDEX(_imp!$I$4:$I$1503,_imp!$C$870))</f>
        <v/>
      </c>
      <c r="K868" s="47">
        <f>IF(_imp!$C$870="","",INDEX(_imp!$J$4:$J$1503,_imp!$C$870))</f>
        <v/>
      </c>
    </row>
    <row r="869">
      <c r="A869" s="47">
        <f>IF(_imp!$C$871="","",INDEX(_imp!$D$4:$D$1503,_imp!$C$871))</f>
        <v/>
      </c>
      <c r="B869" s="47">
        <f>IF(_imp!$C$871="","",INDEX(_imp!$E$4:$E$1503,_imp!$C$871))</f>
        <v/>
      </c>
      <c r="C869" s="47">
        <f>IF(_imp!$C$871="","",INDEX(_imp!$F$4:$F$1503,_imp!$C$871))</f>
        <v/>
      </c>
      <c r="E869" s="47">
        <f>IF(_imp!$C$871="","",INDEX(_imp!$G$4:$G$1503,_imp!$C$871))</f>
        <v/>
      </c>
      <c r="F869" s="47">
        <f>IF(_imp!$C$871="","",INDEX(_imp!$H$4:$H$1503,_imp!$C$871))</f>
        <v/>
      </c>
      <c r="G869" s="47">
        <f>IF(_imp!$C$871="","",INDEX(_imp!$I$4:$I$1503,_imp!$C$871))</f>
        <v/>
      </c>
      <c r="K869" s="47">
        <f>IF(_imp!$C$871="","",INDEX(_imp!$J$4:$J$1503,_imp!$C$871))</f>
        <v/>
      </c>
    </row>
    <row r="870">
      <c r="A870" s="47">
        <f>IF(_imp!$C$872="","",INDEX(_imp!$D$4:$D$1503,_imp!$C$872))</f>
        <v/>
      </c>
      <c r="B870" s="47">
        <f>IF(_imp!$C$872="","",INDEX(_imp!$E$4:$E$1503,_imp!$C$872))</f>
        <v/>
      </c>
      <c r="C870" s="47">
        <f>IF(_imp!$C$872="","",INDEX(_imp!$F$4:$F$1503,_imp!$C$872))</f>
        <v/>
      </c>
      <c r="E870" s="47">
        <f>IF(_imp!$C$872="","",INDEX(_imp!$G$4:$G$1503,_imp!$C$872))</f>
        <v/>
      </c>
      <c r="F870" s="47">
        <f>IF(_imp!$C$872="","",INDEX(_imp!$H$4:$H$1503,_imp!$C$872))</f>
        <v/>
      </c>
      <c r="G870" s="47">
        <f>IF(_imp!$C$872="","",INDEX(_imp!$I$4:$I$1503,_imp!$C$872))</f>
        <v/>
      </c>
      <c r="K870" s="47">
        <f>IF(_imp!$C$872="","",INDEX(_imp!$J$4:$J$1503,_imp!$C$872))</f>
        <v/>
      </c>
    </row>
    <row r="871">
      <c r="A871" s="47">
        <f>IF(_imp!$C$873="","",INDEX(_imp!$D$4:$D$1503,_imp!$C$873))</f>
        <v/>
      </c>
      <c r="B871" s="47">
        <f>IF(_imp!$C$873="","",INDEX(_imp!$E$4:$E$1503,_imp!$C$873))</f>
        <v/>
      </c>
      <c r="C871" s="47">
        <f>IF(_imp!$C$873="","",INDEX(_imp!$F$4:$F$1503,_imp!$C$873))</f>
        <v/>
      </c>
      <c r="E871" s="47">
        <f>IF(_imp!$C$873="","",INDEX(_imp!$G$4:$G$1503,_imp!$C$873))</f>
        <v/>
      </c>
      <c r="F871" s="47">
        <f>IF(_imp!$C$873="","",INDEX(_imp!$H$4:$H$1503,_imp!$C$873))</f>
        <v/>
      </c>
      <c r="G871" s="47">
        <f>IF(_imp!$C$873="","",INDEX(_imp!$I$4:$I$1503,_imp!$C$873))</f>
        <v/>
      </c>
      <c r="K871" s="47">
        <f>IF(_imp!$C$873="","",INDEX(_imp!$J$4:$J$1503,_imp!$C$873))</f>
        <v/>
      </c>
    </row>
    <row r="872">
      <c r="A872" s="47">
        <f>IF(_imp!$C$874="","",INDEX(_imp!$D$4:$D$1503,_imp!$C$874))</f>
        <v/>
      </c>
      <c r="B872" s="47">
        <f>IF(_imp!$C$874="","",INDEX(_imp!$E$4:$E$1503,_imp!$C$874))</f>
        <v/>
      </c>
      <c r="C872" s="47">
        <f>IF(_imp!$C$874="","",INDEX(_imp!$F$4:$F$1503,_imp!$C$874))</f>
        <v/>
      </c>
      <c r="E872" s="47">
        <f>IF(_imp!$C$874="","",INDEX(_imp!$G$4:$G$1503,_imp!$C$874))</f>
        <v/>
      </c>
      <c r="F872" s="47">
        <f>IF(_imp!$C$874="","",INDEX(_imp!$H$4:$H$1503,_imp!$C$874))</f>
        <v/>
      </c>
      <c r="G872" s="47">
        <f>IF(_imp!$C$874="","",INDEX(_imp!$I$4:$I$1503,_imp!$C$874))</f>
        <v/>
      </c>
      <c r="K872" s="47">
        <f>IF(_imp!$C$874="","",INDEX(_imp!$J$4:$J$1503,_imp!$C$874))</f>
        <v/>
      </c>
    </row>
    <row r="873">
      <c r="A873" s="47">
        <f>IF(_imp!$C$875="","",INDEX(_imp!$D$4:$D$1503,_imp!$C$875))</f>
        <v/>
      </c>
      <c r="B873" s="47">
        <f>IF(_imp!$C$875="","",INDEX(_imp!$E$4:$E$1503,_imp!$C$875))</f>
        <v/>
      </c>
      <c r="C873" s="47">
        <f>IF(_imp!$C$875="","",INDEX(_imp!$F$4:$F$1503,_imp!$C$875))</f>
        <v/>
      </c>
      <c r="E873" s="47">
        <f>IF(_imp!$C$875="","",INDEX(_imp!$G$4:$G$1503,_imp!$C$875))</f>
        <v/>
      </c>
      <c r="F873" s="47">
        <f>IF(_imp!$C$875="","",INDEX(_imp!$H$4:$H$1503,_imp!$C$875))</f>
        <v/>
      </c>
      <c r="G873" s="47">
        <f>IF(_imp!$C$875="","",INDEX(_imp!$I$4:$I$1503,_imp!$C$875))</f>
        <v/>
      </c>
      <c r="K873" s="47">
        <f>IF(_imp!$C$875="","",INDEX(_imp!$J$4:$J$1503,_imp!$C$875))</f>
        <v/>
      </c>
    </row>
    <row r="874">
      <c r="A874" s="47">
        <f>IF(_imp!$C$876="","",INDEX(_imp!$D$4:$D$1503,_imp!$C$876))</f>
        <v/>
      </c>
      <c r="B874" s="47">
        <f>IF(_imp!$C$876="","",INDEX(_imp!$E$4:$E$1503,_imp!$C$876))</f>
        <v/>
      </c>
      <c r="C874" s="47">
        <f>IF(_imp!$C$876="","",INDEX(_imp!$F$4:$F$1503,_imp!$C$876))</f>
        <v/>
      </c>
      <c r="E874" s="47">
        <f>IF(_imp!$C$876="","",INDEX(_imp!$G$4:$G$1503,_imp!$C$876))</f>
        <v/>
      </c>
      <c r="F874" s="47">
        <f>IF(_imp!$C$876="","",INDEX(_imp!$H$4:$H$1503,_imp!$C$876))</f>
        <v/>
      </c>
      <c r="G874" s="47">
        <f>IF(_imp!$C$876="","",INDEX(_imp!$I$4:$I$1503,_imp!$C$876))</f>
        <v/>
      </c>
      <c r="K874" s="47">
        <f>IF(_imp!$C$876="","",INDEX(_imp!$J$4:$J$1503,_imp!$C$876))</f>
        <v/>
      </c>
    </row>
    <row r="875">
      <c r="A875" s="47">
        <f>IF(_imp!$C$877="","",INDEX(_imp!$D$4:$D$1503,_imp!$C$877))</f>
        <v/>
      </c>
      <c r="B875" s="47">
        <f>IF(_imp!$C$877="","",INDEX(_imp!$E$4:$E$1503,_imp!$C$877))</f>
        <v/>
      </c>
      <c r="C875" s="47">
        <f>IF(_imp!$C$877="","",INDEX(_imp!$F$4:$F$1503,_imp!$C$877))</f>
        <v/>
      </c>
      <c r="E875" s="47">
        <f>IF(_imp!$C$877="","",INDEX(_imp!$G$4:$G$1503,_imp!$C$877))</f>
        <v/>
      </c>
      <c r="F875" s="47">
        <f>IF(_imp!$C$877="","",INDEX(_imp!$H$4:$H$1503,_imp!$C$877))</f>
        <v/>
      </c>
      <c r="G875" s="47">
        <f>IF(_imp!$C$877="","",INDEX(_imp!$I$4:$I$1503,_imp!$C$877))</f>
        <v/>
      </c>
      <c r="K875" s="47">
        <f>IF(_imp!$C$877="","",INDEX(_imp!$J$4:$J$1503,_imp!$C$877))</f>
        <v/>
      </c>
    </row>
    <row r="876">
      <c r="A876" s="47">
        <f>IF(_imp!$C$878="","",INDEX(_imp!$D$4:$D$1503,_imp!$C$878))</f>
        <v/>
      </c>
      <c r="B876" s="47">
        <f>IF(_imp!$C$878="","",INDEX(_imp!$E$4:$E$1503,_imp!$C$878))</f>
        <v/>
      </c>
      <c r="C876" s="47">
        <f>IF(_imp!$C$878="","",INDEX(_imp!$F$4:$F$1503,_imp!$C$878))</f>
        <v/>
      </c>
      <c r="E876" s="47">
        <f>IF(_imp!$C$878="","",INDEX(_imp!$G$4:$G$1503,_imp!$C$878))</f>
        <v/>
      </c>
      <c r="F876" s="47">
        <f>IF(_imp!$C$878="","",INDEX(_imp!$H$4:$H$1503,_imp!$C$878))</f>
        <v/>
      </c>
      <c r="G876" s="47">
        <f>IF(_imp!$C$878="","",INDEX(_imp!$I$4:$I$1503,_imp!$C$878))</f>
        <v/>
      </c>
      <c r="K876" s="47">
        <f>IF(_imp!$C$878="","",INDEX(_imp!$J$4:$J$1503,_imp!$C$878))</f>
        <v/>
      </c>
    </row>
    <row r="877">
      <c r="A877" s="47">
        <f>IF(_imp!$C$879="","",INDEX(_imp!$D$4:$D$1503,_imp!$C$879))</f>
        <v/>
      </c>
      <c r="B877" s="47">
        <f>IF(_imp!$C$879="","",INDEX(_imp!$E$4:$E$1503,_imp!$C$879))</f>
        <v/>
      </c>
      <c r="C877" s="47">
        <f>IF(_imp!$C$879="","",INDEX(_imp!$F$4:$F$1503,_imp!$C$879))</f>
        <v/>
      </c>
      <c r="E877" s="47">
        <f>IF(_imp!$C$879="","",INDEX(_imp!$G$4:$G$1503,_imp!$C$879))</f>
        <v/>
      </c>
      <c r="F877" s="47">
        <f>IF(_imp!$C$879="","",INDEX(_imp!$H$4:$H$1503,_imp!$C$879))</f>
        <v/>
      </c>
      <c r="G877" s="47">
        <f>IF(_imp!$C$879="","",INDEX(_imp!$I$4:$I$1503,_imp!$C$879))</f>
        <v/>
      </c>
      <c r="K877" s="47">
        <f>IF(_imp!$C$879="","",INDEX(_imp!$J$4:$J$1503,_imp!$C$879))</f>
        <v/>
      </c>
    </row>
    <row r="878">
      <c r="A878" s="47">
        <f>IF(_imp!$C$880="","",INDEX(_imp!$D$4:$D$1503,_imp!$C$880))</f>
        <v/>
      </c>
      <c r="B878" s="47">
        <f>IF(_imp!$C$880="","",INDEX(_imp!$E$4:$E$1503,_imp!$C$880))</f>
        <v/>
      </c>
      <c r="C878" s="47">
        <f>IF(_imp!$C$880="","",INDEX(_imp!$F$4:$F$1503,_imp!$C$880))</f>
        <v/>
      </c>
      <c r="E878" s="47">
        <f>IF(_imp!$C$880="","",INDEX(_imp!$G$4:$G$1503,_imp!$C$880))</f>
        <v/>
      </c>
      <c r="F878" s="47">
        <f>IF(_imp!$C$880="","",INDEX(_imp!$H$4:$H$1503,_imp!$C$880))</f>
        <v/>
      </c>
      <c r="G878" s="47">
        <f>IF(_imp!$C$880="","",INDEX(_imp!$I$4:$I$1503,_imp!$C$880))</f>
        <v/>
      </c>
      <c r="K878" s="47">
        <f>IF(_imp!$C$880="","",INDEX(_imp!$J$4:$J$1503,_imp!$C$880))</f>
        <v/>
      </c>
    </row>
    <row r="879">
      <c r="A879" s="47">
        <f>IF(_imp!$C$881="","",INDEX(_imp!$D$4:$D$1503,_imp!$C$881))</f>
        <v/>
      </c>
      <c r="B879" s="47">
        <f>IF(_imp!$C$881="","",INDEX(_imp!$E$4:$E$1503,_imp!$C$881))</f>
        <v/>
      </c>
      <c r="C879" s="47">
        <f>IF(_imp!$C$881="","",INDEX(_imp!$F$4:$F$1503,_imp!$C$881))</f>
        <v/>
      </c>
      <c r="E879" s="47">
        <f>IF(_imp!$C$881="","",INDEX(_imp!$G$4:$G$1503,_imp!$C$881))</f>
        <v/>
      </c>
      <c r="F879" s="47">
        <f>IF(_imp!$C$881="","",INDEX(_imp!$H$4:$H$1503,_imp!$C$881))</f>
        <v/>
      </c>
      <c r="G879" s="47">
        <f>IF(_imp!$C$881="","",INDEX(_imp!$I$4:$I$1503,_imp!$C$881))</f>
        <v/>
      </c>
      <c r="K879" s="47">
        <f>IF(_imp!$C$881="","",INDEX(_imp!$J$4:$J$1503,_imp!$C$881))</f>
        <v/>
      </c>
    </row>
    <row r="880">
      <c r="A880" s="47">
        <f>IF(_imp!$C$882="","",INDEX(_imp!$D$4:$D$1503,_imp!$C$882))</f>
        <v/>
      </c>
      <c r="B880" s="47">
        <f>IF(_imp!$C$882="","",INDEX(_imp!$E$4:$E$1503,_imp!$C$882))</f>
        <v/>
      </c>
      <c r="C880" s="47">
        <f>IF(_imp!$C$882="","",INDEX(_imp!$F$4:$F$1503,_imp!$C$882))</f>
        <v/>
      </c>
      <c r="E880" s="47">
        <f>IF(_imp!$C$882="","",INDEX(_imp!$G$4:$G$1503,_imp!$C$882))</f>
        <v/>
      </c>
      <c r="F880" s="47">
        <f>IF(_imp!$C$882="","",INDEX(_imp!$H$4:$H$1503,_imp!$C$882))</f>
        <v/>
      </c>
      <c r="G880" s="47">
        <f>IF(_imp!$C$882="","",INDEX(_imp!$I$4:$I$1503,_imp!$C$882))</f>
        <v/>
      </c>
      <c r="K880" s="47">
        <f>IF(_imp!$C$882="","",INDEX(_imp!$J$4:$J$1503,_imp!$C$882))</f>
        <v/>
      </c>
    </row>
    <row r="881">
      <c r="A881" s="47">
        <f>IF(_imp!$C$883="","",INDEX(_imp!$D$4:$D$1503,_imp!$C$883))</f>
        <v/>
      </c>
      <c r="B881" s="47">
        <f>IF(_imp!$C$883="","",INDEX(_imp!$E$4:$E$1503,_imp!$C$883))</f>
        <v/>
      </c>
      <c r="C881" s="47">
        <f>IF(_imp!$C$883="","",INDEX(_imp!$F$4:$F$1503,_imp!$C$883))</f>
        <v/>
      </c>
      <c r="E881" s="47">
        <f>IF(_imp!$C$883="","",INDEX(_imp!$G$4:$G$1503,_imp!$C$883))</f>
        <v/>
      </c>
      <c r="F881" s="47">
        <f>IF(_imp!$C$883="","",INDEX(_imp!$H$4:$H$1503,_imp!$C$883))</f>
        <v/>
      </c>
      <c r="G881" s="47">
        <f>IF(_imp!$C$883="","",INDEX(_imp!$I$4:$I$1503,_imp!$C$883))</f>
        <v/>
      </c>
      <c r="K881" s="47">
        <f>IF(_imp!$C$883="","",INDEX(_imp!$J$4:$J$1503,_imp!$C$883))</f>
        <v/>
      </c>
    </row>
    <row r="882">
      <c r="A882" s="47">
        <f>IF(_imp!$C$884="","",INDEX(_imp!$D$4:$D$1503,_imp!$C$884))</f>
        <v/>
      </c>
      <c r="B882" s="47">
        <f>IF(_imp!$C$884="","",INDEX(_imp!$E$4:$E$1503,_imp!$C$884))</f>
        <v/>
      </c>
      <c r="C882" s="47">
        <f>IF(_imp!$C$884="","",INDEX(_imp!$F$4:$F$1503,_imp!$C$884))</f>
        <v/>
      </c>
      <c r="E882" s="47">
        <f>IF(_imp!$C$884="","",INDEX(_imp!$G$4:$G$1503,_imp!$C$884))</f>
        <v/>
      </c>
      <c r="F882" s="47">
        <f>IF(_imp!$C$884="","",INDEX(_imp!$H$4:$H$1503,_imp!$C$884))</f>
        <v/>
      </c>
      <c r="G882" s="47">
        <f>IF(_imp!$C$884="","",INDEX(_imp!$I$4:$I$1503,_imp!$C$884))</f>
        <v/>
      </c>
      <c r="K882" s="47">
        <f>IF(_imp!$C$884="","",INDEX(_imp!$J$4:$J$1503,_imp!$C$884))</f>
        <v/>
      </c>
    </row>
    <row r="883">
      <c r="A883" s="47">
        <f>IF(_imp!$C$885="","",INDEX(_imp!$D$4:$D$1503,_imp!$C$885))</f>
        <v/>
      </c>
      <c r="B883" s="47">
        <f>IF(_imp!$C$885="","",INDEX(_imp!$E$4:$E$1503,_imp!$C$885))</f>
        <v/>
      </c>
      <c r="C883" s="47">
        <f>IF(_imp!$C$885="","",INDEX(_imp!$F$4:$F$1503,_imp!$C$885))</f>
        <v/>
      </c>
      <c r="E883" s="47">
        <f>IF(_imp!$C$885="","",INDEX(_imp!$G$4:$G$1503,_imp!$C$885))</f>
        <v/>
      </c>
      <c r="F883" s="47">
        <f>IF(_imp!$C$885="","",INDEX(_imp!$H$4:$H$1503,_imp!$C$885))</f>
        <v/>
      </c>
      <c r="G883" s="47">
        <f>IF(_imp!$C$885="","",INDEX(_imp!$I$4:$I$1503,_imp!$C$885))</f>
        <v/>
      </c>
      <c r="K883" s="47">
        <f>IF(_imp!$C$885="","",INDEX(_imp!$J$4:$J$1503,_imp!$C$885))</f>
        <v/>
      </c>
    </row>
    <row r="884">
      <c r="A884" s="47">
        <f>IF(_imp!$C$886="","",INDEX(_imp!$D$4:$D$1503,_imp!$C$886))</f>
        <v/>
      </c>
      <c r="B884" s="47">
        <f>IF(_imp!$C$886="","",INDEX(_imp!$E$4:$E$1503,_imp!$C$886))</f>
        <v/>
      </c>
      <c r="C884" s="47">
        <f>IF(_imp!$C$886="","",INDEX(_imp!$F$4:$F$1503,_imp!$C$886))</f>
        <v/>
      </c>
      <c r="E884" s="47">
        <f>IF(_imp!$C$886="","",INDEX(_imp!$G$4:$G$1503,_imp!$C$886))</f>
        <v/>
      </c>
      <c r="F884" s="47">
        <f>IF(_imp!$C$886="","",INDEX(_imp!$H$4:$H$1503,_imp!$C$886))</f>
        <v/>
      </c>
      <c r="G884" s="47">
        <f>IF(_imp!$C$886="","",INDEX(_imp!$I$4:$I$1503,_imp!$C$886))</f>
        <v/>
      </c>
      <c r="K884" s="47">
        <f>IF(_imp!$C$886="","",INDEX(_imp!$J$4:$J$1503,_imp!$C$886))</f>
        <v/>
      </c>
    </row>
    <row r="885">
      <c r="A885" s="47">
        <f>IF(_imp!$C$887="","",INDEX(_imp!$D$4:$D$1503,_imp!$C$887))</f>
        <v/>
      </c>
      <c r="B885" s="47">
        <f>IF(_imp!$C$887="","",INDEX(_imp!$E$4:$E$1503,_imp!$C$887))</f>
        <v/>
      </c>
      <c r="C885" s="47">
        <f>IF(_imp!$C$887="","",INDEX(_imp!$F$4:$F$1503,_imp!$C$887))</f>
        <v/>
      </c>
      <c r="E885" s="47">
        <f>IF(_imp!$C$887="","",INDEX(_imp!$G$4:$G$1503,_imp!$C$887))</f>
        <v/>
      </c>
      <c r="F885" s="47">
        <f>IF(_imp!$C$887="","",INDEX(_imp!$H$4:$H$1503,_imp!$C$887))</f>
        <v/>
      </c>
      <c r="G885" s="47">
        <f>IF(_imp!$C$887="","",INDEX(_imp!$I$4:$I$1503,_imp!$C$887))</f>
        <v/>
      </c>
      <c r="K885" s="47">
        <f>IF(_imp!$C$887="","",INDEX(_imp!$J$4:$J$1503,_imp!$C$887))</f>
        <v/>
      </c>
    </row>
    <row r="886">
      <c r="A886" s="47">
        <f>IF(_imp!$C$888="","",INDEX(_imp!$D$4:$D$1503,_imp!$C$888))</f>
        <v/>
      </c>
      <c r="B886" s="47">
        <f>IF(_imp!$C$888="","",INDEX(_imp!$E$4:$E$1503,_imp!$C$888))</f>
        <v/>
      </c>
      <c r="C886" s="47">
        <f>IF(_imp!$C$888="","",INDEX(_imp!$F$4:$F$1503,_imp!$C$888))</f>
        <v/>
      </c>
      <c r="E886" s="47">
        <f>IF(_imp!$C$888="","",INDEX(_imp!$G$4:$G$1503,_imp!$C$888))</f>
        <v/>
      </c>
      <c r="F886" s="47">
        <f>IF(_imp!$C$888="","",INDEX(_imp!$H$4:$H$1503,_imp!$C$888))</f>
        <v/>
      </c>
      <c r="G886" s="47">
        <f>IF(_imp!$C$888="","",INDEX(_imp!$I$4:$I$1503,_imp!$C$888))</f>
        <v/>
      </c>
      <c r="K886" s="47">
        <f>IF(_imp!$C$888="","",INDEX(_imp!$J$4:$J$1503,_imp!$C$888))</f>
        <v/>
      </c>
    </row>
    <row r="887">
      <c r="A887" s="47">
        <f>IF(_imp!$C$889="","",INDEX(_imp!$D$4:$D$1503,_imp!$C$889))</f>
        <v/>
      </c>
      <c r="B887" s="47">
        <f>IF(_imp!$C$889="","",INDEX(_imp!$E$4:$E$1503,_imp!$C$889))</f>
        <v/>
      </c>
      <c r="C887" s="47">
        <f>IF(_imp!$C$889="","",INDEX(_imp!$F$4:$F$1503,_imp!$C$889))</f>
        <v/>
      </c>
      <c r="E887" s="47">
        <f>IF(_imp!$C$889="","",INDEX(_imp!$G$4:$G$1503,_imp!$C$889))</f>
        <v/>
      </c>
      <c r="F887" s="47">
        <f>IF(_imp!$C$889="","",INDEX(_imp!$H$4:$H$1503,_imp!$C$889))</f>
        <v/>
      </c>
      <c r="G887" s="47">
        <f>IF(_imp!$C$889="","",INDEX(_imp!$I$4:$I$1503,_imp!$C$889))</f>
        <v/>
      </c>
      <c r="K887" s="47">
        <f>IF(_imp!$C$889="","",INDEX(_imp!$J$4:$J$1503,_imp!$C$889))</f>
        <v/>
      </c>
    </row>
    <row r="888">
      <c r="A888" s="47">
        <f>IF(_imp!$C$890="","",INDEX(_imp!$D$4:$D$1503,_imp!$C$890))</f>
        <v/>
      </c>
      <c r="B888" s="47">
        <f>IF(_imp!$C$890="","",INDEX(_imp!$E$4:$E$1503,_imp!$C$890))</f>
        <v/>
      </c>
      <c r="C888" s="47">
        <f>IF(_imp!$C$890="","",INDEX(_imp!$F$4:$F$1503,_imp!$C$890))</f>
        <v/>
      </c>
      <c r="E888" s="47">
        <f>IF(_imp!$C$890="","",INDEX(_imp!$G$4:$G$1503,_imp!$C$890))</f>
        <v/>
      </c>
      <c r="F888" s="47">
        <f>IF(_imp!$C$890="","",INDEX(_imp!$H$4:$H$1503,_imp!$C$890))</f>
        <v/>
      </c>
      <c r="G888" s="47">
        <f>IF(_imp!$C$890="","",INDEX(_imp!$I$4:$I$1503,_imp!$C$890))</f>
        <v/>
      </c>
      <c r="K888" s="47">
        <f>IF(_imp!$C$890="","",INDEX(_imp!$J$4:$J$1503,_imp!$C$890))</f>
        <v/>
      </c>
    </row>
    <row r="889">
      <c r="A889" s="47">
        <f>IF(_imp!$C$891="","",INDEX(_imp!$D$4:$D$1503,_imp!$C$891))</f>
        <v/>
      </c>
      <c r="B889" s="47">
        <f>IF(_imp!$C$891="","",INDEX(_imp!$E$4:$E$1503,_imp!$C$891))</f>
        <v/>
      </c>
      <c r="C889" s="47">
        <f>IF(_imp!$C$891="","",INDEX(_imp!$F$4:$F$1503,_imp!$C$891))</f>
        <v/>
      </c>
      <c r="E889" s="47">
        <f>IF(_imp!$C$891="","",INDEX(_imp!$G$4:$G$1503,_imp!$C$891))</f>
        <v/>
      </c>
      <c r="F889" s="47">
        <f>IF(_imp!$C$891="","",INDEX(_imp!$H$4:$H$1503,_imp!$C$891))</f>
        <v/>
      </c>
      <c r="G889" s="47">
        <f>IF(_imp!$C$891="","",INDEX(_imp!$I$4:$I$1503,_imp!$C$891))</f>
        <v/>
      </c>
      <c r="K889" s="47">
        <f>IF(_imp!$C$891="","",INDEX(_imp!$J$4:$J$1503,_imp!$C$891))</f>
        <v/>
      </c>
    </row>
    <row r="890">
      <c r="A890" s="47">
        <f>IF(_imp!$C$892="","",INDEX(_imp!$D$4:$D$1503,_imp!$C$892))</f>
        <v/>
      </c>
      <c r="B890" s="47">
        <f>IF(_imp!$C$892="","",INDEX(_imp!$E$4:$E$1503,_imp!$C$892))</f>
        <v/>
      </c>
      <c r="C890" s="47">
        <f>IF(_imp!$C$892="","",INDEX(_imp!$F$4:$F$1503,_imp!$C$892))</f>
        <v/>
      </c>
      <c r="E890" s="47">
        <f>IF(_imp!$C$892="","",INDEX(_imp!$G$4:$G$1503,_imp!$C$892))</f>
        <v/>
      </c>
      <c r="F890" s="47">
        <f>IF(_imp!$C$892="","",INDEX(_imp!$H$4:$H$1503,_imp!$C$892))</f>
        <v/>
      </c>
      <c r="G890" s="47">
        <f>IF(_imp!$C$892="","",INDEX(_imp!$I$4:$I$1503,_imp!$C$892))</f>
        <v/>
      </c>
      <c r="K890" s="47">
        <f>IF(_imp!$C$892="","",INDEX(_imp!$J$4:$J$1503,_imp!$C$892))</f>
        <v/>
      </c>
    </row>
    <row r="891">
      <c r="A891" s="47">
        <f>IF(_imp!$C$893="","",INDEX(_imp!$D$4:$D$1503,_imp!$C$893))</f>
        <v/>
      </c>
      <c r="B891" s="47">
        <f>IF(_imp!$C$893="","",INDEX(_imp!$E$4:$E$1503,_imp!$C$893))</f>
        <v/>
      </c>
      <c r="C891" s="47">
        <f>IF(_imp!$C$893="","",INDEX(_imp!$F$4:$F$1503,_imp!$C$893))</f>
        <v/>
      </c>
      <c r="E891" s="47">
        <f>IF(_imp!$C$893="","",INDEX(_imp!$G$4:$G$1503,_imp!$C$893))</f>
        <v/>
      </c>
      <c r="F891" s="47">
        <f>IF(_imp!$C$893="","",INDEX(_imp!$H$4:$H$1503,_imp!$C$893))</f>
        <v/>
      </c>
      <c r="G891" s="47">
        <f>IF(_imp!$C$893="","",INDEX(_imp!$I$4:$I$1503,_imp!$C$893))</f>
        <v/>
      </c>
      <c r="K891" s="47">
        <f>IF(_imp!$C$893="","",INDEX(_imp!$J$4:$J$1503,_imp!$C$893))</f>
        <v/>
      </c>
    </row>
    <row r="892">
      <c r="A892" s="47">
        <f>IF(_imp!$C$894="","",INDEX(_imp!$D$4:$D$1503,_imp!$C$894))</f>
        <v/>
      </c>
      <c r="B892" s="47">
        <f>IF(_imp!$C$894="","",INDEX(_imp!$E$4:$E$1503,_imp!$C$894))</f>
        <v/>
      </c>
      <c r="C892" s="47">
        <f>IF(_imp!$C$894="","",INDEX(_imp!$F$4:$F$1503,_imp!$C$894))</f>
        <v/>
      </c>
      <c r="E892" s="47">
        <f>IF(_imp!$C$894="","",INDEX(_imp!$G$4:$G$1503,_imp!$C$894))</f>
        <v/>
      </c>
      <c r="F892" s="47">
        <f>IF(_imp!$C$894="","",INDEX(_imp!$H$4:$H$1503,_imp!$C$894))</f>
        <v/>
      </c>
      <c r="G892" s="47">
        <f>IF(_imp!$C$894="","",INDEX(_imp!$I$4:$I$1503,_imp!$C$894))</f>
        <v/>
      </c>
      <c r="K892" s="47">
        <f>IF(_imp!$C$894="","",INDEX(_imp!$J$4:$J$1503,_imp!$C$894))</f>
        <v/>
      </c>
    </row>
    <row r="893">
      <c r="A893" s="47">
        <f>IF(_imp!$C$895="","",INDEX(_imp!$D$4:$D$1503,_imp!$C$895))</f>
        <v/>
      </c>
      <c r="B893" s="47">
        <f>IF(_imp!$C$895="","",INDEX(_imp!$E$4:$E$1503,_imp!$C$895))</f>
        <v/>
      </c>
      <c r="C893" s="47">
        <f>IF(_imp!$C$895="","",INDEX(_imp!$F$4:$F$1503,_imp!$C$895))</f>
        <v/>
      </c>
      <c r="E893" s="47">
        <f>IF(_imp!$C$895="","",INDEX(_imp!$G$4:$G$1503,_imp!$C$895))</f>
        <v/>
      </c>
      <c r="F893" s="47">
        <f>IF(_imp!$C$895="","",INDEX(_imp!$H$4:$H$1503,_imp!$C$895))</f>
        <v/>
      </c>
      <c r="G893" s="47">
        <f>IF(_imp!$C$895="","",INDEX(_imp!$I$4:$I$1503,_imp!$C$895))</f>
        <v/>
      </c>
      <c r="K893" s="47">
        <f>IF(_imp!$C$895="","",INDEX(_imp!$J$4:$J$1503,_imp!$C$895))</f>
        <v/>
      </c>
    </row>
    <row r="894">
      <c r="A894" s="47">
        <f>IF(_imp!$C$896="","",INDEX(_imp!$D$4:$D$1503,_imp!$C$896))</f>
        <v/>
      </c>
      <c r="B894" s="47">
        <f>IF(_imp!$C$896="","",INDEX(_imp!$E$4:$E$1503,_imp!$C$896))</f>
        <v/>
      </c>
      <c r="C894" s="47">
        <f>IF(_imp!$C$896="","",INDEX(_imp!$F$4:$F$1503,_imp!$C$896))</f>
        <v/>
      </c>
      <c r="E894" s="47">
        <f>IF(_imp!$C$896="","",INDEX(_imp!$G$4:$G$1503,_imp!$C$896))</f>
        <v/>
      </c>
      <c r="F894" s="47">
        <f>IF(_imp!$C$896="","",INDEX(_imp!$H$4:$H$1503,_imp!$C$896))</f>
        <v/>
      </c>
      <c r="G894" s="47">
        <f>IF(_imp!$C$896="","",INDEX(_imp!$I$4:$I$1503,_imp!$C$896))</f>
        <v/>
      </c>
      <c r="K894" s="47">
        <f>IF(_imp!$C$896="","",INDEX(_imp!$J$4:$J$1503,_imp!$C$896))</f>
        <v/>
      </c>
    </row>
    <row r="895">
      <c r="A895" s="47">
        <f>IF(_imp!$C$897="","",INDEX(_imp!$D$4:$D$1503,_imp!$C$897))</f>
        <v/>
      </c>
      <c r="B895" s="47">
        <f>IF(_imp!$C$897="","",INDEX(_imp!$E$4:$E$1503,_imp!$C$897))</f>
        <v/>
      </c>
      <c r="C895" s="47">
        <f>IF(_imp!$C$897="","",INDEX(_imp!$F$4:$F$1503,_imp!$C$897))</f>
        <v/>
      </c>
      <c r="E895" s="47">
        <f>IF(_imp!$C$897="","",INDEX(_imp!$G$4:$G$1503,_imp!$C$897))</f>
        <v/>
      </c>
      <c r="F895" s="47">
        <f>IF(_imp!$C$897="","",INDEX(_imp!$H$4:$H$1503,_imp!$C$897))</f>
        <v/>
      </c>
      <c r="G895" s="47">
        <f>IF(_imp!$C$897="","",INDEX(_imp!$I$4:$I$1503,_imp!$C$897))</f>
        <v/>
      </c>
      <c r="K895" s="47">
        <f>IF(_imp!$C$897="","",INDEX(_imp!$J$4:$J$1503,_imp!$C$897))</f>
        <v/>
      </c>
    </row>
    <row r="896">
      <c r="A896" s="47">
        <f>IF(_imp!$C$898="","",INDEX(_imp!$D$4:$D$1503,_imp!$C$898))</f>
        <v/>
      </c>
      <c r="B896" s="47">
        <f>IF(_imp!$C$898="","",INDEX(_imp!$E$4:$E$1503,_imp!$C$898))</f>
        <v/>
      </c>
      <c r="C896" s="47">
        <f>IF(_imp!$C$898="","",INDEX(_imp!$F$4:$F$1503,_imp!$C$898))</f>
        <v/>
      </c>
      <c r="E896" s="47">
        <f>IF(_imp!$C$898="","",INDEX(_imp!$G$4:$G$1503,_imp!$C$898))</f>
        <v/>
      </c>
      <c r="F896" s="47">
        <f>IF(_imp!$C$898="","",INDEX(_imp!$H$4:$H$1503,_imp!$C$898))</f>
        <v/>
      </c>
      <c r="G896" s="47">
        <f>IF(_imp!$C$898="","",INDEX(_imp!$I$4:$I$1503,_imp!$C$898))</f>
        <v/>
      </c>
      <c r="K896" s="47">
        <f>IF(_imp!$C$898="","",INDEX(_imp!$J$4:$J$1503,_imp!$C$898))</f>
        <v/>
      </c>
    </row>
    <row r="897">
      <c r="A897" s="47">
        <f>IF(_imp!$C$899="","",INDEX(_imp!$D$4:$D$1503,_imp!$C$899))</f>
        <v/>
      </c>
      <c r="B897" s="47">
        <f>IF(_imp!$C$899="","",INDEX(_imp!$E$4:$E$1503,_imp!$C$899))</f>
        <v/>
      </c>
      <c r="C897" s="47">
        <f>IF(_imp!$C$899="","",INDEX(_imp!$F$4:$F$1503,_imp!$C$899))</f>
        <v/>
      </c>
      <c r="E897" s="47">
        <f>IF(_imp!$C$899="","",INDEX(_imp!$G$4:$G$1503,_imp!$C$899))</f>
        <v/>
      </c>
      <c r="F897" s="47">
        <f>IF(_imp!$C$899="","",INDEX(_imp!$H$4:$H$1503,_imp!$C$899))</f>
        <v/>
      </c>
      <c r="G897" s="47">
        <f>IF(_imp!$C$899="","",INDEX(_imp!$I$4:$I$1503,_imp!$C$899))</f>
        <v/>
      </c>
      <c r="K897" s="47">
        <f>IF(_imp!$C$899="","",INDEX(_imp!$J$4:$J$1503,_imp!$C$899))</f>
        <v/>
      </c>
    </row>
    <row r="898">
      <c r="A898" s="47">
        <f>IF(_imp!$C$900="","",INDEX(_imp!$D$4:$D$1503,_imp!$C$900))</f>
        <v/>
      </c>
      <c r="B898" s="47">
        <f>IF(_imp!$C$900="","",INDEX(_imp!$E$4:$E$1503,_imp!$C$900))</f>
        <v/>
      </c>
      <c r="C898" s="47">
        <f>IF(_imp!$C$900="","",INDEX(_imp!$F$4:$F$1503,_imp!$C$900))</f>
        <v/>
      </c>
      <c r="E898" s="47">
        <f>IF(_imp!$C$900="","",INDEX(_imp!$G$4:$G$1503,_imp!$C$900))</f>
        <v/>
      </c>
      <c r="F898" s="47">
        <f>IF(_imp!$C$900="","",INDEX(_imp!$H$4:$H$1503,_imp!$C$900))</f>
        <v/>
      </c>
      <c r="G898" s="47">
        <f>IF(_imp!$C$900="","",INDEX(_imp!$I$4:$I$1503,_imp!$C$900))</f>
        <v/>
      </c>
      <c r="K898" s="47">
        <f>IF(_imp!$C$900="","",INDEX(_imp!$J$4:$J$1503,_imp!$C$900))</f>
        <v/>
      </c>
    </row>
    <row r="899">
      <c r="A899" s="47">
        <f>IF(_imp!$C$901="","",INDEX(_imp!$D$4:$D$1503,_imp!$C$901))</f>
        <v/>
      </c>
      <c r="B899" s="47">
        <f>IF(_imp!$C$901="","",INDEX(_imp!$E$4:$E$1503,_imp!$C$901))</f>
        <v/>
      </c>
      <c r="C899" s="47">
        <f>IF(_imp!$C$901="","",INDEX(_imp!$F$4:$F$1503,_imp!$C$901))</f>
        <v/>
      </c>
      <c r="E899" s="47">
        <f>IF(_imp!$C$901="","",INDEX(_imp!$G$4:$G$1503,_imp!$C$901))</f>
        <v/>
      </c>
      <c r="F899" s="47">
        <f>IF(_imp!$C$901="","",INDEX(_imp!$H$4:$H$1503,_imp!$C$901))</f>
        <v/>
      </c>
      <c r="G899" s="47">
        <f>IF(_imp!$C$901="","",INDEX(_imp!$I$4:$I$1503,_imp!$C$901))</f>
        <v/>
      </c>
      <c r="K899" s="47">
        <f>IF(_imp!$C$901="","",INDEX(_imp!$J$4:$J$1503,_imp!$C$901))</f>
        <v/>
      </c>
    </row>
    <row r="900">
      <c r="A900" s="47">
        <f>IF(_imp!$C$902="","",INDEX(_imp!$D$4:$D$1503,_imp!$C$902))</f>
        <v/>
      </c>
      <c r="B900" s="47">
        <f>IF(_imp!$C$902="","",INDEX(_imp!$E$4:$E$1503,_imp!$C$902))</f>
        <v/>
      </c>
      <c r="C900" s="47">
        <f>IF(_imp!$C$902="","",INDEX(_imp!$F$4:$F$1503,_imp!$C$902))</f>
        <v/>
      </c>
      <c r="E900" s="47">
        <f>IF(_imp!$C$902="","",INDEX(_imp!$G$4:$G$1503,_imp!$C$902))</f>
        <v/>
      </c>
      <c r="F900" s="47">
        <f>IF(_imp!$C$902="","",INDEX(_imp!$H$4:$H$1503,_imp!$C$902))</f>
        <v/>
      </c>
      <c r="G900" s="47">
        <f>IF(_imp!$C$902="","",INDEX(_imp!$I$4:$I$1503,_imp!$C$902))</f>
        <v/>
      </c>
      <c r="K900" s="47">
        <f>IF(_imp!$C$902="","",INDEX(_imp!$J$4:$J$1503,_imp!$C$902))</f>
        <v/>
      </c>
    </row>
    <row r="901">
      <c r="A901" s="47">
        <f>IF(_imp!$C$903="","",INDEX(_imp!$D$4:$D$1503,_imp!$C$903))</f>
        <v/>
      </c>
      <c r="B901" s="47">
        <f>IF(_imp!$C$903="","",INDEX(_imp!$E$4:$E$1503,_imp!$C$903))</f>
        <v/>
      </c>
      <c r="C901" s="47">
        <f>IF(_imp!$C$903="","",INDEX(_imp!$F$4:$F$1503,_imp!$C$903))</f>
        <v/>
      </c>
      <c r="E901" s="47">
        <f>IF(_imp!$C$903="","",INDEX(_imp!$G$4:$G$1503,_imp!$C$903))</f>
        <v/>
      </c>
      <c r="F901" s="47">
        <f>IF(_imp!$C$903="","",INDEX(_imp!$H$4:$H$1503,_imp!$C$903))</f>
        <v/>
      </c>
      <c r="G901" s="47">
        <f>IF(_imp!$C$903="","",INDEX(_imp!$I$4:$I$1503,_imp!$C$903))</f>
        <v/>
      </c>
      <c r="K901" s="47">
        <f>IF(_imp!$C$903="","",INDEX(_imp!$J$4:$J$1503,_imp!$C$903))</f>
        <v/>
      </c>
    </row>
    <row r="902">
      <c r="A902" s="47">
        <f>IF(_imp!$C$904="","",INDEX(_imp!$D$4:$D$1503,_imp!$C$904))</f>
        <v/>
      </c>
      <c r="B902" s="47">
        <f>IF(_imp!$C$904="","",INDEX(_imp!$E$4:$E$1503,_imp!$C$904))</f>
        <v/>
      </c>
      <c r="C902" s="47">
        <f>IF(_imp!$C$904="","",INDEX(_imp!$F$4:$F$1503,_imp!$C$904))</f>
        <v/>
      </c>
      <c r="E902" s="47">
        <f>IF(_imp!$C$904="","",INDEX(_imp!$G$4:$G$1503,_imp!$C$904))</f>
        <v/>
      </c>
      <c r="F902" s="47">
        <f>IF(_imp!$C$904="","",INDEX(_imp!$H$4:$H$1503,_imp!$C$904))</f>
        <v/>
      </c>
      <c r="G902" s="47">
        <f>IF(_imp!$C$904="","",INDEX(_imp!$I$4:$I$1503,_imp!$C$904))</f>
        <v/>
      </c>
      <c r="K902" s="47">
        <f>IF(_imp!$C$904="","",INDEX(_imp!$J$4:$J$1503,_imp!$C$904))</f>
        <v/>
      </c>
    </row>
    <row r="903">
      <c r="A903" s="47">
        <f>IF(_imp!$C$905="","",INDEX(_imp!$D$4:$D$1503,_imp!$C$905))</f>
        <v/>
      </c>
      <c r="B903" s="47">
        <f>IF(_imp!$C$905="","",INDEX(_imp!$E$4:$E$1503,_imp!$C$905))</f>
        <v/>
      </c>
      <c r="C903" s="47">
        <f>IF(_imp!$C$905="","",INDEX(_imp!$F$4:$F$1503,_imp!$C$905))</f>
        <v/>
      </c>
      <c r="E903" s="47">
        <f>IF(_imp!$C$905="","",INDEX(_imp!$G$4:$G$1503,_imp!$C$905))</f>
        <v/>
      </c>
      <c r="F903" s="47">
        <f>IF(_imp!$C$905="","",INDEX(_imp!$H$4:$H$1503,_imp!$C$905))</f>
        <v/>
      </c>
      <c r="G903" s="47">
        <f>IF(_imp!$C$905="","",INDEX(_imp!$I$4:$I$1503,_imp!$C$905))</f>
        <v/>
      </c>
      <c r="K903" s="47">
        <f>IF(_imp!$C$905="","",INDEX(_imp!$J$4:$J$1503,_imp!$C$905))</f>
        <v/>
      </c>
    </row>
    <row r="904">
      <c r="A904" s="47">
        <f>IF(_imp!$C$906="","",INDEX(_imp!$D$4:$D$1503,_imp!$C$906))</f>
        <v/>
      </c>
      <c r="B904" s="47">
        <f>IF(_imp!$C$906="","",INDEX(_imp!$E$4:$E$1503,_imp!$C$906))</f>
        <v/>
      </c>
      <c r="C904" s="47">
        <f>IF(_imp!$C$906="","",INDEX(_imp!$F$4:$F$1503,_imp!$C$906))</f>
        <v/>
      </c>
      <c r="E904" s="47">
        <f>IF(_imp!$C$906="","",INDEX(_imp!$G$4:$G$1503,_imp!$C$906))</f>
        <v/>
      </c>
      <c r="F904" s="47">
        <f>IF(_imp!$C$906="","",INDEX(_imp!$H$4:$H$1503,_imp!$C$906))</f>
        <v/>
      </c>
      <c r="G904" s="47">
        <f>IF(_imp!$C$906="","",INDEX(_imp!$I$4:$I$1503,_imp!$C$906))</f>
        <v/>
      </c>
      <c r="K904" s="47">
        <f>IF(_imp!$C$906="","",INDEX(_imp!$J$4:$J$1503,_imp!$C$906))</f>
        <v/>
      </c>
    </row>
    <row r="905">
      <c r="A905" s="47">
        <f>IF(_imp!$C$907="","",INDEX(_imp!$D$4:$D$1503,_imp!$C$907))</f>
        <v/>
      </c>
      <c r="B905" s="47">
        <f>IF(_imp!$C$907="","",INDEX(_imp!$E$4:$E$1503,_imp!$C$907))</f>
        <v/>
      </c>
      <c r="C905" s="47">
        <f>IF(_imp!$C$907="","",INDEX(_imp!$F$4:$F$1503,_imp!$C$907))</f>
        <v/>
      </c>
      <c r="E905" s="47">
        <f>IF(_imp!$C$907="","",INDEX(_imp!$G$4:$G$1503,_imp!$C$907))</f>
        <v/>
      </c>
      <c r="F905" s="47">
        <f>IF(_imp!$C$907="","",INDEX(_imp!$H$4:$H$1503,_imp!$C$907))</f>
        <v/>
      </c>
      <c r="G905" s="47">
        <f>IF(_imp!$C$907="","",INDEX(_imp!$I$4:$I$1503,_imp!$C$907))</f>
        <v/>
      </c>
      <c r="K905" s="47">
        <f>IF(_imp!$C$907="","",INDEX(_imp!$J$4:$J$1503,_imp!$C$907))</f>
        <v/>
      </c>
    </row>
    <row r="906">
      <c r="A906" s="47">
        <f>IF(_imp!$C$908="","",INDEX(_imp!$D$4:$D$1503,_imp!$C$908))</f>
        <v/>
      </c>
      <c r="B906" s="47">
        <f>IF(_imp!$C$908="","",INDEX(_imp!$E$4:$E$1503,_imp!$C$908))</f>
        <v/>
      </c>
      <c r="C906" s="47">
        <f>IF(_imp!$C$908="","",INDEX(_imp!$F$4:$F$1503,_imp!$C$908))</f>
        <v/>
      </c>
      <c r="E906" s="47">
        <f>IF(_imp!$C$908="","",INDEX(_imp!$G$4:$G$1503,_imp!$C$908))</f>
        <v/>
      </c>
      <c r="F906" s="47">
        <f>IF(_imp!$C$908="","",INDEX(_imp!$H$4:$H$1503,_imp!$C$908))</f>
        <v/>
      </c>
      <c r="G906" s="47">
        <f>IF(_imp!$C$908="","",INDEX(_imp!$I$4:$I$1503,_imp!$C$908))</f>
        <v/>
      </c>
      <c r="K906" s="47">
        <f>IF(_imp!$C$908="","",INDEX(_imp!$J$4:$J$1503,_imp!$C$908))</f>
        <v/>
      </c>
    </row>
    <row r="907">
      <c r="A907" s="47">
        <f>IF(_imp!$C$909="","",INDEX(_imp!$D$4:$D$1503,_imp!$C$909))</f>
        <v/>
      </c>
      <c r="B907" s="47">
        <f>IF(_imp!$C$909="","",INDEX(_imp!$E$4:$E$1503,_imp!$C$909))</f>
        <v/>
      </c>
      <c r="C907" s="47">
        <f>IF(_imp!$C$909="","",INDEX(_imp!$F$4:$F$1503,_imp!$C$909))</f>
        <v/>
      </c>
      <c r="E907" s="47">
        <f>IF(_imp!$C$909="","",INDEX(_imp!$G$4:$G$1503,_imp!$C$909))</f>
        <v/>
      </c>
      <c r="F907" s="47">
        <f>IF(_imp!$C$909="","",INDEX(_imp!$H$4:$H$1503,_imp!$C$909))</f>
        <v/>
      </c>
      <c r="G907" s="47">
        <f>IF(_imp!$C$909="","",INDEX(_imp!$I$4:$I$1503,_imp!$C$909))</f>
        <v/>
      </c>
      <c r="K907" s="47">
        <f>IF(_imp!$C$909="","",INDEX(_imp!$J$4:$J$1503,_imp!$C$909))</f>
        <v/>
      </c>
    </row>
    <row r="908">
      <c r="A908" s="47">
        <f>IF(_imp!$C$910="","",INDEX(_imp!$D$4:$D$1503,_imp!$C$910))</f>
        <v/>
      </c>
      <c r="B908" s="47">
        <f>IF(_imp!$C$910="","",INDEX(_imp!$E$4:$E$1503,_imp!$C$910))</f>
        <v/>
      </c>
      <c r="C908" s="47">
        <f>IF(_imp!$C$910="","",INDEX(_imp!$F$4:$F$1503,_imp!$C$910))</f>
        <v/>
      </c>
      <c r="E908" s="47">
        <f>IF(_imp!$C$910="","",INDEX(_imp!$G$4:$G$1503,_imp!$C$910))</f>
        <v/>
      </c>
      <c r="F908" s="47">
        <f>IF(_imp!$C$910="","",INDEX(_imp!$H$4:$H$1503,_imp!$C$910))</f>
        <v/>
      </c>
      <c r="G908" s="47">
        <f>IF(_imp!$C$910="","",INDEX(_imp!$I$4:$I$1503,_imp!$C$910))</f>
        <v/>
      </c>
      <c r="K908" s="47">
        <f>IF(_imp!$C$910="","",INDEX(_imp!$J$4:$J$1503,_imp!$C$910))</f>
        <v/>
      </c>
    </row>
    <row r="909">
      <c r="A909" s="47">
        <f>IF(_imp!$C$911="","",INDEX(_imp!$D$4:$D$1503,_imp!$C$911))</f>
        <v/>
      </c>
      <c r="B909" s="47">
        <f>IF(_imp!$C$911="","",INDEX(_imp!$E$4:$E$1503,_imp!$C$911))</f>
        <v/>
      </c>
      <c r="C909" s="47">
        <f>IF(_imp!$C$911="","",INDEX(_imp!$F$4:$F$1503,_imp!$C$911))</f>
        <v/>
      </c>
      <c r="E909" s="47">
        <f>IF(_imp!$C$911="","",INDEX(_imp!$G$4:$G$1503,_imp!$C$911))</f>
        <v/>
      </c>
      <c r="F909" s="47">
        <f>IF(_imp!$C$911="","",INDEX(_imp!$H$4:$H$1503,_imp!$C$911))</f>
        <v/>
      </c>
      <c r="G909" s="47">
        <f>IF(_imp!$C$911="","",INDEX(_imp!$I$4:$I$1503,_imp!$C$911))</f>
        <v/>
      </c>
      <c r="K909" s="47">
        <f>IF(_imp!$C$911="","",INDEX(_imp!$J$4:$J$1503,_imp!$C$911))</f>
        <v/>
      </c>
    </row>
    <row r="910">
      <c r="A910" s="47">
        <f>IF(_imp!$C$912="","",INDEX(_imp!$D$4:$D$1503,_imp!$C$912))</f>
        <v/>
      </c>
      <c r="B910" s="47">
        <f>IF(_imp!$C$912="","",INDEX(_imp!$E$4:$E$1503,_imp!$C$912))</f>
        <v/>
      </c>
      <c r="C910" s="47">
        <f>IF(_imp!$C$912="","",INDEX(_imp!$F$4:$F$1503,_imp!$C$912))</f>
        <v/>
      </c>
      <c r="E910" s="47">
        <f>IF(_imp!$C$912="","",INDEX(_imp!$G$4:$G$1503,_imp!$C$912))</f>
        <v/>
      </c>
      <c r="F910" s="47">
        <f>IF(_imp!$C$912="","",INDEX(_imp!$H$4:$H$1503,_imp!$C$912))</f>
        <v/>
      </c>
      <c r="G910" s="47">
        <f>IF(_imp!$C$912="","",INDEX(_imp!$I$4:$I$1503,_imp!$C$912))</f>
        <v/>
      </c>
      <c r="K910" s="47">
        <f>IF(_imp!$C$912="","",INDEX(_imp!$J$4:$J$1503,_imp!$C$912))</f>
        <v/>
      </c>
    </row>
    <row r="911">
      <c r="A911" s="47">
        <f>IF(_imp!$C$913="","",INDEX(_imp!$D$4:$D$1503,_imp!$C$913))</f>
        <v/>
      </c>
      <c r="B911" s="47">
        <f>IF(_imp!$C$913="","",INDEX(_imp!$E$4:$E$1503,_imp!$C$913))</f>
        <v/>
      </c>
      <c r="C911" s="47">
        <f>IF(_imp!$C$913="","",INDEX(_imp!$F$4:$F$1503,_imp!$C$913))</f>
        <v/>
      </c>
      <c r="E911" s="47">
        <f>IF(_imp!$C$913="","",INDEX(_imp!$G$4:$G$1503,_imp!$C$913))</f>
        <v/>
      </c>
      <c r="F911" s="47">
        <f>IF(_imp!$C$913="","",INDEX(_imp!$H$4:$H$1503,_imp!$C$913))</f>
        <v/>
      </c>
      <c r="G911" s="47">
        <f>IF(_imp!$C$913="","",INDEX(_imp!$I$4:$I$1503,_imp!$C$913))</f>
        <v/>
      </c>
      <c r="K911" s="47">
        <f>IF(_imp!$C$913="","",INDEX(_imp!$J$4:$J$1503,_imp!$C$913))</f>
        <v/>
      </c>
    </row>
    <row r="912">
      <c r="A912" s="47">
        <f>IF(_imp!$C$914="","",INDEX(_imp!$D$4:$D$1503,_imp!$C$914))</f>
        <v/>
      </c>
      <c r="B912" s="47">
        <f>IF(_imp!$C$914="","",INDEX(_imp!$E$4:$E$1503,_imp!$C$914))</f>
        <v/>
      </c>
      <c r="C912" s="47">
        <f>IF(_imp!$C$914="","",INDEX(_imp!$F$4:$F$1503,_imp!$C$914))</f>
        <v/>
      </c>
      <c r="E912" s="47">
        <f>IF(_imp!$C$914="","",INDEX(_imp!$G$4:$G$1503,_imp!$C$914))</f>
        <v/>
      </c>
      <c r="F912" s="47">
        <f>IF(_imp!$C$914="","",INDEX(_imp!$H$4:$H$1503,_imp!$C$914))</f>
        <v/>
      </c>
      <c r="G912" s="47">
        <f>IF(_imp!$C$914="","",INDEX(_imp!$I$4:$I$1503,_imp!$C$914))</f>
        <v/>
      </c>
      <c r="K912" s="47">
        <f>IF(_imp!$C$914="","",INDEX(_imp!$J$4:$J$1503,_imp!$C$914))</f>
        <v/>
      </c>
    </row>
    <row r="913">
      <c r="A913" s="47">
        <f>IF(_imp!$C$915="","",INDEX(_imp!$D$4:$D$1503,_imp!$C$915))</f>
        <v/>
      </c>
      <c r="B913" s="47">
        <f>IF(_imp!$C$915="","",INDEX(_imp!$E$4:$E$1503,_imp!$C$915))</f>
        <v/>
      </c>
      <c r="C913" s="47">
        <f>IF(_imp!$C$915="","",INDEX(_imp!$F$4:$F$1503,_imp!$C$915))</f>
        <v/>
      </c>
      <c r="E913" s="47">
        <f>IF(_imp!$C$915="","",INDEX(_imp!$G$4:$G$1503,_imp!$C$915))</f>
        <v/>
      </c>
      <c r="F913" s="47">
        <f>IF(_imp!$C$915="","",INDEX(_imp!$H$4:$H$1503,_imp!$C$915))</f>
        <v/>
      </c>
      <c r="G913" s="47">
        <f>IF(_imp!$C$915="","",INDEX(_imp!$I$4:$I$1503,_imp!$C$915))</f>
        <v/>
      </c>
      <c r="K913" s="47">
        <f>IF(_imp!$C$915="","",INDEX(_imp!$J$4:$J$1503,_imp!$C$915))</f>
        <v/>
      </c>
    </row>
    <row r="914">
      <c r="A914" s="47">
        <f>IF(_imp!$C$916="","",INDEX(_imp!$D$4:$D$1503,_imp!$C$916))</f>
        <v/>
      </c>
      <c r="B914" s="47">
        <f>IF(_imp!$C$916="","",INDEX(_imp!$E$4:$E$1503,_imp!$C$916))</f>
        <v/>
      </c>
      <c r="C914" s="47">
        <f>IF(_imp!$C$916="","",INDEX(_imp!$F$4:$F$1503,_imp!$C$916))</f>
        <v/>
      </c>
      <c r="E914" s="47">
        <f>IF(_imp!$C$916="","",INDEX(_imp!$G$4:$G$1503,_imp!$C$916))</f>
        <v/>
      </c>
      <c r="F914" s="47">
        <f>IF(_imp!$C$916="","",INDEX(_imp!$H$4:$H$1503,_imp!$C$916))</f>
        <v/>
      </c>
      <c r="G914" s="47">
        <f>IF(_imp!$C$916="","",INDEX(_imp!$I$4:$I$1503,_imp!$C$916))</f>
        <v/>
      </c>
      <c r="K914" s="47">
        <f>IF(_imp!$C$916="","",INDEX(_imp!$J$4:$J$1503,_imp!$C$916))</f>
        <v/>
      </c>
    </row>
    <row r="915">
      <c r="A915" s="47">
        <f>IF(_imp!$C$917="","",INDEX(_imp!$D$4:$D$1503,_imp!$C$917))</f>
        <v/>
      </c>
      <c r="B915" s="47">
        <f>IF(_imp!$C$917="","",INDEX(_imp!$E$4:$E$1503,_imp!$C$917))</f>
        <v/>
      </c>
      <c r="C915" s="47">
        <f>IF(_imp!$C$917="","",INDEX(_imp!$F$4:$F$1503,_imp!$C$917))</f>
        <v/>
      </c>
      <c r="E915" s="47">
        <f>IF(_imp!$C$917="","",INDEX(_imp!$G$4:$G$1503,_imp!$C$917))</f>
        <v/>
      </c>
      <c r="F915" s="47">
        <f>IF(_imp!$C$917="","",INDEX(_imp!$H$4:$H$1503,_imp!$C$917))</f>
        <v/>
      </c>
      <c r="G915" s="47">
        <f>IF(_imp!$C$917="","",INDEX(_imp!$I$4:$I$1503,_imp!$C$917))</f>
        <v/>
      </c>
      <c r="K915" s="47">
        <f>IF(_imp!$C$917="","",INDEX(_imp!$J$4:$J$1503,_imp!$C$917))</f>
        <v/>
      </c>
    </row>
    <row r="916">
      <c r="A916" s="47">
        <f>IF(_imp!$C$918="","",INDEX(_imp!$D$4:$D$1503,_imp!$C$918))</f>
        <v/>
      </c>
      <c r="B916" s="47">
        <f>IF(_imp!$C$918="","",INDEX(_imp!$E$4:$E$1503,_imp!$C$918))</f>
        <v/>
      </c>
      <c r="C916" s="47">
        <f>IF(_imp!$C$918="","",INDEX(_imp!$F$4:$F$1503,_imp!$C$918))</f>
        <v/>
      </c>
      <c r="E916" s="47">
        <f>IF(_imp!$C$918="","",INDEX(_imp!$G$4:$G$1503,_imp!$C$918))</f>
        <v/>
      </c>
      <c r="F916" s="47">
        <f>IF(_imp!$C$918="","",INDEX(_imp!$H$4:$H$1503,_imp!$C$918))</f>
        <v/>
      </c>
      <c r="G916" s="47">
        <f>IF(_imp!$C$918="","",INDEX(_imp!$I$4:$I$1503,_imp!$C$918))</f>
        <v/>
      </c>
      <c r="K916" s="47">
        <f>IF(_imp!$C$918="","",INDEX(_imp!$J$4:$J$1503,_imp!$C$918))</f>
        <v/>
      </c>
    </row>
    <row r="917">
      <c r="A917" s="47">
        <f>IF(_imp!$C$919="","",INDEX(_imp!$D$4:$D$1503,_imp!$C$919))</f>
        <v/>
      </c>
      <c r="B917" s="47">
        <f>IF(_imp!$C$919="","",INDEX(_imp!$E$4:$E$1503,_imp!$C$919))</f>
        <v/>
      </c>
      <c r="C917" s="47">
        <f>IF(_imp!$C$919="","",INDEX(_imp!$F$4:$F$1503,_imp!$C$919))</f>
        <v/>
      </c>
      <c r="E917" s="47">
        <f>IF(_imp!$C$919="","",INDEX(_imp!$G$4:$G$1503,_imp!$C$919))</f>
        <v/>
      </c>
      <c r="F917" s="47">
        <f>IF(_imp!$C$919="","",INDEX(_imp!$H$4:$H$1503,_imp!$C$919))</f>
        <v/>
      </c>
      <c r="G917" s="47">
        <f>IF(_imp!$C$919="","",INDEX(_imp!$I$4:$I$1503,_imp!$C$919))</f>
        <v/>
      </c>
      <c r="K917" s="47">
        <f>IF(_imp!$C$919="","",INDEX(_imp!$J$4:$J$1503,_imp!$C$919))</f>
        <v/>
      </c>
    </row>
    <row r="918">
      <c r="A918" s="47">
        <f>IF(_imp!$C$920="","",INDEX(_imp!$D$4:$D$1503,_imp!$C$920))</f>
        <v/>
      </c>
      <c r="B918" s="47">
        <f>IF(_imp!$C$920="","",INDEX(_imp!$E$4:$E$1503,_imp!$C$920))</f>
        <v/>
      </c>
      <c r="C918" s="47">
        <f>IF(_imp!$C$920="","",INDEX(_imp!$F$4:$F$1503,_imp!$C$920))</f>
        <v/>
      </c>
      <c r="E918" s="47">
        <f>IF(_imp!$C$920="","",INDEX(_imp!$G$4:$G$1503,_imp!$C$920))</f>
        <v/>
      </c>
      <c r="F918" s="47">
        <f>IF(_imp!$C$920="","",INDEX(_imp!$H$4:$H$1503,_imp!$C$920))</f>
        <v/>
      </c>
      <c r="G918" s="47">
        <f>IF(_imp!$C$920="","",INDEX(_imp!$I$4:$I$1503,_imp!$C$920))</f>
        <v/>
      </c>
      <c r="K918" s="47">
        <f>IF(_imp!$C$920="","",INDEX(_imp!$J$4:$J$1503,_imp!$C$920))</f>
        <v/>
      </c>
    </row>
    <row r="919">
      <c r="A919" s="47">
        <f>IF(_imp!$C$921="","",INDEX(_imp!$D$4:$D$1503,_imp!$C$921))</f>
        <v/>
      </c>
      <c r="B919" s="47">
        <f>IF(_imp!$C$921="","",INDEX(_imp!$E$4:$E$1503,_imp!$C$921))</f>
        <v/>
      </c>
      <c r="C919" s="47">
        <f>IF(_imp!$C$921="","",INDEX(_imp!$F$4:$F$1503,_imp!$C$921))</f>
        <v/>
      </c>
      <c r="E919" s="47">
        <f>IF(_imp!$C$921="","",INDEX(_imp!$G$4:$G$1503,_imp!$C$921))</f>
        <v/>
      </c>
      <c r="F919" s="47">
        <f>IF(_imp!$C$921="","",INDEX(_imp!$H$4:$H$1503,_imp!$C$921))</f>
        <v/>
      </c>
      <c r="G919" s="47">
        <f>IF(_imp!$C$921="","",INDEX(_imp!$I$4:$I$1503,_imp!$C$921))</f>
        <v/>
      </c>
      <c r="K919" s="47">
        <f>IF(_imp!$C$921="","",INDEX(_imp!$J$4:$J$1503,_imp!$C$921))</f>
        <v/>
      </c>
    </row>
    <row r="920">
      <c r="A920" s="47">
        <f>IF(_imp!$C$922="","",INDEX(_imp!$D$4:$D$1503,_imp!$C$922))</f>
        <v/>
      </c>
      <c r="B920" s="47">
        <f>IF(_imp!$C$922="","",INDEX(_imp!$E$4:$E$1503,_imp!$C$922))</f>
        <v/>
      </c>
      <c r="C920" s="47">
        <f>IF(_imp!$C$922="","",INDEX(_imp!$F$4:$F$1503,_imp!$C$922))</f>
        <v/>
      </c>
      <c r="E920" s="47">
        <f>IF(_imp!$C$922="","",INDEX(_imp!$G$4:$G$1503,_imp!$C$922))</f>
        <v/>
      </c>
      <c r="F920" s="47">
        <f>IF(_imp!$C$922="","",INDEX(_imp!$H$4:$H$1503,_imp!$C$922))</f>
        <v/>
      </c>
      <c r="G920" s="47">
        <f>IF(_imp!$C$922="","",INDEX(_imp!$I$4:$I$1503,_imp!$C$922))</f>
        <v/>
      </c>
      <c r="K920" s="47">
        <f>IF(_imp!$C$922="","",INDEX(_imp!$J$4:$J$1503,_imp!$C$922))</f>
        <v/>
      </c>
    </row>
    <row r="921">
      <c r="A921" s="47">
        <f>IF(_imp!$C$923="","",INDEX(_imp!$D$4:$D$1503,_imp!$C$923))</f>
        <v/>
      </c>
      <c r="B921" s="47">
        <f>IF(_imp!$C$923="","",INDEX(_imp!$E$4:$E$1503,_imp!$C$923))</f>
        <v/>
      </c>
      <c r="C921" s="47">
        <f>IF(_imp!$C$923="","",INDEX(_imp!$F$4:$F$1503,_imp!$C$923))</f>
        <v/>
      </c>
      <c r="E921" s="47">
        <f>IF(_imp!$C$923="","",INDEX(_imp!$G$4:$G$1503,_imp!$C$923))</f>
        <v/>
      </c>
      <c r="F921" s="47">
        <f>IF(_imp!$C$923="","",INDEX(_imp!$H$4:$H$1503,_imp!$C$923))</f>
        <v/>
      </c>
      <c r="G921" s="47">
        <f>IF(_imp!$C$923="","",INDEX(_imp!$I$4:$I$1503,_imp!$C$923))</f>
        <v/>
      </c>
      <c r="K921" s="47">
        <f>IF(_imp!$C$923="","",INDEX(_imp!$J$4:$J$1503,_imp!$C$923))</f>
        <v/>
      </c>
    </row>
    <row r="922">
      <c r="A922" s="47">
        <f>IF(_imp!$C$924="","",INDEX(_imp!$D$4:$D$1503,_imp!$C$924))</f>
        <v/>
      </c>
      <c r="B922" s="47">
        <f>IF(_imp!$C$924="","",INDEX(_imp!$E$4:$E$1503,_imp!$C$924))</f>
        <v/>
      </c>
      <c r="C922" s="47">
        <f>IF(_imp!$C$924="","",INDEX(_imp!$F$4:$F$1503,_imp!$C$924))</f>
        <v/>
      </c>
      <c r="E922" s="47">
        <f>IF(_imp!$C$924="","",INDEX(_imp!$G$4:$G$1503,_imp!$C$924))</f>
        <v/>
      </c>
      <c r="F922" s="47">
        <f>IF(_imp!$C$924="","",INDEX(_imp!$H$4:$H$1503,_imp!$C$924))</f>
        <v/>
      </c>
      <c r="G922" s="47">
        <f>IF(_imp!$C$924="","",INDEX(_imp!$I$4:$I$1503,_imp!$C$924))</f>
        <v/>
      </c>
      <c r="K922" s="47">
        <f>IF(_imp!$C$924="","",INDEX(_imp!$J$4:$J$1503,_imp!$C$924))</f>
        <v/>
      </c>
    </row>
    <row r="923">
      <c r="A923" s="47">
        <f>IF(_imp!$C$925="","",INDEX(_imp!$D$4:$D$1503,_imp!$C$925))</f>
        <v/>
      </c>
      <c r="B923" s="47">
        <f>IF(_imp!$C$925="","",INDEX(_imp!$E$4:$E$1503,_imp!$C$925))</f>
        <v/>
      </c>
      <c r="C923" s="47">
        <f>IF(_imp!$C$925="","",INDEX(_imp!$F$4:$F$1503,_imp!$C$925))</f>
        <v/>
      </c>
      <c r="E923" s="47">
        <f>IF(_imp!$C$925="","",INDEX(_imp!$G$4:$G$1503,_imp!$C$925))</f>
        <v/>
      </c>
      <c r="F923" s="47">
        <f>IF(_imp!$C$925="","",INDEX(_imp!$H$4:$H$1503,_imp!$C$925))</f>
        <v/>
      </c>
      <c r="G923" s="47">
        <f>IF(_imp!$C$925="","",INDEX(_imp!$I$4:$I$1503,_imp!$C$925))</f>
        <v/>
      </c>
      <c r="K923" s="47">
        <f>IF(_imp!$C$925="","",INDEX(_imp!$J$4:$J$1503,_imp!$C$925))</f>
        <v/>
      </c>
    </row>
    <row r="924">
      <c r="A924" s="47">
        <f>IF(_imp!$C$926="","",INDEX(_imp!$D$4:$D$1503,_imp!$C$926))</f>
        <v/>
      </c>
      <c r="B924" s="47">
        <f>IF(_imp!$C$926="","",INDEX(_imp!$E$4:$E$1503,_imp!$C$926))</f>
        <v/>
      </c>
      <c r="C924" s="47">
        <f>IF(_imp!$C$926="","",INDEX(_imp!$F$4:$F$1503,_imp!$C$926))</f>
        <v/>
      </c>
      <c r="E924" s="47">
        <f>IF(_imp!$C$926="","",INDEX(_imp!$G$4:$G$1503,_imp!$C$926))</f>
        <v/>
      </c>
      <c r="F924" s="47">
        <f>IF(_imp!$C$926="","",INDEX(_imp!$H$4:$H$1503,_imp!$C$926))</f>
        <v/>
      </c>
      <c r="G924" s="47">
        <f>IF(_imp!$C$926="","",INDEX(_imp!$I$4:$I$1503,_imp!$C$926))</f>
        <v/>
      </c>
      <c r="K924" s="47">
        <f>IF(_imp!$C$926="","",INDEX(_imp!$J$4:$J$1503,_imp!$C$926))</f>
        <v/>
      </c>
    </row>
    <row r="925">
      <c r="A925" s="47">
        <f>IF(_imp!$C$927="","",INDEX(_imp!$D$4:$D$1503,_imp!$C$927))</f>
        <v/>
      </c>
      <c r="B925" s="47">
        <f>IF(_imp!$C$927="","",INDEX(_imp!$E$4:$E$1503,_imp!$C$927))</f>
        <v/>
      </c>
      <c r="C925" s="47">
        <f>IF(_imp!$C$927="","",INDEX(_imp!$F$4:$F$1503,_imp!$C$927))</f>
        <v/>
      </c>
      <c r="E925" s="47">
        <f>IF(_imp!$C$927="","",INDEX(_imp!$G$4:$G$1503,_imp!$C$927))</f>
        <v/>
      </c>
      <c r="F925" s="47">
        <f>IF(_imp!$C$927="","",INDEX(_imp!$H$4:$H$1503,_imp!$C$927))</f>
        <v/>
      </c>
      <c r="G925" s="47">
        <f>IF(_imp!$C$927="","",INDEX(_imp!$I$4:$I$1503,_imp!$C$927))</f>
        <v/>
      </c>
      <c r="K925" s="47">
        <f>IF(_imp!$C$927="","",INDEX(_imp!$J$4:$J$1503,_imp!$C$927))</f>
        <v/>
      </c>
    </row>
    <row r="926">
      <c r="A926" s="47">
        <f>IF(_imp!$C$928="","",INDEX(_imp!$D$4:$D$1503,_imp!$C$928))</f>
        <v/>
      </c>
      <c r="B926" s="47">
        <f>IF(_imp!$C$928="","",INDEX(_imp!$E$4:$E$1503,_imp!$C$928))</f>
        <v/>
      </c>
      <c r="C926" s="47">
        <f>IF(_imp!$C$928="","",INDEX(_imp!$F$4:$F$1503,_imp!$C$928))</f>
        <v/>
      </c>
      <c r="E926" s="47">
        <f>IF(_imp!$C$928="","",INDEX(_imp!$G$4:$G$1503,_imp!$C$928))</f>
        <v/>
      </c>
      <c r="F926" s="47">
        <f>IF(_imp!$C$928="","",INDEX(_imp!$H$4:$H$1503,_imp!$C$928))</f>
        <v/>
      </c>
      <c r="G926" s="47">
        <f>IF(_imp!$C$928="","",INDEX(_imp!$I$4:$I$1503,_imp!$C$928))</f>
        <v/>
      </c>
      <c r="K926" s="47">
        <f>IF(_imp!$C$928="","",INDEX(_imp!$J$4:$J$1503,_imp!$C$928))</f>
        <v/>
      </c>
    </row>
    <row r="927">
      <c r="A927" s="47">
        <f>IF(_imp!$C$929="","",INDEX(_imp!$D$4:$D$1503,_imp!$C$929))</f>
        <v/>
      </c>
      <c r="B927" s="47">
        <f>IF(_imp!$C$929="","",INDEX(_imp!$E$4:$E$1503,_imp!$C$929))</f>
        <v/>
      </c>
      <c r="C927" s="47">
        <f>IF(_imp!$C$929="","",INDEX(_imp!$F$4:$F$1503,_imp!$C$929))</f>
        <v/>
      </c>
      <c r="E927" s="47">
        <f>IF(_imp!$C$929="","",INDEX(_imp!$G$4:$G$1503,_imp!$C$929))</f>
        <v/>
      </c>
      <c r="F927" s="47">
        <f>IF(_imp!$C$929="","",INDEX(_imp!$H$4:$H$1503,_imp!$C$929))</f>
        <v/>
      </c>
      <c r="G927" s="47">
        <f>IF(_imp!$C$929="","",INDEX(_imp!$I$4:$I$1503,_imp!$C$929))</f>
        <v/>
      </c>
      <c r="K927" s="47">
        <f>IF(_imp!$C$929="","",INDEX(_imp!$J$4:$J$1503,_imp!$C$929))</f>
        <v/>
      </c>
    </row>
    <row r="928">
      <c r="A928" s="47">
        <f>IF(_imp!$C$930="","",INDEX(_imp!$D$4:$D$1503,_imp!$C$930))</f>
        <v/>
      </c>
      <c r="B928" s="47">
        <f>IF(_imp!$C$930="","",INDEX(_imp!$E$4:$E$1503,_imp!$C$930))</f>
        <v/>
      </c>
      <c r="C928" s="47">
        <f>IF(_imp!$C$930="","",INDEX(_imp!$F$4:$F$1503,_imp!$C$930))</f>
        <v/>
      </c>
      <c r="E928" s="47">
        <f>IF(_imp!$C$930="","",INDEX(_imp!$G$4:$G$1503,_imp!$C$930))</f>
        <v/>
      </c>
      <c r="F928" s="47">
        <f>IF(_imp!$C$930="","",INDEX(_imp!$H$4:$H$1503,_imp!$C$930))</f>
        <v/>
      </c>
      <c r="G928" s="47">
        <f>IF(_imp!$C$930="","",INDEX(_imp!$I$4:$I$1503,_imp!$C$930))</f>
        <v/>
      </c>
      <c r="K928" s="47">
        <f>IF(_imp!$C$930="","",INDEX(_imp!$J$4:$J$1503,_imp!$C$930))</f>
        <v/>
      </c>
    </row>
    <row r="929">
      <c r="A929" s="47">
        <f>IF(_imp!$C$931="","",INDEX(_imp!$D$4:$D$1503,_imp!$C$931))</f>
        <v/>
      </c>
      <c r="B929" s="47">
        <f>IF(_imp!$C$931="","",INDEX(_imp!$E$4:$E$1503,_imp!$C$931))</f>
        <v/>
      </c>
      <c r="C929" s="47">
        <f>IF(_imp!$C$931="","",INDEX(_imp!$F$4:$F$1503,_imp!$C$931))</f>
        <v/>
      </c>
      <c r="E929" s="47">
        <f>IF(_imp!$C$931="","",INDEX(_imp!$G$4:$G$1503,_imp!$C$931))</f>
        <v/>
      </c>
      <c r="F929" s="47">
        <f>IF(_imp!$C$931="","",INDEX(_imp!$H$4:$H$1503,_imp!$C$931))</f>
        <v/>
      </c>
      <c r="G929" s="47">
        <f>IF(_imp!$C$931="","",INDEX(_imp!$I$4:$I$1503,_imp!$C$931))</f>
        <v/>
      </c>
      <c r="K929" s="47">
        <f>IF(_imp!$C$931="","",INDEX(_imp!$J$4:$J$1503,_imp!$C$931))</f>
        <v/>
      </c>
    </row>
    <row r="930">
      <c r="A930" s="47">
        <f>IF(_imp!$C$932="","",INDEX(_imp!$D$4:$D$1503,_imp!$C$932))</f>
        <v/>
      </c>
      <c r="B930" s="47">
        <f>IF(_imp!$C$932="","",INDEX(_imp!$E$4:$E$1503,_imp!$C$932))</f>
        <v/>
      </c>
      <c r="C930" s="47">
        <f>IF(_imp!$C$932="","",INDEX(_imp!$F$4:$F$1503,_imp!$C$932))</f>
        <v/>
      </c>
      <c r="E930" s="47">
        <f>IF(_imp!$C$932="","",INDEX(_imp!$G$4:$G$1503,_imp!$C$932))</f>
        <v/>
      </c>
      <c r="F930" s="47">
        <f>IF(_imp!$C$932="","",INDEX(_imp!$H$4:$H$1503,_imp!$C$932))</f>
        <v/>
      </c>
      <c r="G930" s="47">
        <f>IF(_imp!$C$932="","",INDEX(_imp!$I$4:$I$1503,_imp!$C$932))</f>
        <v/>
      </c>
      <c r="K930" s="47">
        <f>IF(_imp!$C$932="","",INDEX(_imp!$J$4:$J$1503,_imp!$C$932))</f>
        <v/>
      </c>
    </row>
    <row r="931">
      <c r="A931" s="47">
        <f>IF(_imp!$C$933="","",INDEX(_imp!$D$4:$D$1503,_imp!$C$933))</f>
        <v/>
      </c>
      <c r="B931" s="47">
        <f>IF(_imp!$C$933="","",INDEX(_imp!$E$4:$E$1503,_imp!$C$933))</f>
        <v/>
      </c>
      <c r="C931" s="47">
        <f>IF(_imp!$C$933="","",INDEX(_imp!$F$4:$F$1503,_imp!$C$933))</f>
        <v/>
      </c>
      <c r="E931" s="47">
        <f>IF(_imp!$C$933="","",INDEX(_imp!$G$4:$G$1503,_imp!$C$933))</f>
        <v/>
      </c>
      <c r="F931" s="47">
        <f>IF(_imp!$C$933="","",INDEX(_imp!$H$4:$H$1503,_imp!$C$933))</f>
        <v/>
      </c>
      <c r="G931" s="47">
        <f>IF(_imp!$C$933="","",INDEX(_imp!$I$4:$I$1503,_imp!$C$933))</f>
        <v/>
      </c>
      <c r="K931" s="47">
        <f>IF(_imp!$C$933="","",INDEX(_imp!$J$4:$J$1503,_imp!$C$933))</f>
        <v/>
      </c>
    </row>
    <row r="932">
      <c r="A932" s="47">
        <f>IF(_imp!$C$934="","",INDEX(_imp!$D$4:$D$1503,_imp!$C$934))</f>
        <v/>
      </c>
      <c r="B932" s="47">
        <f>IF(_imp!$C$934="","",INDEX(_imp!$E$4:$E$1503,_imp!$C$934))</f>
        <v/>
      </c>
      <c r="C932" s="47">
        <f>IF(_imp!$C$934="","",INDEX(_imp!$F$4:$F$1503,_imp!$C$934))</f>
        <v/>
      </c>
      <c r="E932" s="47">
        <f>IF(_imp!$C$934="","",INDEX(_imp!$G$4:$G$1503,_imp!$C$934))</f>
        <v/>
      </c>
      <c r="F932" s="47">
        <f>IF(_imp!$C$934="","",INDEX(_imp!$H$4:$H$1503,_imp!$C$934))</f>
        <v/>
      </c>
      <c r="G932" s="47">
        <f>IF(_imp!$C$934="","",INDEX(_imp!$I$4:$I$1503,_imp!$C$934))</f>
        <v/>
      </c>
      <c r="K932" s="47">
        <f>IF(_imp!$C$934="","",INDEX(_imp!$J$4:$J$1503,_imp!$C$934))</f>
        <v/>
      </c>
    </row>
    <row r="933">
      <c r="A933" s="47">
        <f>IF(_imp!$C$935="","",INDEX(_imp!$D$4:$D$1503,_imp!$C$935))</f>
        <v/>
      </c>
      <c r="B933" s="47">
        <f>IF(_imp!$C$935="","",INDEX(_imp!$E$4:$E$1503,_imp!$C$935))</f>
        <v/>
      </c>
      <c r="C933" s="47">
        <f>IF(_imp!$C$935="","",INDEX(_imp!$F$4:$F$1503,_imp!$C$935))</f>
        <v/>
      </c>
      <c r="E933" s="47">
        <f>IF(_imp!$C$935="","",INDEX(_imp!$G$4:$G$1503,_imp!$C$935))</f>
        <v/>
      </c>
      <c r="F933" s="47">
        <f>IF(_imp!$C$935="","",INDEX(_imp!$H$4:$H$1503,_imp!$C$935))</f>
        <v/>
      </c>
      <c r="G933" s="47">
        <f>IF(_imp!$C$935="","",INDEX(_imp!$I$4:$I$1503,_imp!$C$935))</f>
        <v/>
      </c>
      <c r="K933" s="47">
        <f>IF(_imp!$C$935="","",INDEX(_imp!$J$4:$J$1503,_imp!$C$935))</f>
        <v/>
      </c>
    </row>
    <row r="934">
      <c r="A934" s="47">
        <f>IF(_imp!$C$936="","",INDEX(_imp!$D$4:$D$1503,_imp!$C$936))</f>
        <v/>
      </c>
      <c r="B934" s="47">
        <f>IF(_imp!$C$936="","",INDEX(_imp!$E$4:$E$1503,_imp!$C$936))</f>
        <v/>
      </c>
      <c r="C934" s="47">
        <f>IF(_imp!$C$936="","",INDEX(_imp!$F$4:$F$1503,_imp!$C$936))</f>
        <v/>
      </c>
      <c r="E934" s="47">
        <f>IF(_imp!$C$936="","",INDEX(_imp!$G$4:$G$1503,_imp!$C$936))</f>
        <v/>
      </c>
      <c r="F934" s="47">
        <f>IF(_imp!$C$936="","",INDEX(_imp!$H$4:$H$1503,_imp!$C$936))</f>
        <v/>
      </c>
      <c r="G934" s="47">
        <f>IF(_imp!$C$936="","",INDEX(_imp!$I$4:$I$1503,_imp!$C$936))</f>
        <v/>
      </c>
      <c r="K934" s="47">
        <f>IF(_imp!$C$936="","",INDEX(_imp!$J$4:$J$1503,_imp!$C$936))</f>
        <v/>
      </c>
    </row>
    <row r="935">
      <c r="A935" s="47">
        <f>IF(_imp!$C$937="","",INDEX(_imp!$D$4:$D$1503,_imp!$C$937))</f>
        <v/>
      </c>
      <c r="B935" s="47">
        <f>IF(_imp!$C$937="","",INDEX(_imp!$E$4:$E$1503,_imp!$C$937))</f>
        <v/>
      </c>
      <c r="C935" s="47">
        <f>IF(_imp!$C$937="","",INDEX(_imp!$F$4:$F$1503,_imp!$C$937))</f>
        <v/>
      </c>
      <c r="E935" s="47">
        <f>IF(_imp!$C$937="","",INDEX(_imp!$G$4:$G$1503,_imp!$C$937))</f>
        <v/>
      </c>
      <c r="F935" s="47">
        <f>IF(_imp!$C$937="","",INDEX(_imp!$H$4:$H$1503,_imp!$C$937))</f>
        <v/>
      </c>
      <c r="G935" s="47">
        <f>IF(_imp!$C$937="","",INDEX(_imp!$I$4:$I$1503,_imp!$C$937))</f>
        <v/>
      </c>
      <c r="K935" s="47">
        <f>IF(_imp!$C$937="","",INDEX(_imp!$J$4:$J$1503,_imp!$C$937))</f>
        <v/>
      </c>
    </row>
    <row r="936">
      <c r="A936" s="47">
        <f>IF(_imp!$C$938="","",INDEX(_imp!$D$4:$D$1503,_imp!$C$938))</f>
        <v/>
      </c>
      <c r="B936" s="47">
        <f>IF(_imp!$C$938="","",INDEX(_imp!$E$4:$E$1503,_imp!$C$938))</f>
        <v/>
      </c>
      <c r="C936" s="47">
        <f>IF(_imp!$C$938="","",INDEX(_imp!$F$4:$F$1503,_imp!$C$938))</f>
        <v/>
      </c>
      <c r="E936" s="47">
        <f>IF(_imp!$C$938="","",INDEX(_imp!$G$4:$G$1503,_imp!$C$938))</f>
        <v/>
      </c>
      <c r="F936" s="47">
        <f>IF(_imp!$C$938="","",INDEX(_imp!$H$4:$H$1503,_imp!$C$938))</f>
        <v/>
      </c>
      <c r="G936" s="47">
        <f>IF(_imp!$C$938="","",INDEX(_imp!$I$4:$I$1503,_imp!$C$938))</f>
        <v/>
      </c>
      <c r="K936" s="47">
        <f>IF(_imp!$C$938="","",INDEX(_imp!$J$4:$J$1503,_imp!$C$938))</f>
        <v/>
      </c>
    </row>
    <row r="937">
      <c r="A937" s="47">
        <f>IF(_imp!$C$939="","",INDEX(_imp!$D$4:$D$1503,_imp!$C$939))</f>
        <v/>
      </c>
      <c r="B937" s="47">
        <f>IF(_imp!$C$939="","",INDEX(_imp!$E$4:$E$1503,_imp!$C$939))</f>
        <v/>
      </c>
      <c r="C937" s="47">
        <f>IF(_imp!$C$939="","",INDEX(_imp!$F$4:$F$1503,_imp!$C$939))</f>
        <v/>
      </c>
      <c r="E937" s="47">
        <f>IF(_imp!$C$939="","",INDEX(_imp!$G$4:$G$1503,_imp!$C$939))</f>
        <v/>
      </c>
      <c r="F937" s="47">
        <f>IF(_imp!$C$939="","",INDEX(_imp!$H$4:$H$1503,_imp!$C$939))</f>
        <v/>
      </c>
      <c r="G937" s="47">
        <f>IF(_imp!$C$939="","",INDEX(_imp!$I$4:$I$1503,_imp!$C$939))</f>
        <v/>
      </c>
      <c r="K937" s="47">
        <f>IF(_imp!$C$939="","",INDEX(_imp!$J$4:$J$1503,_imp!$C$939))</f>
        <v/>
      </c>
    </row>
    <row r="938">
      <c r="A938" s="47">
        <f>IF(_imp!$C$940="","",INDEX(_imp!$D$4:$D$1503,_imp!$C$940))</f>
        <v/>
      </c>
      <c r="B938" s="47">
        <f>IF(_imp!$C$940="","",INDEX(_imp!$E$4:$E$1503,_imp!$C$940))</f>
        <v/>
      </c>
      <c r="C938" s="47">
        <f>IF(_imp!$C$940="","",INDEX(_imp!$F$4:$F$1503,_imp!$C$940))</f>
        <v/>
      </c>
      <c r="E938" s="47">
        <f>IF(_imp!$C$940="","",INDEX(_imp!$G$4:$G$1503,_imp!$C$940))</f>
        <v/>
      </c>
      <c r="F938" s="47">
        <f>IF(_imp!$C$940="","",INDEX(_imp!$H$4:$H$1503,_imp!$C$940))</f>
        <v/>
      </c>
      <c r="G938" s="47">
        <f>IF(_imp!$C$940="","",INDEX(_imp!$I$4:$I$1503,_imp!$C$940))</f>
        <v/>
      </c>
      <c r="K938" s="47">
        <f>IF(_imp!$C$940="","",INDEX(_imp!$J$4:$J$1503,_imp!$C$940))</f>
        <v/>
      </c>
    </row>
    <row r="939">
      <c r="A939" s="47">
        <f>IF(_imp!$C$941="","",INDEX(_imp!$D$4:$D$1503,_imp!$C$941))</f>
        <v/>
      </c>
      <c r="B939" s="47">
        <f>IF(_imp!$C$941="","",INDEX(_imp!$E$4:$E$1503,_imp!$C$941))</f>
        <v/>
      </c>
      <c r="C939" s="47">
        <f>IF(_imp!$C$941="","",INDEX(_imp!$F$4:$F$1503,_imp!$C$941))</f>
        <v/>
      </c>
      <c r="E939" s="47">
        <f>IF(_imp!$C$941="","",INDEX(_imp!$G$4:$G$1503,_imp!$C$941))</f>
        <v/>
      </c>
      <c r="F939" s="47">
        <f>IF(_imp!$C$941="","",INDEX(_imp!$H$4:$H$1503,_imp!$C$941))</f>
        <v/>
      </c>
      <c r="G939" s="47">
        <f>IF(_imp!$C$941="","",INDEX(_imp!$I$4:$I$1503,_imp!$C$941))</f>
        <v/>
      </c>
      <c r="K939" s="47">
        <f>IF(_imp!$C$941="","",INDEX(_imp!$J$4:$J$1503,_imp!$C$941))</f>
        <v/>
      </c>
    </row>
    <row r="940">
      <c r="A940" s="47">
        <f>IF(_imp!$C$942="","",INDEX(_imp!$D$4:$D$1503,_imp!$C$942))</f>
        <v/>
      </c>
      <c r="B940" s="47">
        <f>IF(_imp!$C$942="","",INDEX(_imp!$E$4:$E$1503,_imp!$C$942))</f>
        <v/>
      </c>
      <c r="C940" s="47">
        <f>IF(_imp!$C$942="","",INDEX(_imp!$F$4:$F$1503,_imp!$C$942))</f>
        <v/>
      </c>
      <c r="E940" s="47">
        <f>IF(_imp!$C$942="","",INDEX(_imp!$G$4:$G$1503,_imp!$C$942))</f>
        <v/>
      </c>
      <c r="F940" s="47">
        <f>IF(_imp!$C$942="","",INDEX(_imp!$H$4:$H$1503,_imp!$C$942))</f>
        <v/>
      </c>
      <c r="G940" s="47">
        <f>IF(_imp!$C$942="","",INDEX(_imp!$I$4:$I$1503,_imp!$C$942))</f>
        <v/>
      </c>
      <c r="K940" s="47">
        <f>IF(_imp!$C$942="","",INDEX(_imp!$J$4:$J$1503,_imp!$C$942))</f>
        <v/>
      </c>
    </row>
    <row r="941">
      <c r="A941" s="47">
        <f>IF(_imp!$C$943="","",INDEX(_imp!$D$4:$D$1503,_imp!$C$943))</f>
        <v/>
      </c>
      <c r="B941" s="47">
        <f>IF(_imp!$C$943="","",INDEX(_imp!$E$4:$E$1503,_imp!$C$943))</f>
        <v/>
      </c>
      <c r="C941" s="47">
        <f>IF(_imp!$C$943="","",INDEX(_imp!$F$4:$F$1503,_imp!$C$943))</f>
        <v/>
      </c>
      <c r="E941" s="47">
        <f>IF(_imp!$C$943="","",INDEX(_imp!$G$4:$G$1503,_imp!$C$943))</f>
        <v/>
      </c>
      <c r="F941" s="47">
        <f>IF(_imp!$C$943="","",INDEX(_imp!$H$4:$H$1503,_imp!$C$943))</f>
        <v/>
      </c>
      <c r="G941" s="47">
        <f>IF(_imp!$C$943="","",INDEX(_imp!$I$4:$I$1503,_imp!$C$943))</f>
        <v/>
      </c>
      <c r="K941" s="47">
        <f>IF(_imp!$C$943="","",INDEX(_imp!$J$4:$J$1503,_imp!$C$943))</f>
        <v/>
      </c>
    </row>
    <row r="942">
      <c r="A942" s="47">
        <f>IF(_imp!$C$944="","",INDEX(_imp!$D$4:$D$1503,_imp!$C$944))</f>
        <v/>
      </c>
      <c r="B942" s="47">
        <f>IF(_imp!$C$944="","",INDEX(_imp!$E$4:$E$1503,_imp!$C$944))</f>
        <v/>
      </c>
      <c r="C942" s="47">
        <f>IF(_imp!$C$944="","",INDEX(_imp!$F$4:$F$1503,_imp!$C$944))</f>
        <v/>
      </c>
      <c r="E942" s="47">
        <f>IF(_imp!$C$944="","",INDEX(_imp!$G$4:$G$1503,_imp!$C$944))</f>
        <v/>
      </c>
      <c r="F942" s="47">
        <f>IF(_imp!$C$944="","",INDEX(_imp!$H$4:$H$1503,_imp!$C$944))</f>
        <v/>
      </c>
      <c r="G942" s="47">
        <f>IF(_imp!$C$944="","",INDEX(_imp!$I$4:$I$1503,_imp!$C$944))</f>
        <v/>
      </c>
      <c r="K942" s="47">
        <f>IF(_imp!$C$944="","",INDEX(_imp!$J$4:$J$1503,_imp!$C$944))</f>
        <v/>
      </c>
    </row>
    <row r="943">
      <c r="A943" s="47">
        <f>IF(_imp!$C$945="","",INDEX(_imp!$D$4:$D$1503,_imp!$C$945))</f>
        <v/>
      </c>
      <c r="B943" s="47">
        <f>IF(_imp!$C$945="","",INDEX(_imp!$E$4:$E$1503,_imp!$C$945))</f>
        <v/>
      </c>
      <c r="C943" s="47">
        <f>IF(_imp!$C$945="","",INDEX(_imp!$F$4:$F$1503,_imp!$C$945))</f>
        <v/>
      </c>
      <c r="E943" s="47">
        <f>IF(_imp!$C$945="","",INDEX(_imp!$G$4:$G$1503,_imp!$C$945))</f>
        <v/>
      </c>
      <c r="F943" s="47">
        <f>IF(_imp!$C$945="","",INDEX(_imp!$H$4:$H$1503,_imp!$C$945))</f>
        <v/>
      </c>
      <c r="G943" s="47">
        <f>IF(_imp!$C$945="","",INDEX(_imp!$I$4:$I$1503,_imp!$C$945))</f>
        <v/>
      </c>
      <c r="K943" s="47">
        <f>IF(_imp!$C$945="","",INDEX(_imp!$J$4:$J$1503,_imp!$C$945))</f>
        <v/>
      </c>
    </row>
    <row r="944">
      <c r="A944" s="47">
        <f>IF(_imp!$C$946="","",INDEX(_imp!$D$4:$D$1503,_imp!$C$946))</f>
        <v/>
      </c>
      <c r="B944" s="47">
        <f>IF(_imp!$C$946="","",INDEX(_imp!$E$4:$E$1503,_imp!$C$946))</f>
        <v/>
      </c>
      <c r="C944" s="47">
        <f>IF(_imp!$C$946="","",INDEX(_imp!$F$4:$F$1503,_imp!$C$946))</f>
        <v/>
      </c>
      <c r="E944" s="47">
        <f>IF(_imp!$C$946="","",INDEX(_imp!$G$4:$G$1503,_imp!$C$946))</f>
        <v/>
      </c>
      <c r="F944" s="47">
        <f>IF(_imp!$C$946="","",INDEX(_imp!$H$4:$H$1503,_imp!$C$946))</f>
        <v/>
      </c>
      <c r="G944" s="47">
        <f>IF(_imp!$C$946="","",INDEX(_imp!$I$4:$I$1503,_imp!$C$946))</f>
        <v/>
      </c>
      <c r="K944" s="47">
        <f>IF(_imp!$C$946="","",INDEX(_imp!$J$4:$J$1503,_imp!$C$946))</f>
        <v/>
      </c>
    </row>
    <row r="945">
      <c r="A945" s="47">
        <f>IF(_imp!$C$947="","",INDEX(_imp!$D$4:$D$1503,_imp!$C$947))</f>
        <v/>
      </c>
      <c r="B945" s="47">
        <f>IF(_imp!$C$947="","",INDEX(_imp!$E$4:$E$1503,_imp!$C$947))</f>
        <v/>
      </c>
      <c r="C945" s="47">
        <f>IF(_imp!$C$947="","",INDEX(_imp!$F$4:$F$1503,_imp!$C$947))</f>
        <v/>
      </c>
      <c r="E945" s="47">
        <f>IF(_imp!$C$947="","",INDEX(_imp!$G$4:$G$1503,_imp!$C$947))</f>
        <v/>
      </c>
      <c r="F945" s="47">
        <f>IF(_imp!$C$947="","",INDEX(_imp!$H$4:$H$1503,_imp!$C$947))</f>
        <v/>
      </c>
      <c r="G945" s="47">
        <f>IF(_imp!$C$947="","",INDEX(_imp!$I$4:$I$1503,_imp!$C$947))</f>
        <v/>
      </c>
      <c r="K945" s="47">
        <f>IF(_imp!$C$947="","",INDEX(_imp!$J$4:$J$1503,_imp!$C$947))</f>
        <v/>
      </c>
    </row>
    <row r="946">
      <c r="A946" s="47">
        <f>IF(_imp!$C$948="","",INDEX(_imp!$D$4:$D$1503,_imp!$C$948))</f>
        <v/>
      </c>
      <c r="B946" s="47">
        <f>IF(_imp!$C$948="","",INDEX(_imp!$E$4:$E$1503,_imp!$C$948))</f>
        <v/>
      </c>
      <c r="C946" s="47">
        <f>IF(_imp!$C$948="","",INDEX(_imp!$F$4:$F$1503,_imp!$C$948))</f>
        <v/>
      </c>
      <c r="E946" s="47">
        <f>IF(_imp!$C$948="","",INDEX(_imp!$G$4:$G$1503,_imp!$C$948))</f>
        <v/>
      </c>
      <c r="F946" s="47">
        <f>IF(_imp!$C$948="","",INDEX(_imp!$H$4:$H$1503,_imp!$C$948))</f>
        <v/>
      </c>
      <c r="G946" s="47">
        <f>IF(_imp!$C$948="","",INDEX(_imp!$I$4:$I$1503,_imp!$C$948))</f>
        <v/>
      </c>
      <c r="K946" s="47">
        <f>IF(_imp!$C$948="","",INDEX(_imp!$J$4:$J$1503,_imp!$C$948))</f>
        <v/>
      </c>
    </row>
    <row r="947">
      <c r="A947" s="47">
        <f>IF(_imp!$C$949="","",INDEX(_imp!$D$4:$D$1503,_imp!$C$949))</f>
        <v/>
      </c>
      <c r="B947" s="47">
        <f>IF(_imp!$C$949="","",INDEX(_imp!$E$4:$E$1503,_imp!$C$949))</f>
        <v/>
      </c>
      <c r="C947" s="47">
        <f>IF(_imp!$C$949="","",INDEX(_imp!$F$4:$F$1503,_imp!$C$949))</f>
        <v/>
      </c>
      <c r="E947" s="47">
        <f>IF(_imp!$C$949="","",INDEX(_imp!$G$4:$G$1503,_imp!$C$949))</f>
        <v/>
      </c>
      <c r="F947" s="47">
        <f>IF(_imp!$C$949="","",INDEX(_imp!$H$4:$H$1503,_imp!$C$949))</f>
        <v/>
      </c>
      <c r="G947" s="47">
        <f>IF(_imp!$C$949="","",INDEX(_imp!$I$4:$I$1503,_imp!$C$949))</f>
        <v/>
      </c>
      <c r="K947" s="47">
        <f>IF(_imp!$C$949="","",INDEX(_imp!$J$4:$J$1503,_imp!$C$949))</f>
        <v/>
      </c>
    </row>
    <row r="948">
      <c r="A948" s="47">
        <f>IF(_imp!$C$950="","",INDEX(_imp!$D$4:$D$1503,_imp!$C$950))</f>
        <v/>
      </c>
      <c r="B948" s="47">
        <f>IF(_imp!$C$950="","",INDEX(_imp!$E$4:$E$1503,_imp!$C$950))</f>
        <v/>
      </c>
      <c r="C948" s="47">
        <f>IF(_imp!$C$950="","",INDEX(_imp!$F$4:$F$1503,_imp!$C$950))</f>
        <v/>
      </c>
      <c r="E948" s="47">
        <f>IF(_imp!$C$950="","",INDEX(_imp!$G$4:$G$1503,_imp!$C$950))</f>
        <v/>
      </c>
      <c r="F948" s="47">
        <f>IF(_imp!$C$950="","",INDEX(_imp!$H$4:$H$1503,_imp!$C$950))</f>
        <v/>
      </c>
      <c r="G948" s="47">
        <f>IF(_imp!$C$950="","",INDEX(_imp!$I$4:$I$1503,_imp!$C$950))</f>
        <v/>
      </c>
      <c r="K948" s="47">
        <f>IF(_imp!$C$950="","",INDEX(_imp!$J$4:$J$1503,_imp!$C$950))</f>
        <v/>
      </c>
    </row>
    <row r="949">
      <c r="A949" s="47">
        <f>IF(_imp!$C$951="","",INDEX(_imp!$D$4:$D$1503,_imp!$C$951))</f>
        <v/>
      </c>
      <c r="B949" s="47">
        <f>IF(_imp!$C$951="","",INDEX(_imp!$E$4:$E$1503,_imp!$C$951))</f>
        <v/>
      </c>
      <c r="C949" s="47">
        <f>IF(_imp!$C$951="","",INDEX(_imp!$F$4:$F$1503,_imp!$C$951))</f>
        <v/>
      </c>
      <c r="E949" s="47">
        <f>IF(_imp!$C$951="","",INDEX(_imp!$G$4:$G$1503,_imp!$C$951))</f>
        <v/>
      </c>
      <c r="F949" s="47">
        <f>IF(_imp!$C$951="","",INDEX(_imp!$H$4:$H$1503,_imp!$C$951))</f>
        <v/>
      </c>
      <c r="G949" s="47">
        <f>IF(_imp!$C$951="","",INDEX(_imp!$I$4:$I$1503,_imp!$C$951))</f>
        <v/>
      </c>
      <c r="K949" s="47">
        <f>IF(_imp!$C$951="","",INDEX(_imp!$J$4:$J$1503,_imp!$C$951))</f>
        <v/>
      </c>
    </row>
    <row r="950">
      <c r="A950" s="47">
        <f>IF(_imp!$C$952="","",INDEX(_imp!$D$4:$D$1503,_imp!$C$952))</f>
        <v/>
      </c>
      <c r="B950" s="47">
        <f>IF(_imp!$C$952="","",INDEX(_imp!$E$4:$E$1503,_imp!$C$952))</f>
        <v/>
      </c>
      <c r="C950" s="47">
        <f>IF(_imp!$C$952="","",INDEX(_imp!$F$4:$F$1503,_imp!$C$952))</f>
        <v/>
      </c>
      <c r="E950" s="47">
        <f>IF(_imp!$C$952="","",INDEX(_imp!$G$4:$G$1503,_imp!$C$952))</f>
        <v/>
      </c>
      <c r="F950" s="47">
        <f>IF(_imp!$C$952="","",INDEX(_imp!$H$4:$H$1503,_imp!$C$952))</f>
        <v/>
      </c>
      <c r="G950" s="47">
        <f>IF(_imp!$C$952="","",INDEX(_imp!$I$4:$I$1503,_imp!$C$952))</f>
        <v/>
      </c>
      <c r="K950" s="47">
        <f>IF(_imp!$C$952="","",INDEX(_imp!$J$4:$J$1503,_imp!$C$952))</f>
        <v/>
      </c>
    </row>
    <row r="951">
      <c r="A951" s="47">
        <f>IF(_imp!$C$953="","",INDEX(_imp!$D$4:$D$1503,_imp!$C$953))</f>
        <v/>
      </c>
      <c r="B951" s="47">
        <f>IF(_imp!$C$953="","",INDEX(_imp!$E$4:$E$1503,_imp!$C$953))</f>
        <v/>
      </c>
      <c r="C951" s="47">
        <f>IF(_imp!$C$953="","",INDEX(_imp!$F$4:$F$1503,_imp!$C$953))</f>
        <v/>
      </c>
      <c r="E951" s="47">
        <f>IF(_imp!$C$953="","",INDEX(_imp!$G$4:$G$1503,_imp!$C$953))</f>
        <v/>
      </c>
      <c r="F951" s="47">
        <f>IF(_imp!$C$953="","",INDEX(_imp!$H$4:$H$1503,_imp!$C$953))</f>
        <v/>
      </c>
      <c r="G951" s="47">
        <f>IF(_imp!$C$953="","",INDEX(_imp!$I$4:$I$1503,_imp!$C$953))</f>
        <v/>
      </c>
      <c r="K951" s="47">
        <f>IF(_imp!$C$953="","",INDEX(_imp!$J$4:$J$1503,_imp!$C$953))</f>
        <v/>
      </c>
    </row>
    <row r="952">
      <c r="A952" s="47">
        <f>IF(_imp!$C$954="","",INDEX(_imp!$D$4:$D$1503,_imp!$C$954))</f>
        <v/>
      </c>
      <c r="B952" s="47">
        <f>IF(_imp!$C$954="","",INDEX(_imp!$E$4:$E$1503,_imp!$C$954))</f>
        <v/>
      </c>
      <c r="C952" s="47">
        <f>IF(_imp!$C$954="","",INDEX(_imp!$F$4:$F$1503,_imp!$C$954))</f>
        <v/>
      </c>
      <c r="E952" s="47">
        <f>IF(_imp!$C$954="","",INDEX(_imp!$G$4:$G$1503,_imp!$C$954))</f>
        <v/>
      </c>
      <c r="F952" s="47">
        <f>IF(_imp!$C$954="","",INDEX(_imp!$H$4:$H$1503,_imp!$C$954))</f>
        <v/>
      </c>
      <c r="G952" s="47">
        <f>IF(_imp!$C$954="","",INDEX(_imp!$I$4:$I$1503,_imp!$C$954))</f>
        <v/>
      </c>
      <c r="K952" s="47">
        <f>IF(_imp!$C$954="","",INDEX(_imp!$J$4:$J$1503,_imp!$C$954))</f>
        <v/>
      </c>
    </row>
    <row r="953">
      <c r="A953" s="47">
        <f>IF(_imp!$C$955="","",INDEX(_imp!$D$4:$D$1503,_imp!$C$955))</f>
        <v/>
      </c>
      <c r="B953" s="47">
        <f>IF(_imp!$C$955="","",INDEX(_imp!$E$4:$E$1503,_imp!$C$955))</f>
        <v/>
      </c>
      <c r="C953" s="47">
        <f>IF(_imp!$C$955="","",INDEX(_imp!$F$4:$F$1503,_imp!$C$955))</f>
        <v/>
      </c>
      <c r="E953" s="47">
        <f>IF(_imp!$C$955="","",INDEX(_imp!$G$4:$G$1503,_imp!$C$955))</f>
        <v/>
      </c>
      <c r="F953" s="47">
        <f>IF(_imp!$C$955="","",INDEX(_imp!$H$4:$H$1503,_imp!$C$955))</f>
        <v/>
      </c>
      <c r="G953" s="47">
        <f>IF(_imp!$C$955="","",INDEX(_imp!$I$4:$I$1503,_imp!$C$955))</f>
        <v/>
      </c>
      <c r="K953" s="47">
        <f>IF(_imp!$C$955="","",INDEX(_imp!$J$4:$J$1503,_imp!$C$955))</f>
        <v/>
      </c>
    </row>
    <row r="954">
      <c r="A954" s="47">
        <f>IF(_imp!$C$956="","",INDEX(_imp!$D$4:$D$1503,_imp!$C$956))</f>
        <v/>
      </c>
      <c r="B954" s="47">
        <f>IF(_imp!$C$956="","",INDEX(_imp!$E$4:$E$1503,_imp!$C$956))</f>
        <v/>
      </c>
      <c r="C954" s="47">
        <f>IF(_imp!$C$956="","",INDEX(_imp!$F$4:$F$1503,_imp!$C$956))</f>
        <v/>
      </c>
      <c r="E954" s="47">
        <f>IF(_imp!$C$956="","",INDEX(_imp!$G$4:$G$1503,_imp!$C$956))</f>
        <v/>
      </c>
      <c r="F954" s="47">
        <f>IF(_imp!$C$956="","",INDEX(_imp!$H$4:$H$1503,_imp!$C$956))</f>
        <v/>
      </c>
      <c r="G954" s="47">
        <f>IF(_imp!$C$956="","",INDEX(_imp!$I$4:$I$1503,_imp!$C$956))</f>
        <v/>
      </c>
      <c r="K954" s="47">
        <f>IF(_imp!$C$956="","",INDEX(_imp!$J$4:$J$1503,_imp!$C$956))</f>
        <v/>
      </c>
    </row>
    <row r="955">
      <c r="A955" s="47">
        <f>IF(_imp!$C$957="","",INDEX(_imp!$D$4:$D$1503,_imp!$C$957))</f>
        <v/>
      </c>
      <c r="B955" s="47">
        <f>IF(_imp!$C$957="","",INDEX(_imp!$E$4:$E$1503,_imp!$C$957))</f>
        <v/>
      </c>
      <c r="C955" s="47">
        <f>IF(_imp!$C$957="","",INDEX(_imp!$F$4:$F$1503,_imp!$C$957))</f>
        <v/>
      </c>
      <c r="E955" s="47">
        <f>IF(_imp!$C$957="","",INDEX(_imp!$G$4:$G$1503,_imp!$C$957))</f>
        <v/>
      </c>
      <c r="F955" s="47">
        <f>IF(_imp!$C$957="","",INDEX(_imp!$H$4:$H$1503,_imp!$C$957))</f>
        <v/>
      </c>
      <c r="G955" s="47">
        <f>IF(_imp!$C$957="","",INDEX(_imp!$I$4:$I$1503,_imp!$C$957))</f>
        <v/>
      </c>
      <c r="K955" s="47">
        <f>IF(_imp!$C$957="","",INDEX(_imp!$J$4:$J$1503,_imp!$C$957))</f>
        <v/>
      </c>
    </row>
    <row r="956">
      <c r="A956" s="47">
        <f>IF(_imp!$C$958="","",INDEX(_imp!$D$4:$D$1503,_imp!$C$958))</f>
        <v/>
      </c>
      <c r="B956" s="47">
        <f>IF(_imp!$C$958="","",INDEX(_imp!$E$4:$E$1503,_imp!$C$958))</f>
        <v/>
      </c>
      <c r="C956" s="47">
        <f>IF(_imp!$C$958="","",INDEX(_imp!$F$4:$F$1503,_imp!$C$958))</f>
        <v/>
      </c>
      <c r="E956" s="47">
        <f>IF(_imp!$C$958="","",INDEX(_imp!$G$4:$G$1503,_imp!$C$958))</f>
        <v/>
      </c>
      <c r="F956" s="47">
        <f>IF(_imp!$C$958="","",INDEX(_imp!$H$4:$H$1503,_imp!$C$958))</f>
        <v/>
      </c>
      <c r="G956" s="47">
        <f>IF(_imp!$C$958="","",INDEX(_imp!$I$4:$I$1503,_imp!$C$958))</f>
        <v/>
      </c>
      <c r="K956" s="47">
        <f>IF(_imp!$C$958="","",INDEX(_imp!$J$4:$J$1503,_imp!$C$958))</f>
        <v/>
      </c>
    </row>
    <row r="957">
      <c r="A957" s="47">
        <f>IF(_imp!$C$959="","",INDEX(_imp!$D$4:$D$1503,_imp!$C$959))</f>
        <v/>
      </c>
      <c r="B957" s="47">
        <f>IF(_imp!$C$959="","",INDEX(_imp!$E$4:$E$1503,_imp!$C$959))</f>
        <v/>
      </c>
      <c r="C957" s="47">
        <f>IF(_imp!$C$959="","",INDEX(_imp!$F$4:$F$1503,_imp!$C$959))</f>
        <v/>
      </c>
      <c r="E957" s="47">
        <f>IF(_imp!$C$959="","",INDEX(_imp!$G$4:$G$1503,_imp!$C$959))</f>
        <v/>
      </c>
      <c r="F957" s="47">
        <f>IF(_imp!$C$959="","",INDEX(_imp!$H$4:$H$1503,_imp!$C$959))</f>
        <v/>
      </c>
      <c r="G957" s="47">
        <f>IF(_imp!$C$959="","",INDEX(_imp!$I$4:$I$1503,_imp!$C$959))</f>
        <v/>
      </c>
      <c r="K957" s="47">
        <f>IF(_imp!$C$959="","",INDEX(_imp!$J$4:$J$1503,_imp!$C$959))</f>
        <v/>
      </c>
    </row>
    <row r="958">
      <c r="A958" s="47">
        <f>IF(_imp!$C$960="","",INDEX(_imp!$D$4:$D$1503,_imp!$C$960))</f>
        <v/>
      </c>
      <c r="B958" s="47">
        <f>IF(_imp!$C$960="","",INDEX(_imp!$E$4:$E$1503,_imp!$C$960))</f>
        <v/>
      </c>
      <c r="C958" s="47">
        <f>IF(_imp!$C$960="","",INDEX(_imp!$F$4:$F$1503,_imp!$C$960))</f>
        <v/>
      </c>
      <c r="E958" s="47">
        <f>IF(_imp!$C$960="","",INDEX(_imp!$G$4:$G$1503,_imp!$C$960))</f>
        <v/>
      </c>
      <c r="F958" s="47">
        <f>IF(_imp!$C$960="","",INDEX(_imp!$H$4:$H$1503,_imp!$C$960))</f>
        <v/>
      </c>
      <c r="G958" s="47">
        <f>IF(_imp!$C$960="","",INDEX(_imp!$I$4:$I$1503,_imp!$C$960))</f>
        <v/>
      </c>
      <c r="K958" s="47">
        <f>IF(_imp!$C$960="","",INDEX(_imp!$J$4:$J$1503,_imp!$C$960))</f>
        <v/>
      </c>
    </row>
    <row r="959">
      <c r="A959" s="47">
        <f>IF(_imp!$C$961="","",INDEX(_imp!$D$4:$D$1503,_imp!$C$961))</f>
        <v/>
      </c>
      <c r="B959" s="47">
        <f>IF(_imp!$C$961="","",INDEX(_imp!$E$4:$E$1503,_imp!$C$961))</f>
        <v/>
      </c>
      <c r="C959" s="47">
        <f>IF(_imp!$C$961="","",INDEX(_imp!$F$4:$F$1503,_imp!$C$961))</f>
        <v/>
      </c>
      <c r="E959" s="47">
        <f>IF(_imp!$C$961="","",INDEX(_imp!$G$4:$G$1503,_imp!$C$961))</f>
        <v/>
      </c>
      <c r="F959" s="47">
        <f>IF(_imp!$C$961="","",INDEX(_imp!$H$4:$H$1503,_imp!$C$961))</f>
        <v/>
      </c>
      <c r="G959" s="47">
        <f>IF(_imp!$C$961="","",INDEX(_imp!$I$4:$I$1503,_imp!$C$961))</f>
        <v/>
      </c>
      <c r="K959" s="47">
        <f>IF(_imp!$C$961="","",INDEX(_imp!$J$4:$J$1503,_imp!$C$961))</f>
        <v/>
      </c>
    </row>
    <row r="960">
      <c r="A960" s="47">
        <f>IF(_imp!$C$962="","",INDEX(_imp!$D$4:$D$1503,_imp!$C$962))</f>
        <v/>
      </c>
      <c r="B960" s="47">
        <f>IF(_imp!$C$962="","",INDEX(_imp!$E$4:$E$1503,_imp!$C$962))</f>
        <v/>
      </c>
      <c r="C960" s="47">
        <f>IF(_imp!$C$962="","",INDEX(_imp!$F$4:$F$1503,_imp!$C$962))</f>
        <v/>
      </c>
      <c r="E960" s="47">
        <f>IF(_imp!$C$962="","",INDEX(_imp!$G$4:$G$1503,_imp!$C$962))</f>
        <v/>
      </c>
      <c r="F960" s="47">
        <f>IF(_imp!$C$962="","",INDEX(_imp!$H$4:$H$1503,_imp!$C$962))</f>
        <v/>
      </c>
      <c r="G960" s="47">
        <f>IF(_imp!$C$962="","",INDEX(_imp!$I$4:$I$1503,_imp!$C$962))</f>
        <v/>
      </c>
      <c r="K960" s="47">
        <f>IF(_imp!$C$962="","",INDEX(_imp!$J$4:$J$1503,_imp!$C$962))</f>
        <v/>
      </c>
    </row>
    <row r="961">
      <c r="A961" s="47">
        <f>IF(_imp!$C$963="","",INDEX(_imp!$D$4:$D$1503,_imp!$C$963))</f>
        <v/>
      </c>
      <c r="B961" s="47">
        <f>IF(_imp!$C$963="","",INDEX(_imp!$E$4:$E$1503,_imp!$C$963))</f>
        <v/>
      </c>
      <c r="C961" s="47">
        <f>IF(_imp!$C$963="","",INDEX(_imp!$F$4:$F$1503,_imp!$C$963))</f>
        <v/>
      </c>
      <c r="E961" s="47">
        <f>IF(_imp!$C$963="","",INDEX(_imp!$G$4:$G$1503,_imp!$C$963))</f>
        <v/>
      </c>
      <c r="F961" s="47">
        <f>IF(_imp!$C$963="","",INDEX(_imp!$H$4:$H$1503,_imp!$C$963))</f>
        <v/>
      </c>
      <c r="G961" s="47">
        <f>IF(_imp!$C$963="","",INDEX(_imp!$I$4:$I$1503,_imp!$C$963))</f>
        <v/>
      </c>
      <c r="K961" s="47">
        <f>IF(_imp!$C$963="","",INDEX(_imp!$J$4:$J$1503,_imp!$C$963))</f>
        <v/>
      </c>
    </row>
    <row r="962">
      <c r="A962" s="47">
        <f>IF(_imp!$C$964="","",INDEX(_imp!$D$4:$D$1503,_imp!$C$964))</f>
        <v/>
      </c>
      <c r="B962" s="47">
        <f>IF(_imp!$C$964="","",INDEX(_imp!$E$4:$E$1503,_imp!$C$964))</f>
        <v/>
      </c>
      <c r="C962" s="47">
        <f>IF(_imp!$C$964="","",INDEX(_imp!$F$4:$F$1503,_imp!$C$964))</f>
        <v/>
      </c>
      <c r="E962" s="47">
        <f>IF(_imp!$C$964="","",INDEX(_imp!$G$4:$G$1503,_imp!$C$964))</f>
        <v/>
      </c>
      <c r="F962" s="47">
        <f>IF(_imp!$C$964="","",INDEX(_imp!$H$4:$H$1503,_imp!$C$964))</f>
        <v/>
      </c>
      <c r="G962" s="47">
        <f>IF(_imp!$C$964="","",INDEX(_imp!$I$4:$I$1503,_imp!$C$964))</f>
        <v/>
      </c>
      <c r="K962" s="47">
        <f>IF(_imp!$C$964="","",INDEX(_imp!$J$4:$J$1503,_imp!$C$964))</f>
        <v/>
      </c>
    </row>
    <row r="963">
      <c r="A963" s="47">
        <f>IF(_imp!$C$965="","",INDEX(_imp!$D$4:$D$1503,_imp!$C$965))</f>
        <v/>
      </c>
      <c r="B963" s="47">
        <f>IF(_imp!$C$965="","",INDEX(_imp!$E$4:$E$1503,_imp!$C$965))</f>
        <v/>
      </c>
      <c r="C963" s="47">
        <f>IF(_imp!$C$965="","",INDEX(_imp!$F$4:$F$1503,_imp!$C$965))</f>
        <v/>
      </c>
      <c r="E963" s="47">
        <f>IF(_imp!$C$965="","",INDEX(_imp!$G$4:$G$1503,_imp!$C$965))</f>
        <v/>
      </c>
      <c r="F963" s="47">
        <f>IF(_imp!$C$965="","",INDEX(_imp!$H$4:$H$1503,_imp!$C$965))</f>
        <v/>
      </c>
      <c r="G963" s="47">
        <f>IF(_imp!$C$965="","",INDEX(_imp!$I$4:$I$1503,_imp!$C$965))</f>
        <v/>
      </c>
      <c r="K963" s="47">
        <f>IF(_imp!$C$965="","",INDEX(_imp!$J$4:$J$1503,_imp!$C$965))</f>
        <v/>
      </c>
    </row>
    <row r="964">
      <c r="A964" s="47">
        <f>IF(_imp!$C$966="","",INDEX(_imp!$D$4:$D$1503,_imp!$C$966))</f>
        <v/>
      </c>
      <c r="B964" s="47">
        <f>IF(_imp!$C$966="","",INDEX(_imp!$E$4:$E$1503,_imp!$C$966))</f>
        <v/>
      </c>
      <c r="C964" s="47">
        <f>IF(_imp!$C$966="","",INDEX(_imp!$F$4:$F$1503,_imp!$C$966))</f>
        <v/>
      </c>
      <c r="E964" s="47">
        <f>IF(_imp!$C$966="","",INDEX(_imp!$G$4:$G$1503,_imp!$C$966))</f>
        <v/>
      </c>
      <c r="F964" s="47">
        <f>IF(_imp!$C$966="","",INDEX(_imp!$H$4:$H$1503,_imp!$C$966))</f>
        <v/>
      </c>
      <c r="G964" s="47">
        <f>IF(_imp!$C$966="","",INDEX(_imp!$I$4:$I$1503,_imp!$C$966))</f>
        <v/>
      </c>
      <c r="K964" s="47">
        <f>IF(_imp!$C$966="","",INDEX(_imp!$J$4:$J$1503,_imp!$C$966))</f>
        <v/>
      </c>
    </row>
    <row r="965">
      <c r="A965" s="47">
        <f>IF(_imp!$C$967="","",INDEX(_imp!$D$4:$D$1503,_imp!$C$967))</f>
        <v/>
      </c>
      <c r="B965" s="47">
        <f>IF(_imp!$C$967="","",INDEX(_imp!$E$4:$E$1503,_imp!$C$967))</f>
        <v/>
      </c>
      <c r="C965" s="47">
        <f>IF(_imp!$C$967="","",INDEX(_imp!$F$4:$F$1503,_imp!$C$967))</f>
        <v/>
      </c>
      <c r="E965" s="47">
        <f>IF(_imp!$C$967="","",INDEX(_imp!$G$4:$G$1503,_imp!$C$967))</f>
        <v/>
      </c>
      <c r="F965" s="47">
        <f>IF(_imp!$C$967="","",INDEX(_imp!$H$4:$H$1503,_imp!$C$967))</f>
        <v/>
      </c>
      <c r="G965" s="47">
        <f>IF(_imp!$C$967="","",INDEX(_imp!$I$4:$I$1503,_imp!$C$967))</f>
        <v/>
      </c>
      <c r="K965" s="47">
        <f>IF(_imp!$C$967="","",INDEX(_imp!$J$4:$J$1503,_imp!$C$967))</f>
        <v/>
      </c>
    </row>
    <row r="966">
      <c r="A966" s="47">
        <f>IF(_imp!$C$968="","",INDEX(_imp!$D$4:$D$1503,_imp!$C$968))</f>
        <v/>
      </c>
      <c r="B966" s="47">
        <f>IF(_imp!$C$968="","",INDEX(_imp!$E$4:$E$1503,_imp!$C$968))</f>
        <v/>
      </c>
      <c r="C966" s="47">
        <f>IF(_imp!$C$968="","",INDEX(_imp!$F$4:$F$1503,_imp!$C$968))</f>
        <v/>
      </c>
      <c r="E966" s="47">
        <f>IF(_imp!$C$968="","",INDEX(_imp!$G$4:$G$1503,_imp!$C$968))</f>
        <v/>
      </c>
      <c r="F966" s="47">
        <f>IF(_imp!$C$968="","",INDEX(_imp!$H$4:$H$1503,_imp!$C$968))</f>
        <v/>
      </c>
      <c r="G966" s="47">
        <f>IF(_imp!$C$968="","",INDEX(_imp!$I$4:$I$1503,_imp!$C$968))</f>
        <v/>
      </c>
      <c r="K966" s="47">
        <f>IF(_imp!$C$968="","",INDEX(_imp!$J$4:$J$1503,_imp!$C$968))</f>
        <v/>
      </c>
    </row>
    <row r="967">
      <c r="A967" s="47">
        <f>IF(_imp!$C$969="","",INDEX(_imp!$D$4:$D$1503,_imp!$C$969))</f>
        <v/>
      </c>
      <c r="B967" s="47">
        <f>IF(_imp!$C$969="","",INDEX(_imp!$E$4:$E$1503,_imp!$C$969))</f>
        <v/>
      </c>
      <c r="C967" s="47">
        <f>IF(_imp!$C$969="","",INDEX(_imp!$F$4:$F$1503,_imp!$C$969))</f>
        <v/>
      </c>
      <c r="E967" s="47">
        <f>IF(_imp!$C$969="","",INDEX(_imp!$G$4:$G$1503,_imp!$C$969))</f>
        <v/>
      </c>
      <c r="F967" s="47">
        <f>IF(_imp!$C$969="","",INDEX(_imp!$H$4:$H$1503,_imp!$C$969))</f>
        <v/>
      </c>
      <c r="G967" s="47">
        <f>IF(_imp!$C$969="","",INDEX(_imp!$I$4:$I$1503,_imp!$C$969))</f>
        <v/>
      </c>
      <c r="K967" s="47">
        <f>IF(_imp!$C$969="","",INDEX(_imp!$J$4:$J$1503,_imp!$C$969))</f>
        <v/>
      </c>
    </row>
    <row r="968">
      <c r="A968" s="47">
        <f>IF(_imp!$C$970="","",INDEX(_imp!$D$4:$D$1503,_imp!$C$970))</f>
        <v/>
      </c>
      <c r="B968" s="47">
        <f>IF(_imp!$C$970="","",INDEX(_imp!$E$4:$E$1503,_imp!$C$970))</f>
        <v/>
      </c>
      <c r="C968" s="47">
        <f>IF(_imp!$C$970="","",INDEX(_imp!$F$4:$F$1503,_imp!$C$970))</f>
        <v/>
      </c>
      <c r="E968" s="47">
        <f>IF(_imp!$C$970="","",INDEX(_imp!$G$4:$G$1503,_imp!$C$970))</f>
        <v/>
      </c>
      <c r="F968" s="47">
        <f>IF(_imp!$C$970="","",INDEX(_imp!$H$4:$H$1503,_imp!$C$970))</f>
        <v/>
      </c>
      <c r="G968" s="47">
        <f>IF(_imp!$C$970="","",INDEX(_imp!$I$4:$I$1503,_imp!$C$970))</f>
        <v/>
      </c>
      <c r="K968" s="47">
        <f>IF(_imp!$C$970="","",INDEX(_imp!$J$4:$J$1503,_imp!$C$970))</f>
        <v/>
      </c>
    </row>
    <row r="969">
      <c r="A969" s="47">
        <f>IF(_imp!$C$971="","",INDEX(_imp!$D$4:$D$1503,_imp!$C$971))</f>
        <v/>
      </c>
      <c r="B969" s="47">
        <f>IF(_imp!$C$971="","",INDEX(_imp!$E$4:$E$1503,_imp!$C$971))</f>
        <v/>
      </c>
      <c r="C969" s="47">
        <f>IF(_imp!$C$971="","",INDEX(_imp!$F$4:$F$1503,_imp!$C$971))</f>
        <v/>
      </c>
      <c r="E969" s="47">
        <f>IF(_imp!$C$971="","",INDEX(_imp!$G$4:$G$1503,_imp!$C$971))</f>
        <v/>
      </c>
      <c r="F969" s="47">
        <f>IF(_imp!$C$971="","",INDEX(_imp!$H$4:$H$1503,_imp!$C$971))</f>
        <v/>
      </c>
      <c r="G969" s="47">
        <f>IF(_imp!$C$971="","",INDEX(_imp!$I$4:$I$1503,_imp!$C$971))</f>
        <v/>
      </c>
      <c r="K969" s="47">
        <f>IF(_imp!$C$971="","",INDEX(_imp!$J$4:$J$1503,_imp!$C$971))</f>
        <v/>
      </c>
    </row>
    <row r="970">
      <c r="A970" s="47">
        <f>IF(_imp!$C$972="","",INDEX(_imp!$D$4:$D$1503,_imp!$C$972))</f>
        <v/>
      </c>
      <c r="B970" s="47">
        <f>IF(_imp!$C$972="","",INDEX(_imp!$E$4:$E$1503,_imp!$C$972))</f>
        <v/>
      </c>
      <c r="C970" s="47">
        <f>IF(_imp!$C$972="","",INDEX(_imp!$F$4:$F$1503,_imp!$C$972))</f>
        <v/>
      </c>
      <c r="E970" s="47">
        <f>IF(_imp!$C$972="","",INDEX(_imp!$G$4:$G$1503,_imp!$C$972))</f>
        <v/>
      </c>
      <c r="F970" s="47">
        <f>IF(_imp!$C$972="","",INDEX(_imp!$H$4:$H$1503,_imp!$C$972))</f>
        <v/>
      </c>
      <c r="G970" s="47">
        <f>IF(_imp!$C$972="","",INDEX(_imp!$I$4:$I$1503,_imp!$C$972))</f>
        <v/>
      </c>
      <c r="K970" s="47">
        <f>IF(_imp!$C$972="","",INDEX(_imp!$J$4:$J$1503,_imp!$C$972))</f>
        <v/>
      </c>
    </row>
    <row r="971">
      <c r="A971" s="47">
        <f>IF(_imp!$C$973="","",INDEX(_imp!$D$4:$D$1503,_imp!$C$973))</f>
        <v/>
      </c>
      <c r="B971" s="47">
        <f>IF(_imp!$C$973="","",INDEX(_imp!$E$4:$E$1503,_imp!$C$973))</f>
        <v/>
      </c>
      <c r="C971" s="47">
        <f>IF(_imp!$C$973="","",INDEX(_imp!$F$4:$F$1503,_imp!$C$973))</f>
        <v/>
      </c>
      <c r="E971" s="47">
        <f>IF(_imp!$C$973="","",INDEX(_imp!$G$4:$G$1503,_imp!$C$973))</f>
        <v/>
      </c>
      <c r="F971" s="47">
        <f>IF(_imp!$C$973="","",INDEX(_imp!$H$4:$H$1503,_imp!$C$973))</f>
        <v/>
      </c>
      <c r="G971" s="47">
        <f>IF(_imp!$C$973="","",INDEX(_imp!$I$4:$I$1503,_imp!$C$973))</f>
        <v/>
      </c>
      <c r="K971" s="47">
        <f>IF(_imp!$C$973="","",INDEX(_imp!$J$4:$J$1503,_imp!$C$973))</f>
        <v/>
      </c>
    </row>
    <row r="972">
      <c r="A972" s="47">
        <f>IF(_imp!$C$974="","",INDEX(_imp!$D$4:$D$1503,_imp!$C$974))</f>
        <v/>
      </c>
      <c r="B972" s="47">
        <f>IF(_imp!$C$974="","",INDEX(_imp!$E$4:$E$1503,_imp!$C$974))</f>
        <v/>
      </c>
      <c r="C972" s="47">
        <f>IF(_imp!$C$974="","",INDEX(_imp!$F$4:$F$1503,_imp!$C$974))</f>
        <v/>
      </c>
      <c r="E972" s="47">
        <f>IF(_imp!$C$974="","",INDEX(_imp!$G$4:$G$1503,_imp!$C$974))</f>
        <v/>
      </c>
      <c r="F972" s="47">
        <f>IF(_imp!$C$974="","",INDEX(_imp!$H$4:$H$1503,_imp!$C$974))</f>
        <v/>
      </c>
      <c r="G972" s="47">
        <f>IF(_imp!$C$974="","",INDEX(_imp!$I$4:$I$1503,_imp!$C$974))</f>
        <v/>
      </c>
      <c r="K972" s="47">
        <f>IF(_imp!$C$974="","",INDEX(_imp!$J$4:$J$1503,_imp!$C$974))</f>
        <v/>
      </c>
    </row>
    <row r="973">
      <c r="A973" s="47">
        <f>IF(_imp!$C$975="","",INDEX(_imp!$D$4:$D$1503,_imp!$C$975))</f>
        <v/>
      </c>
      <c r="B973" s="47">
        <f>IF(_imp!$C$975="","",INDEX(_imp!$E$4:$E$1503,_imp!$C$975))</f>
        <v/>
      </c>
      <c r="C973" s="47">
        <f>IF(_imp!$C$975="","",INDEX(_imp!$F$4:$F$1503,_imp!$C$975))</f>
        <v/>
      </c>
      <c r="E973" s="47">
        <f>IF(_imp!$C$975="","",INDEX(_imp!$G$4:$G$1503,_imp!$C$975))</f>
        <v/>
      </c>
      <c r="F973" s="47">
        <f>IF(_imp!$C$975="","",INDEX(_imp!$H$4:$H$1503,_imp!$C$975))</f>
        <v/>
      </c>
      <c r="G973" s="47">
        <f>IF(_imp!$C$975="","",INDEX(_imp!$I$4:$I$1503,_imp!$C$975))</f>
        <v/>
      </c>
      <c r="K973" s="47">
        <f>IF(_imp!$C$975="","",INDEX(_imp!$J$4:$J$1503,_imp!$C$975))</f>
        <v/>
      </c>
    </row>
    <row r="974">
      <c r="A974" s="47">
        <f>IF(_imp!$C$976="","",INDEX(_imp!$D$4:$D$1503,_imp!$C$976))</f>
        <v/>
      </c>
      <c r="B974" s="47">
        <f>IF(_imp!$C$976="","",INDEX(_imp!$E$4:$E$1503,_imp!$C$976))</f>
        <v/>
      </c>
      <c r="C974" s="47">
        <f>IF(_imp!$C$976="","",INDEX(_imp!$F$4:$F$1503,_imp!$C$976))</f>
        <v/>
      </c>
      <c r="E974" s="47">
        <f>IF(_imp!$C$976="","",INDEX(_imp!$G$4:$G$1503,_imp!$C$976))</f>
        <v/>
      </c>
      <c r="F974" s="47">
        <f>IF(_imp!$C$976="","",INDEX(_imp!$H$4:$H$1503,_imp!$C$976))</f>
        <v/>
      </c>
      <c r="G974" s="47">
        <f>IF(_imp!$C$976="","",INDEX(_imp!$I$4:$I$1503,_imp!$C$976))</f>
        <v/>
      </c>
      <c r="K974" s="47">
        <f>IF(_imp!$C$976="","",INDEX(_imp!$J$4:$J$1503,_imp!$C$976))</f>
        <v/>
      </c>
    </row>
    <row r="975">
      <c r="A975" s="47">
        <f>IF(_imp!$C$977="","",INDEX(_imp!$D$4:$D$1503,_imp!$C$977))</f>
        <v/>
      </c>
      <c r="B975" s="47">
        <f>IF(_imp!$C$977="","",INDEX(_imp!$E$4:$E$1503,_imp!$C$977))</f>
        <v/>
      </c>
      <c r="C975" s="47">
        <f>IF(_imp!$C$977="","",INDEX(_imp!$F$4:$F$1503,_imp!$C$977))</f>
        <v/>
      </c>
      <c r="E975" s="47">
        <f>IF(_imp!$C$977="","",INDEX(_imp!$G$4:$G$1503,_imp!$C$977))</f>
        <v/>
      </c>
      <c r="F975" s="47">
        <f>IF(_imp!$C$977="","",INDEX(_imp!$H$4:$H$1503,_imp!$C$977))</f>
        <v/>
      </c>
      <c r="G975" s="47">
        <f>IF(_imp!$C$977="","",INDEX(_imp!$I$4:$I$1503,_imp!$C$977))</f>
        <v/>
      </c>
      <c r="K975" s="47">
        <f>IF(_imp!$C$977="","",INDEX(_imp!$J$4:$J$1503,_imp!$C$977))</f>
        <v/>
      </c>
    </row>
    <row r="976">
      <c r="A976" s="47">
        <f>IF(_imp!$C$978="","",INDEX(_imp!$D$4:$D$1503,_imp!$C$978))</f>
        <v/>
      </c>
      <c r="B976" s="47">
        <f>IF(_imp!$C$978="","",INDEX(_imp!$E$4:$E$1503,_imp!$C$978))</f>
        <v/>
      </c>
      <c r="C976" s="47">
        <f>IF(_imp!$C$978="","",INDEX(_imp!$F$4:$F$1503,_imp!$C$978))</f>
        <v/>
      </c>
      <c r="E976" s="47">
        <f>IF(_imp!$C$978="","",INDEX(_imp!$G$4:$G$1503,_imp!$C$978))</f>
        <v/>
      </c>
      <c r="F976" s="47">
        <f>IF(_imp!$C$978="","",INDEX(_imp!$H$4:$H$1503,_imp!$C$978))</f>
        <v/>
      </c>
      <c r="G976" s="47">
        <f>IF(_imp!$C$978="","",INDEX(_imp!$I$4:$I$1503,_imp!$C$978))</f>
        <v/>
      </c>
      <c r="K976" s="47">
        <f>IF(_imp!$C$978="","",INDEX(_imp!$J$4:$J$1503,_imp!$C$978))</f>
        <v/>
      </c>
    </row>
    <row r="977">
      <c r="A977" s="47">
        <f>IF(_imp!$C$979="","",INDEX(_imp!$D$4:$D$1503,_imp!$C$979))</f>
        <v/>
      </c>
      <c r="B977" s="47">
        <f>IF(_imp!$C$979="","",INDEX(_imp!$E$4:$E$1503,_imp!$C$979))</f>
        <v/>
      </c>
      <c r="C977" s="47">
        <f>IF(_imp!$C$979="","",INDEX(_imp!$F$4:$F$1503,_imp!$C$979))</f>
        <v/>
      </c>
      <c r="E977" s="47">
        <f>IF(_imp!$C$979="","",INDEX(_imp!$G$4:$G$1503,_imp!$C$979))</f>
        <v/>
      </c>
      <c r="F977" s="47">
        <f>IF(_imp!$C$979="","",INDEX(_imp!$H$4:$H$1503,_imp!$C$979))</f>
        <v/>
      </c>
      <c r="G977" s="47">
        <f>IF(_imp!$C$979="","",INDEX(_imp!$I$4:$I$1503,_imp!$C$979))</f>
        <v/>
      </c>
      <c r="K977" s="47">
        <f>IF(_imp!$C$979="","",INDEX(_imp!$J$4:$J$1503,_imp!$C$979))</f>
        <v/>
      </c>
    </row>
    <row r="978">
      <c r="A978" s="47">
        <f>IF(_imp!$C$980="","",INDEX(_imp!$D$4:$D$1503,_imp!$C$980))</f>
        <v/>
      </c>
      <c r="B978" s="47">
        <f>IF(_imp!$C$980="","",INDEX(_imp!$E$4:$E$1503,_imp!$C$980))</f>
        <v/>
      </c>
      <c r="C978" s="47">
        <f>IF(_imp!$C$980="","",INDEX(_imp!$F$4:$F$1503,_imp!$C$980))</f>
        <v/>
      </c>
      <c r="E978" s="47">
        <f>IF(_imp!$C$980="","",INDEX(_imp!$G$4:$G$1503,_imp!$C$980))</f>
        <v/>
      </c>
      <c r="F978" s="47">
        <f>IF(_imp!$C$980="","",INDEX(_imp!$H$4:$H$1503,_imp!$C$980))</f>
        <v/>
      </c>
      <c r="G978" s="47">
        <f>IF(_imp!$C$980="","",INDEX(_imp!$I$4:$I$1503,_imp!$C$980))</f>
        <v/>
      </c>
      <c r="K978" s="47">
        <f>IF(_imp!$C$980="","",INDEX(_imp!$J$4:$J$1503,_imp!$C$980))</f>
        <v/>
      </c>
    </row>
    <row r="979">
      <c r="A979" s="47">
        <f>IF(_imp!$C$981="","",INDEX(_imp!$D$4:$D$1503,_imp!$C$981))</f>
        <v/>
      </c>
      <c r="B979" s="47">
        <f>IF(_imp!$C$981="","",INDEX(_imp!$E$4:$E$1503,_imp!$C$981))</f>
        <v/>
      </c>
      <c r="C979" s="47">
        <f>IF(_imp!$C$981="","",INDEX(_imp!$F$4:$F$1503,_imp!$C$981))</f>
        <v/>
      </c>
      <c r="E979" s="47">
        <f>IF(_imp!$C$981="","",INDEX(_imp!$G$4:$G$1503,_imp!$C$981))</f>
        <v/>
      </c>
      <c r="F979" s="47">
        <f>IF(_imp!$C$981="","",INDEX(_imp!$H$4:$H$1503,_imp!$C$981))</f>
        <v/>
      </c>
      <c r="G979" s="47">
        <f>IF(_imp!$C$981="","",INDEX(_imp!$I$4:$I$1503,_imp!$C$981))</f>
        <v/>
      </c>
      <c r="K979" s="47">
        <f>IF(_imp!$C$981="","",INDEX(_imp!$J$4:$J$1503,_imp!$C$981))</f>
        <v/>
      </c>
    </row>
    <row r="980">
      <c r="A980" s="47">
        <f>IF(_imp!$C$982="","",INDEX(_imp!$D$4:$D$1503,_imp!$C$982))</f>
        <v/>
      </c>
      <c r="B980" s="47">
        <f>IF(_imp!$C$982="","",INDEX(_imp!$E$4:$E$1503,_imp!$C$982))</f>
        <v/>
      </c>
      <c r="C980" s="47">
        <f>IF(_imp!$C$982="","",INDEX(_imp!$F$4:$F$1503,_imp!$C$982))</f>
        <v/>
      </c>
      <c r="E980" s="47">
        <f>IF(_imp!$C$982="","",INDEX(_imp!$G$4:$G$1503,_imp!$C$982))</f>
        <v/>
      </c>
      <c r="F980" s="47">
        <f>IF(_imp!$C$982="","",INDEX(_imp!$H$4:$H$1503,_imp!$C$982))</f>
        <v/>
      </c>
      <c r="G980" s="47">
        <f>IF(_imp!$C$982="","",INDEX(_imp!$I$4:$I$1503,_imp!$C$982))</f>
        <v/>
      </c>
      <c r="K980" s="47">
        <f>IF(_imp!$C$982="","",INDEX(_imp!$J$4:$J$1503,_imp!$C$982))</f>
        <v/>
      </c>
    </row>
    <row r="981">
      <c r="A981" s="47">
        <f>IF(_imp!$C$983="","",INDEX(_imp!$D$4:$D$1503,_imp!$C$983))</f>
        <v/>
      </c>
      <c r="B981" s="47">
        <f>IF(_imp!$C$983="","",INDEX(_imp!$E$4:$E$1503,_imp!$C$983))</f>
        <v/>
      </c>
      <c r="C981" s="47">
        <f>IF(_imp!$C$983="","",INDEX(_imp!$F$4:$F$1503,_imp!$C$983))</f>
        <v/>
      </c>
      <c r="E981" s="47">
        <f>IF(_imp!$C$983="","",INDEX(_imp!$G$4:$G$1503,_imp!$C$983))</f>
        <v/>
      </c>
      <c r="F981" s="47">
        <f>IF(_imp!$C$983="","",INDEX(_imp!$H$4:$H$1503,_imp!$C$983))</f>
        <v/>
      </c>
      <c r="G981" s="47">
        <f>IF(_imp!$C$983="","",INDEX(_imp!$I$4:$I$1503,_imp!$C$983))</f>
        <v/>
      </c>
      <c r="K981" s="47">
        <f>IF(_imp!$C$983="","",INDEX(_imp!$J$4:$J$1503,_imp!$C$983))</f>
        <v/>
      </c>
    </row>
    <row r="982">
      <c r="A982" s="47">
        <f>IF(_imp!$C$984="","",INDEX(_imp!$D$4:$D$1503,_imp!$C$984))</f>
        <v/>
      </c>
      <c r="B982" s="47">
        <f>IF(_imp!$C$984="","",INDEX(_imp!$E$4:$E$1503,_imp!$C$984))</f>
        <v/>
      </c>
      <c r="C982" s="47">
        <f>IF(_imp!$C$984="","",INDEX(_imp!$F$4:$F$1503,_imp!$C$984))</f>
        <v/>
      </c>
      <c r="E982" s="47">
        <f>IF(_imp!$C$984="","",INDEX(_imp!$G$4:$G$1503,_imp!$C$984))</f>
        <v/>
      </c>
      <c r="F982" s="47">
        <f>IF(_imp!$C$984="","",INDEX(_imp!$H$4:$H$1503,_imp!$C$984))</f>
        <v/>
      </c>
      <c r="G982" s="47">
        <f>IF(_imp!$C$984="","",INDEX(_imp!$I$4:$I$1503,_imp!$C$984))</f>
        <v/>
      </c>
      <c r="K982" s="47">
        <f>IF(_imp!$C$984="","",INDEX(_imp!$J$4:$J$1503,_imp!$C$984))</f>
        <v/>
      </c>
    </row>
    <row r="983">
      <c r="A983" s="47">
        <f>IF(_imp!$C$985="","",INDEX(_imp!$D$4:$D$1503,_imp!$C$985))</f>
        <v/>
      </c>
      <c r="B983" s="47">
        <f>IF(_imp!$C$985="","",INDEX(_imp!$E$4:$E$1503,_imp!$C$985))</f>
        <v/>
      </c>
      <c r="C983" s="47">
        <f>IF(_imp!$C$985="","",INDEX(_imp!$F$4:$F$1503,_imp!$C$985))</f>
        <v/>
      </c>
      <c r="E983" s="47">
        <f>IF(_imp!$C$985="","",INDEX(_imp!$G$4:$G$1503,_imp!$C$985))</f>
        <v/>
      </c>
      <c r="F983" s="47">
        <f>IF(_imp!$C$985="","",INDEX(_imp!$H$4:$H$1503,_imp!$C$985))</f>
        <v/>
      </c>
      <c r="G983" s="47">
        <f>IF(_imp!$C$985="","",INDEX(_imp!$I$4:$I$1503,_imp!$C$985))</f>
        <v/>
      </c>
      <c r="K983" s="47">
        <f>IF(_imp!$C$985="","",INDEX(_imp!$J$4:$J$1503,_imp!$C$985))</f>
        <v/>
      </c>
    </row>
    <row r="984">
      <c r="A984" s="47">
        <f>IF(_imp!$C$986="","",INDEX(_imp!$D$4:$D$1503,_imp!$C$986))</f>
        <v/>
      </c>
      <c r="B984" s="47">
        <f>IF(_imp!$C$986="","",INDEX(_imp!$E$4:$E$1503,_imp!$C$986))</f>
        <v/>
      </c>
      <c r="C984" s="47">
        <f>IF(_imp!$C$986="","",INDEX(_imp!$F$4:$F$1503,_imp!$C$986))</f>
        <v/>
      </c>
      <c r="E984" s="47">
        <f>IF(_imp!$C$986="","",INDEX(_imp!$G$4:$G$1503,_imp!$C$986))</f>
        <v/>
      </c>
      <c r="F984" s="47">
        <f>IF(_imp!$C$986="","",INDEX(_imp!$H$4:$H$1503,_imp!$C$986))</f>
        <v/>
      </c>
      <c r="G984" s="47">
        <f>IF(_imp!$C$986="","",INDEX(_imp!$I$4:$I$1503,_imp!$C$986))</f>
        <v/>
      </c>
      <c r="K984" s="47">
        <f>IF(_imp!$C$986="","",INDEX(_imp!$J$4:$J$1503,_imp!$C$986))</f>
        <v/>
      </c>
    </row>
    <row r="985">
      <c r="A985" s="47">
        <f>IF(_imp!$C$987="","",INDEX(_imp!$D$4:$D$1503,_imp!$C$987))</f>
        <v/>
      </c>
      <c r="B985" s="47">
        <f>IF(_imp!$C$987="","",INDEX(_imp!$E$4:$E$1503,_imp!$C$987))</f>
        <v/>
      </c>
      <c r="C985" s="47">
        <f>IF(_imp!$C$987="","",INDEX(_imp!$F$4:$F$1503,_imp!$C$987))</f>
        <v/>
      </c>
      <c r="E985" s="47">
        <f>IF(_imp!$C$987="","",INDEX(_imp!$G$4:$G$1503,_imp!$C$987))</f>
        <v/>
      </c>
      <c r="F985" s="47">
        <f>IF(_imp!$C$987="","",INDEX(_imp!$H$4:$H$1503,_imp!$C$987))</f>
        <v/>
      </c>
      <c r="G985" s="47">
        <f>IF(_imp!$C$987="","",INDEX(_imp!$I$4:$I$1503,_imp!$C$987))</f>
        <v/>
      </c>
      <c r="K985" s="47">
        <f>IF(_imp!$C$987="","",INDEX(_imp!$J$4:$J$1503,_imp!$C$987))</f>
        <v/>
      </c>
    </row>
    <row r="986">
      <c r="A986" s="47">
        <f>IF(_imp!$C$988="","",INDEX(_imp!$D$4:$D$1503,_imp!$C$988))</f>
        <v/>
      </c>
      <c r="B986" s="47">
        <f>IF(_imp!$C$988="","",INDEX(_imp!$E$4:$E$1503,_imp!$C$988))</f>
        <v/>
      </c>
      <c r="C986" s="47">
        <f>IF(_imp!$C$988="","",INDEX(_imp!$F$4:$F$1503,_imp!$C$988))</f>
        <v/>
      </c>
      <c r="E986" s="47">
        <f>IF(_imp!$C$988="","",INDEX(_imp!$G$4:$G$1503,_imp!$C$988))</f>
        <v/>
      </c>
      <c r="F986" s="47">
        <f>IF(_imp!$C$988="","",INDEX(_imp!$H$4:$H$1503,_imp!$C$988))</f>
        <v/>
      </c>
      <c r="G986" s="47">
        <f>IF(_imp!$C$988="","",INDEX(_imp!$I$4:$I$1503,_imp!$C$988))</f>
        <v/>
      </c>
      <c r="K986" s="47">
        <f>IF(_imp!$C$988="","",INDEX(_imp!$J$4:$J$1503,_imp!$C$988))</f>
        <v/>
      </c>
    </row>
    <row r="987">
      <c r="A987" s="47">
        <f>IF(_imp!$C$989="","",INDEX(_imp!$D$4:$D$1503,_imp!$C$989))</f>
        <v/>
      </c>
      <c r="B987" s="47">
        <f>IF(_imp!$C$989="","",INDEX(_imp!$E$4:$E$1503,_imp!$C$989))</f>
        <v/>
      </c>
      <c r="C987" s="47">
        <f>IF(_imp!$C$989="","",INDEX(_imp!$F$4:$F$1503,_imp!$C$989))</f>
        <v/>
      </c>
      <c r="E987" s="47">
        <f>IF(_imp!$C$989="","",INDEX(_imp!$G$4:$G$1503,_imp!$C$989))</f>
        <v/>
      </c>
      <c r="F987" s="47">
        <f>IF(_imp!$C$989="","",INDEX(_imp!$H$4:$H$1503,_imp!$C$989))</f>
        <v/>
      </c>
      <c r="G987" s="47">
        <f>IF(_imp!$C$989="","",INDEX(_imp!$I$4:$I$1503,_imp!$C$989))</f>
        <v/>
      </c>
      <c r="K987" s="47">
        <f>IF(_imp!$C$989="","",INDEX(_imp!$J$4:$J$1503,_imp!$C$989))</f>
        <v/>
      </c>
    </row>
    <row r="988">
      <c r="A988" s="47">
        <f>IF(_imp!$C$990="","",INDEX(_imp!$D$4:$D$1503,_imp!$C$990))</f>
        <v/>
      </c>
      <c r="B988" s="47">
        <f>IF(_imp!$C$990="","",INDEX(_imp!$E$4:$E$1503,_imp!$C$990))</f>
        <v/>
      </c>
      <c r="C988" s="47">
        <f>IF(_imp!$C$990="","",INDEX(_imp!$F$4:$F$1503,_imp!$C$990))</f>
        <v/>
      </c>
      <c r="E988" s="47">
        <f>IF(_imp!$C$990="","",INDEX(_imp!$G$4:$G$1503,_imp!$C$990))</f>
        <v/>
      </c>
      <c r="F988" s="47">
        <f>IF(_imp!$C$990="","",INDEX(_imp!$H$4:$H$1503,_imp!$C$990))</f>
        <v/>
      </c>
      <c r="G988" s="47">
        <f>IF(_imp!$C$990="","",INDEX(_imp!$I$4:$I$1503,_imp!$C$990))</f>
        <v/>
      </c>
      <c r="K988" s="47">
        <f>IF(_imp!$C$990="","",INDEX(_imp!$J$4:$J$1503,_imp!$C$990))</f>
        <v/>
      </c>
    </row>
    <row r="989">
      <c r="A989" s="47">
        <f>IF(_imp!$C$991="","",INDEX(_imp!$D$4:$D$1503,_imp!$C$991))</f>
        <v/>
      </c>
      <c r="B989" s="47">
        <f>IF(_imp!$C$991="","",INDEX(_imp!$E$4:$E$1503,_imp!$C$991))</f>
        <v/>
      </c>
      <c r="C989" s="47">
        <f>IF(_imp!$C$991="","",INDEX(_imp!$F$4:$F$1503,_imp!$C$991))</f>
        <v/>
      </c>
      <c r="E989" s="47">
        <f>IF(_imp!$C$991="","",INDEX(_imp!$G$4:$G$1503,_imp!$C$991))</f>
        <v/>
      </c>
      <c r="F989" s="47">
        <f>IF(_imp!$C$991="","",INDEX(_imp!$H$4:$H$1503,_imp!$C$991))</f>
        <v/>
      </c>
      <c r="G989" s="47">
        <f>IF(_imp!$C$991="","",INDEX(_imp!$I$4:$I$1503,_imp!$C$991))</f>
        <v/>
      </c>
      <c r="K989" s="47">
        <f>IF(_imp!$C$991="","",INDEX(_imp!$J$4:$J$1503,_imp!$C$991))</f>
        <v/>
      </c>
    </row>
    <row r="990">
      <c r="A990" s="47">
        <f>IF(_imp!$C$992="","",INDEX(_imp!$D$4:$D$1503,_imp!$C$992))</f>
        <v/>
      </c>
      <c r="B990" s="47">
        <f>IF(_imp!$C$992="","",INDEX(_imp!$E$4:$E$1503,_imp!$C$992))</f>
        <v/>
      </c>
      <c r="C990" s="47">
        <f>IF(_imp!$C$992="","",INDEX(_imp!$F$4:$F$1503,_imp!$C$992))</f>
        <v/>
      </c>
      <c r="E990" s="47">
        <f>IF(_imp!$C$992="","",INDEX(_imp!$G$4:$G$1503,_imp!$C$992))</f>
        <v/>
      </c>
      <c r="F990" s="47">
        <f>IF(_imp!$C$992="","",INDEX(_imp!$H$4:$H$1503,_imp!$C$992))</f>
        <v/>
      </c>
      <c r="G990" s="47">
        <f>IF(_imp!$C$992="","",INDEX(_imp!$I$4:$I$1503,_imp!$C$992))</f>
        <v/>
      </c>
      <c r="K990" s="47">
        <f>IF(_imp!$C$992="","",INDEX(_imp!$J$4:$J$1503,_imp!$C$992))</f>
        <v/>
      </c>
    </row>
    <row r="991">
      <c r="A991" s="47">
        <f>IF(_imp!$C$993="","",INDEX(_imp!$D$4:$D$1503,_imp!$C$993))</f>
        <v/>
      </c>
      <c r="B991" s="47">
        <f>IF(_imp!$C$993="","",INDEX(_imp!$E$4:$E$1503,_imp!$C$993))</f>
        <v/>
      </c>
      <c r="C991" s="47">
        <f>IF(_imp!$C$993="","",INDEX(_imp!$F$4:$F$1503,_imp!$C$993))</f>
        <v/>
      </c>
      <c r="E991" s="47">
        <f>IF(_imp!$C$993="","",INDEX(_imp!$G$4:$G$1503,_imp!$C$993))</f>
        <v/>
      </c>
      <c r="F991" s="47">
        <f>IF(_imp!$C$993="","",INDEX(_imp!$H$4:$H$1503,_imp!$C$993))</f>
        <v/>
      </c>
      <c r="G991" s="47">
        <f>IF(_imp!$C$993="","",INDEX(_imp!$I$4:$I$1503,_imp!$C$993))</f>
        <v/>
      </c>
      <c r="K991" s="47">
        <f>IF(_imp!$C$993="","",INDEX(_imp!$J$4:$J$1503,_imp!$C$993))</f>
        <v/>
      </c>
    </row>
    <row r="992">
      <c r="A992" s="47">
        <f>IF(_imp!$C$994="","",INDEX(_imp!$D$4:$D$1503,_imp!$C$994))</f>
        <v/>
      </c>
      <c r="B992" s="47">
        <f>IF(_imp!$C$994="","",INDEX(_imp!$E$4:$E$1503,_imp!$C$994))</f>
        <v/>
      </c>
      <c r="C992" s="47">
        <f>IF(_imp!$C$994="","",INDEX(_imp!$F$4:$F$1503,_imp!$C$994))</f>
        <v/>
      </c>
      <c r="E992" s="47">
        <f>IF(_imp!$C$994="","",INDEX(_imp!$G$4:$G$1503,_imp!$C$994))</f>
        <v/>
      </c>
      <c r="F992" s="47">
        <f>IF(_imp!$C$994="","",INDEX(_imp!$H$4:$H$1503,_imp!$C$994))</f>
        <v/>
      </c>
      <c r="G992" s="47">
        <f>IF(_imp!$C$994="","",INDEX(_imp!$I$4:$I$1503,_imp!$C$994))</f>
        <v/>
      </c>
      <c r="K992" s="47">
        <f>IF(_imp!$C$994="","",INDEX(_imp!$J$4:$J$1503,_imp!$C$994))</f>
        <v/>
      </c>
    </row>
    <row r="993">
      <c r="A993" s="47">
        <f>IF(_imp!$C$995="","",INDEX(_imp!$D$4:$D$1503,_imp!$C$995))</f>
        <v/>
      </c>
      <c r="B993" s="47">
        <f>IF(_imp!$C$995="","",INDEX(_imp!$E$4:$E$1503,_imp!$C$995))</f>
        <v/>
      </c>
      <c r="C993" s="47">
        <f>IF(_imp!$C$995="","",INDEX(_imp!$F$4:$F$1503,_imp!$C$995))</f>
        <v/>
      </c>
      <c r="E993" s="47">
        <f>IF(_imp!$C$995="","",INDEX(_imp!$G$4:$G$1503,_imp!$C$995))</f>
        <v/>
      </c>
      <c r="F993" s="47">
        <f>IF(_imp!$C$995="","",INDEX(_imp!$H$4:$H$1503,_imp!$C$995))</f>
        <v/>
      </c>
      <c r="G993" s="47">
        <f>IF(_imp!$C$995="","",INDEX(_imp!$I$4:$I$1503,_imp!$C$995))</f>
        <v/>
      </c>
      <c r="K993" s="47">
        <f>IF(_imp!$C$995="","",INDEX(_imp!$J$4:$J$1503,_imp!$C$995))</f>
        <v/>
      </c>
    </row>
    <row r="994">
      <c r="A994" s="47">
        <f>IF(_imp!$C$996="","",INDEX(_imp!$D$4:$D$1503,_imp!$C$996))</f>
        <v/>
      </c>
      <c r="B994" s="47">
        <f>IF(_imp!$C$996="","",INDEX(_imp!$E$4:$E$1503,_imp!$C$996))</f>
        <v/>
      </c>
      <c r="C994" s="47">
        <f>IF(_imp!$C$996="","",INDEX(_imp!$F$4:$F$1503,_imp!$C$996))</f>
        <v/>
      </c>
      <c r="E994" s="47">
        <f>IF(_imp!$C$996="","",INDEX(_imp!$G$4:$G$1503,_imp!$C$996))</f>
        <v/>
      </c>
      <c r="F994" s="47">
        <f>IF(_imp!$C$996="","",INDEX(_imp!$H$4:$H$1503,_imp!$C$996))</f>
        <v/>
      </c>
      <c r="G994" s="47">
        <f>IF(_imp!$C$996="","",INDEX(_imp!$I$4:$I$1503,_imp!$C$996))</f>
        <v/>
      </c>
      <c r="K994" s="47">
        <f>IF(_imp!$C$996="","",INDEX(_imp!$J$4:$J$1503,_imp!$C$996))</f>
        <v/>
      </c>
    </row>
    <row r="995">
      <c r="A995" s="47">
        <f>IF(_imp!$C$997="","",INDEX(_imp!$D$4:$D$1503,_imp!$C$997))</f>
        <v/>
      </c>
      <c r="B995" s="47">
        <f>IF(_imp!$C$997="","",INDEX(_imp!$E$4:$E$1503,_imp!$C$997))</f>
        <v/>
      </c>
      <c r="C995" s="47">
        <f>IF(_imp!$C$997="","",INDEX(_imp!$F$4:$F$1503,_imp!$C$997))</f>
        <v/>
      </c>
      <c r="E995" s="47">
        <f>IF(_imp!$C$997="","",INDEX(_imp!$G$4:$G$1503,_imp!$C$997))</f>
        <v/>
      </c>
      <c r="F995" s="47">
        <f>IF(_imp!$C$997="","",INDEX(_imp!$H$4:$H$1503,_imp!$C$997))</f>
        <v/>
      </c>
      <c r="G995" s="47">
        <f>IF(_imp!$C$997="","",INDEX(_imp!$I$4:$I$1503,_imp!$C$997))</f>
        <v/>
      </c>
      <c r="K995" s="47">
        <f>IF(_imp!$C$997="","",INDEX(_imp!$J$4:$J$1503,_imp!$C$997))</f>
        <v/>
      </c>
    </row>
    <row r="996">
      <c r="A996" s="47">
        <f>IF(_imp!$C$998="","",INDEX(_imp!$D$4:$D$1503,_imp!$C$998))</f>
        <v/>
      </c>
      <c r="B996" s="47">
        <f>IF(_imp!$C$998="","",INDEX(_imp!$E$4:$E$1503,_imp!$C$998))</f>
        <v/>
      </c>
      <c r="C996" s="47">
        <f>IF(_imp!$C$998="","",INDEX(_imp!$F$4:$F$1503,_imp!$C$998))</f>
        <v/>
      </c>
      <c r="E996" s="47">
        <f>IF(_imp!$C$998="","",INDEX(_imp!$G$4:$G$1503,_imp!$C$998))</f>
        <v/>
      </c>
      <c r="F996" s="47">
        <f>IF(_imp!$C$998="","",INDEX(_imp!$H$4:$H$1503,_imp!$C$998))</f>
        <v/>
      </c>
      <c r="G996" s="47">
        <f>IF(_imp!$C$998="","",INDEX(_imp!$I$4:$I$1503,_imp!$C$998))</f>
        <v/>
      </c>
      <c r="K996" s="47">
        <f>IF(_imp!$C$998="","",INDEX(_imp!$J$4:$J$1503,_imp!$C$998))</f>
        <v/>
      </c>
    </row>
    <row r="997">
      <c r="A997" s="47">
        <f>IF(_imp!$C$999="","",INDEX(_imp!$D$4:$D$1503,_imp!$C$999))</f>
        <v/>
      </c>
      <c r="B997" s="47">
        <f>IF(_imp!$C$999="","",INDEX(_imp!$E$4:$E$1503,_imp!$C$999))</f>
        <v/>
      </c>
      <c r="C997" s="47">
        <f>IF(_imp!$C$999="","",INDEX(_imp!$F$4:$F$1503,_imp!$C$999))</f>
        <v/>
      </c>
      <c r="E997" s="47">
        <f>IF(_imp!$C$999="","",INDEX(_imp!$G$4:$G$1503,_imp!$C$999))</f>
        <v/>
      </c>
      <c r="F997" s="47">
        <f>IF(_imp!$C$999="","",INDEX(_imp!$H$4:$H$1503,_imp!$C$999))</f>
        <v/>
      </c>
      <c r="G997" s="47">
        <f>IF(_imp!$C$999="","",INDEX(_imp!$I$4:$I$1503,_imp!$C$999))</f>
        <v/>
      </c>
      <c r="K997" s="47">
        <f>IF(_imp!$C$999="","",INDEX(_imp!$J$4:$J$1503,_imp!$C$999))</f>
        <v/>
      </c>
    </row>
    <row r="998">
      <c r="A998" s="47">
        <f>IF(_imp!$C$1000="","",INDEX(_imp!$D$4:$D$1503,_imp!$C$1000))</f>
        <v/>
      </c>
      <c r="B998" s="47">
        <f>IF(_imp!$C$1000="","",INDEX(_imp!$E$4:$E$1503,_imp!$C$1000))</f>
        <v/>
      </c>
      <c r="C998" s="47">
        <f>IF(_imp!$C$1000="","",INDEX(_imp!$F$4:$F$1503,_imp!$C$1000))</f>
        <v/>
      </c>
      <c r="E998" s="47">
        <f>IF(_imp!$C$1000="","",INDEX(_imp!$G$4:$G$1503,_imp!$C$1000))</f>
        <v/>
      </c>
      <c r="F998" s="47">
        <f>IF(_imp!$C$1000="","",INDEX(_imp!$H$4:$H$1503,_imp!$C$1000))</f>
        <v/>
      </c>
      <c r="G998" s="47">
        <f>IF(_imp!$C$1000="","",INDEX(_imp!$I$4:$I$1503,_imp!$C$1000))</f>
        <v/>
      </c>
      <c r="K998" s="47">
        <f>IF(_imp!$C$1000="","",INDEX(_imp!$J$4:$J$1503,_imp!$C$1000))</f>
        <v/>
      </c>
    </row>
    <row r="999">
      <c r="A999" s="47">
        <f>IF(_imp!$C$1001="","",INDEX(_imp!$D$4:$D$1503,_imp!$C$1001))</f>
        <v/>
      </c>
      <c r="B999" s="47">
        <f>IF(_imp!$C$1001="","",INDEX(_imp!$E$4:$E$1503,_imp!$C$1001))</f>
        <v/>
      </c>
      <c r="C999" s="47">
        <f>IF(_imp!$C$1001="","",INDEX(_imp!$F$4:$F$1503,_imp!$C$1001))</f>
        <v/>
      </c>
      <c r="E999" s="47">
        <f>IF(_imp!$C$1001="","",INDEX(_imp!$G$4:$G$1503,_imp!$C$1001))</f>
        <v/>
      </c>
      <c r="F999" s="47">
        <f>IF(_imp!$C$1001="","",INDEX(_imp!$H$4:$H$1503,_imp!$C$1001))</f>
        <v/>
      </c>
      <c r="G999" s="47">
        <f>IF(_imp!$C$1001="","",INDEX(_imp!$I$4:$I$1503,_imp!$C$1001))</f>
        <v/>
      </c>
      <c r="K999" s="47">
        <f>IF(_imp!$C$1001="","",INDEX(_imp!$J$4:$J$1503,_imp!$C$1001))</f>
        <v/>
      </c>
    </row>
    <row r="1000">
      <c r="A1000" s="47">
        <f>IF(_imp!$C$1002="","",INDEX(_imp!$D$4:$D$1503,_imp!$C$1002))</f>
        <v/>
      </c>
      <c r="B1000" s="47">
        <f>IF(_imp!$C$1002="","",INDEX(_imp!$E$4:$E$1503,_imp!$C$1002))</f>
        <v/>
      </c>
      <c r="C1000" s="47">
        <f>IF(_imp!$C$1002="","",INDEX(_imp!$F$4:$F$1503,_imp!$C$1002))</f>
        <v/>
      </c>
      <c r="E1000" s="47">
        <f>IF(_imp!$C$1002="","",INDEX(_imp!$G$4:$G$1503,_imp!$C$1002))</f>
        <v/>
      </c>
      <c r="F1000" s="47">
        <f>IF(_imp!$C$1002="","",INDEX(_imp!$H$4:$H$1503,_imp!$C$1002))</f>
        <v/>
      </c>
      <c r="G1000" s="47">
        <f>IF(_imp!$C$1002="","",INDEX(_imp!$I$4:$I$1503,_imp!$C$1002))</f>
        <v/>
      </c>
      <c r="K1000" s="47">
        <f>IF(_imp!$C$1002="","",INDEX(_imp!$J$4:$J$1503,_imp!$C$1002))</f>
        <v/>
      </c>
    </row>
    <row r="1001">
      <c r="A1001" s="47">
        <f>IF(_imp!$C$1003="","",INDEX(_imp!$D$4:$D$1503,_imp!$C$1003))</f>
        <v/>
      </c>
      <c r="B1001" s="47">
        <f>IF(_imp!$C$1003="","",INDEX(_imp!$E$4:$E$1503,_imp!$C$1003))</f>
        <v/>
      </c>
      <c r="C1001" s="47">
        <f>IF(_imp!$C$1003="","",INDEX(_imp!$F$4:$F$1503,_imp!$C$1003))</f>
        <v/>
      </c>
      <c r="E1001" s="47">
        <f>IF(_imp!$C$1003="","",INDEX(_imp!$G$4:$G$1503,_imp!$C$1003))</f>
        <v/>
      </c>
      <c r="F1001" s="47">
        <f>IF(_imp!$C$1003="","",INDEX(_imp!$H$4:$H$1503,_imp!$C$1003))</f>
        <v/>
      </c>
      <c r="G1001" s="47">
        <f>IF(_imp!$C$1003="","",INDEX(_imp!$I$4:$I$1503,_imp!$C$1003))</f>
        <v/>
      </c>
      <c r="K1001" s="47">
        <f>IF(_imp!$C$1003="","",INDEX(_imp!$J$4:$J$1503,_imp!$C$1003))</f>
        <v/>
      </c>
    </row>
    <row r="1002">
      <c r="A1002" s="47">
        <f>IF(_imp!$C$1004="","",INDEX(_imp!$D$4:$D$1503,_imp!$C$1004))</f>
        <v/>
      </c>
      <c r="B1002" s="47">
        <f>IF(_imp!$C$1004="","",INDEX(_imp!$E$4:$E$1503,_imp!$C$1004))</f>
        <v/>
      </c>
      <c r="C1002" s="47">
        <f>IF(_imp!$C$1004="","",INDEX(_imp!$F$4:$F$1503,_imp!$C$1004))</f>
        <v/>
      </c>
      <c r="E1002" s="47">
        <f>IF(_imp!$C$1004="","",INDEX(_imp!$G$4:$G$1503,_imp!$C$1004))</f>
        <v/>
      </c>
      <c r="F1002" s="47">
        <f>IF(_imp!$C$1004="","",INDEX(_imp!$H$4:$H$1503,_imp!$C$1004))</f>
        <v/>
      </c>
      <c r="G1002" s="47">
        <f>IF(_imp!$C$1004="","",INDEX(_imp!$I$4:$I$1503,_imp!$C$1004))</f>
        <v/>
      </c>
      <c r="K1002" s="47">
        <f>IF(_imp!$C$1004="","",INDEX(_imp!$J$4:$J$1503,_imp!$C$1004))</f>
        <v/>
      </c>
    </row>
    <row r="1003">
      <c r="A1003" s="47">
        <f>IF(_imp!$C$1005="","",INDEX(_imp!$D$4:$D$1503,_imp!$C$1005))</f>
        <v/>
      </c>
      <c r="B1003" s="47">
        <f>IF(_imp!$C$1005="","",INDEX(_imp!$E$4:$E$1503,_imp!$C$1005))</f>
        <v/>
      </c>
      <c r="C1003" s="47">
        <f>IF(_imp!$C$1005="","",INDEX(_imp!$F$4:$F$1503,_imp!$C$1005))</f>
        <v/>
      </c>
      <c r="E1003" s="47">
        <f>IF(_imp!$C$1005="","",INDEX(_imp!$G$4:$G$1503,_imp!$C$1005))</f>
        <v/>
      </c>
      <c r="F1003" s="47">
        <f>IF(_imp!$C$1005="","",INDEX(_imp!$H$4:$H$1503,_imp!$C$1005))</f>
        <v/>
      </c>
      <c r="G1003" s="47">
        <f>IF(_imp!$C$1005="","",INDEX(_imp!$I$4:$I$1503,_imp!$C$1005))</f>
        <v/>
      </c>
      <c r="K1003" s="47">
        <f>IF(_imp!$C$1005="","",INDEX(_imp!$J$4:$J$1503,_imp!$C$1005))</f>
        <v/>
      </c>
    </row>
    <row r="1004">
      <c r="A1004" s="47">
        <f>IF(_imp!$C$1006="","",INDEX(_imp!$D$4:$D$1503,_imp!$C$1006))</f>
        <v/>
      </c>
      <c r="B1004" s="47">
        <f>IF(_imp!$C$1006="","",INDEX(_imp!$E$4:$E$1503,_imp!$C$1006))</f>
        <v/>
      </c>
      <c r="C1004" s="47">
        <f>IF(_imp!$C$1006="","",INDEX(_imp!$F$4:$F$1503,_imp!$C$1006))</f>
        <v/>
      </c>
      <c r="E1004" s="47">
        <f>IF(_imp!$C$1006="","",INDEX(_imp!$G$4:$G$1503,_imp!$C$1006))</f>
        <v/>
      </c>
      <c r="F1004" s="47">
        <f>IF(_imp!$C$1006="","",INDEX(_imp!$H$4:$H$1503,_imp!$C$1006))</f>
        <v/>
      </c>
      <c r="G1004" s="47">
        <f>IF(_imp!$C$1006="","",INDEX(_imp!$I$4:$I$1503,_imp!$C$1006))</f>
        <v/>
      </c>
      <c r="K1004" s="47">
        <f>IF(_imp!$C$1006="","",INDEX(_imp!$J$4:$J$1503,_imp!$C$1006))</f>
        <v/>
      </c>
    </row>
    <row r="1005">
      <c r="A1005" s="47">
        <f>IF(_imp!$C$1007="","",INDEX(_imp!$D$4:$D$1503,_imp!$C$1007))</f>
        <v/>
      </c>
      <c r="B1005" s="47">
        <f>IF(_imp!$C$1007="","",INDEX(_imp!$E$4:$E$1503,_imp!$C$1007))</f>
        <v/>
      </c>
      <c r="C1005" s="47">
        <f>IF(_imp!$C$1007="","",INDEX(_imp!$F$4:$F$1503,_imp!$C$1007))</f>
        <v/>
      </c>
      <c r="E1005" s="47">
        <f>IF(_imp!$C$1007="","",INDEX(_imp!$G$4:$G$1503,_imp!$C$1007))</f>
        <v/>
      </c>
      <c r="F1005" s="47">
        <f>IF(_imp!$C$1007="","",INDEX(_imp!$H$4:$H$1503,_imp!$C$1007))</f>
        <v/>
      </c>
      <c r="G1005" s="47">
        <f>IF(_imp!$C$1007="","",INDEX(_imp!$I$4:$I$1503,_imp!$C$1007))</f>
        <v/>
      </c>
      <c r="K1005" s="47">
        <f>IF(_imp!$C$1007="","",INDEX(_imp!$J$4:$J$1503,_imp!$C$1007))</f>
        <v/>
      </c>
    </row>
    <row r="1006">
      <c r="A1006" s="47">
        <f>IF(_imp!$C$1008="","",INDEX(_imp!$D$4:$D$1503,_imp!$C$1008))</f>
        <v/>
      </c>
      <c r="B1006" s="47">
        <f>IF(_imp!$C$1008="","",INDEX(_imp!$E$4:$E$1503,_imp!$C$1008))</f>
        <v/>
      </c>
      <c r="C1006" s="47">
        <f>IF(_imp!$C$1008="","",INDEX(_imp!$F$4:$F$1503,_imp!$C$1008))</f>
        <v/>
      </c>
      <c r="E1006" s="47">
        <f>IF(_imp!$C$1008="","",INDEX(_imp!$G$4:$G$1503,_imp!$C$1008))</f>
        <v/>
      </c>
      <c r="F1006" s="47">
        <f>IF(_imp!$C$1008="","",INDEX(_imp!$H$4:$H$1503,_imp!$C$1008))</f>
        <v/>
      </c>
      <c r="G1006" s="47">
        <f>IF(_imp!$C$1008="","",INDEX(_imp!$I$4:$I$1503,_imp!$C$1008))</f>
        <v/>
      </c>
      <c r="K1006" s="47">
        <f>IF(_imp!$C$1008="","",INDEX(_imp!$J$4:$J$1503,_imp!$C$1008))</f>
        <v/>
      </c>
    </row>
    <row r="1007">
      <c r="A1007" s="47">
        <f>IF(_imp!$C$1009="","",INDEX(_imp!$D$4:$D$1503,_imp!$C$1009))</f>
        <v/>
      </c>
      <c r="B1007" s="47">
        <f>IF(_imp!$C$1009="","",INDEX(_imp!$E$4:$E$1503,_imp!$C$1009))</f>
        <v/>
      </c>
      <c r="C1007" s="47">
        <f>IF(_imp!$C$1009="","",INDEX(_imp!$F$4:$F$1503,_imp!$C$1009))</f>
        <v/>
      </c>
      <c r="E1007" s="47">
        <f>IF(_imp!$C$1009="","",INDEX(_imp!$G$4:$G$1503,_imp!$C$1009))</f>
        <v/>
      </c>
      <c r="F1007" s="47">
        <f>IF(_imp!$C$1009="","",INDEX(_imp!$H$4:$H$1503,_imp!$C$1009))</f>
        <v/>
      </c>
      <c r="G1007" s="47">
        <f>IF(_imp!$C$1009="","",INDEX(_imp!$I$4:$I$1503,_imp!$C$1009))</f>
        <v/>
      </c>
      <c r="K1007" s="47">
        <f>IF(_imp!$C$1009="","",INDEX(_imp!$J$4:$J$1503,_imp!$C$1009))</f>
        <v/>
      </c>
    </row>
    <row r="1008">
      <c r="A1008" s="47">
        <f>IF(_imp!$C$1010="","",INDEX(_imp!$D$4:$D$1503,_imp!$C$1010))</f>
        <v/>
      </c>
      <c r="B1008" s="47">
        <f>IF(_imp!$C$1010="","",INDEX(_imp!$E$4:$E$1503,_imp!$C$1010))</f>
        <v/>
      </c>
      <c r="C1008" s="47">
        <f>IF(_imp!$C$1010="","",INDEX(_imp!$F$4:$F$1503,_imp!$C$1010))</f>
        <v/>
      </c>
      <c r="E1008" s="47">
        <f>IF(_imp!$C$1010="","",INDEX(_imp!$G$4:$G$1503,_imp!$C$1010))</f>
        <v/>
      </c>
      <c r="F1008" s="47">
        <f>IF(_imp!$C$1010="","",INDEX(_imp!$H$4:$H$1503,_imp!$C$1010))</f>
        <v/>
      </c>
      <c r="G1008" s="47">
        <f>IF(_imp!$C$1010="","",INDEX(_imp!$I$4:$I$1503,_imp!$C$1010))</f>
        <v/>
      </c>
      <c r="K1008" s="47">
        <f>IF(_imp!$C$1010="","",INDEX(_imp!$J$4:$J$1503,_imp!$C$1010))</f>
        <v/>
      </c>
    </row>
    <row r="1009">
      <c r="A1009" s="47">
        <f>IF(_imp!$C$1011="","",INDEX(_imp!$D$4:$D$1503,_imp!$C$1011))</f>
        <v/>
      </c>
      <c r="B1009" s="47">
        <f>IF(_imp!$C$1011="","",INDEX(_imp!$E$4:$E$1503,_imp!$C$1011))</f>
        <v/>
      </c>
      <c r="C1009" s="47">
        <f>IF(_imp!$C$1011="","",INDEX(_imp!$F$4:$F$1503,_imp!$C$1011))</f>
        <v/>
      </c>
      <c r="E1009" s="47">
        <f>IF(_imp!$C$1011="","",INDEX(_imp!$G$4:$G$1503,_imp!$C$1011))</f>
        <v/>
      </c>
      <c r="F1009" s="47">
        <f>IF(_imp!$C$1011="","",INDEX(_imp!$H$4:$H$1503,_imp!$C$1011))</f>
        <v/>
      </c>
      <c r="G1009" s="47">
        <f>IF(_imp!$C$1011="","",INDEX(_imp!$I$4:$I$1503,_imp!$C$1011))</f>
        <v/>
      </c>
      <c r="K1009" s="47">
        <f>IF(_imp!$C$1011="","",INDEX(_imp!$J$4:$J$1503,_imp!$C$1011))</f>
        <v/>
      </c>
    </row>
    <row r="1010">
      <c r="A1010" s="47">
        <f>IF(_imp!$C$1012="","",INDEX(_imp!$D$4:$D$1503,_imp!$C$1012))</f>
        <v/>
      </c>
      <c r="B1010" s="47">
        <f>IF(_imp!$C$1012="","",INDEX(_imp!$E$4:$E$1503,_imp!$C$1012))</f>
        <v/>
      </c>
      <c r="C1010" s="47">
        <f>IF(_imp!$C$1012="","",INDEX(_imp!$F$4:$F$1503,_imp!$C$1012))</f>
        <v/>
      </c>
      <c r="E1010" s="47">
        <f>IF(_imp!$C$1012="","",INDEX(_imp!$G$4:$G$1503,_imp!$C$1012))</f>
        <v/>
      </c>
      <c r="F1010" s="47">
        <f>IF(_imp!$C$1012="","",INDEX(_imp!$H$4:$H$1503,_imp!$C$1012))</f>
        <v/>
      </c>
      <c r="G1010" s="47">
        <f>IF(_imp!$C$1012="","",INDEX(_imp!$I$4:$I$1503,_imp!$C$1012))</f>
        <v/>
      </c>
      <c r="K1010" s="47">
        <f>IF(_imp!$C$1012="","",INDEX(_imp!$J$4:$J$1503,_imp!$C$1012))</f>
        <v/>
      </c>
    </row>
    <row r="1011">
      <c r="A1011" s="47">
        <f>IF(_imp!$C$1013="","",INDEX(_imp!$D$4:$D$1503,_imp!$C$1013))</f>
        <v/>
      </c>
      <c r="B1011" s="47">
        <f>IF(_imp!$C$1013="","",INDEX(_imp!$E$4:$E$1503,_imp!$C$1013))</f>
        <v/>
      </c>
      <c r="C1011" s="47">
        <f>IF(_imp!$C$1013="","",INDEX(_imp!$F$4:$F$1503,_imp!$C$1013))</f>
        <v/>
      </c>
      <c r="E1011" s="47">
        <f>IF(_imp!$C$1013="","",INDEX(_imp!$G$4:$G$1503,_imp!$C$1013))</f>
        <v/>
      </c>
      <c r="F1011" s="47">
        <f>IF(_imp!$C$1013="","",INDEX(_imp!$H$4:$H$1503,_imp!$C$1013))</f>
        <v/>
      </c>
      <c r="G1011" s="47">
        <f>IF(_imp!$C$1013="","",INDEX(_imp!$I$4:$I$1503,_imp!$C$1013))</f>
        <v/>
      </c>
      <c r="K1011" s="47">
        <f>IF(_imp!$C$1013="","",INDEX(_imp!$J$4:$J$1503,_imp!$C$1013))</f>
        <v/>
      </c>
    </row>
    <row r="1012">
      <c r="A1012" s="47">
        <f>IF(_imp!$C$1014="","",INDEX(_imp!$D$4:$D$1503,_imp!$C$1014))</f>
        <v/>
      </c>
      <c r="B1012" s="47">
        <f>IF(_imp!$C$1014="","",INDEX(_imp!$E$4:$E$1503,_imp!$C$1014))</f>
        <v/>
      </c>
      <c r="C1012" s="47">
        <f>IF(_imp!$C$1014="","",INDEX(_imp!$F$4:$F$1503,_imp!$C$1014))</f>
        <v/>
      </c>
      <c r="E1012" s="47">
        <f>IF(_imp!$C$1014="","",INDEX(_imp!$G$4:$G$1503,_imp!$C$1014))</f>
        <v/>
      </c>
      <c r="F1012" s="47">
        <f>IF(_imp!$C$1014="","",INDEX(_imp!$H$4:$H$1503,_imp!$C$1014))</f>
        <v/>
      </c>
      <c r="G1012" s="47">
        <f>IF(_imp!$C$1014="","",INDEX(_imp!$I$4:$I$1503,_imp!$C$1014))</f>
        <v/>
      </c>
      <c r="K1012" s="47">
        <f>IF(_imp!$C$1014="","",INDEX(_imp!$J$4:$J$1503,_imp!$C$1014))</f>
        <v/>
      </c>
    </row>
    <row r="1013">
      <c r="A1013" s="47">
        <f>IF(_imp!$C$1015="","",INDEX(_imp!$D$4:$D$1503,_imp!$C$1015))</f>
        <v/>
      </c>
      <c r="B1013" s="47">
        <f>IF(_imp!$C$1015="","",INDEX(_imp!$E$4:$E$1503,_imp!$C$1015))</f>
        <v/>
      </c>
      <c r="C1013" s="47">
        <f>IF(_imp!$C$1015="","",INDEX(_imp!$F$4:$F$1503,_imp!$C$1015))</f>
        <v/>
      </c>
      <c r="E1013" s="47">
        <f>IF(_imp!$C$1015="","",INDEX(_imp!$G$4:$G$1503,_imp!$C$1015))</f>
        <v/>
      </c>
      <c r="F1013" s="47">
        <f>IF(_imp!$C$1015="","",INDEX(_imp!$H$4:$H$1503,_imp!$C$1015))</f>
        <v/>
      </c>
      <c r="G1013" s="47">
        <f>IF(_imp!$C$1015="","",INDEX(_imp!$I$4:$I$1503,_imp!$C$1015))</f>
        <v/>
      </c>
      <c r="K1013" s="47">
        <f>IF(_imp!$C$1015="","",INDEX(_imp!$J$4:$J$1503,_imp!$C$1015))</f>
        <v/>
      </c>
    </row>
    <row r="1014">
      <c r="A1014" s="47">
        <f>IF(_imp!$C$1016="","",INDEX(_imp!$D$4:$D$1503,_imp!$C$1016))</f>
        <v/>
      </c>
      <c r="B1014" s="47">
        <f>IF(_imp!$C$1016="","",INDEX(_imp!$E$4:$E$1503,_imp!$C$1016))</f>
        <v/>
      </c>
      <c r="C1014" s="47">
        <f>IF(_imp!$C$1016="","",INDEX(_imp!$F$4:$F$1503,_imp!$C$1016))</f>
        <v/>
      </c>
      <c r="E1014" s="47">
        <f>IF(_imp!$C$1016="","",INDEX(_imp!$G$4:$G$1503,_imp!$C$1016))</f>
        <v/>
      </c>
      <c r="F1014" s="47">
        <f>IF(_imp!$C$1016="","",INDEX(_imp!$H$4:$H$1503,_imp!$C$1016))</f>
        <v/>
      </c>
      <c r="G1014" s="47">
        <f>IF(_imp!$C$1016="","",INDEX(_imp!$I$4:$I$1503,_imp!$C$1016))</f>
        <v/>
      </c>
      <c r="K1014" s="47">
        <f>IF(_imp!$C$1016="","",INDEX(_imp!$J$4:$J$1503,_imp!$C$1016))</f>
        <v/>
      </c>
    </row>
    <row r="1015">
      <c r="A1015" s="47">
        <f>IF(_imp!$C$1017="","",INDEX(_imp!$D$4:$D$1503,_imp!$C$1017))</f>
        <v/>
      </c>
      <c r="B1015" s="47">
        <f>IF(_imp!$C$1017="","",INDEX(_imp!$E$4:$E$1503,_imp!$C$1017))</f>
        <v/>
      </c>
      <c r="C1015" s="47">
        <f>IF(_imp!$C$1017="","",INDEX(_imp!$F$4:$F$1503,_imp!$C$1017))</f>
        <v/>
      </c>
      <c r="E1015" s="47">
        <f>IF(_imp!$C$1017="","",INDEX(_imp!$G$4:$G$1503,_imp!$C$1017))</f>
        <v/>
      </c>
      <c r="F1015" s="47">
        <f>IF(_imp!$C$1017="","",INDEX(_imp!$H$4:$H$1503,_imp!$C$1017))</f>
        <v/>
      </c>
      <c r="G1015" s="47">
        <f>IF(_imp!$C$1017="","",INDEX(_imp!$I$4:$I$1503,_imp!$C$1017))</f>
        <v/>
      </c>
      <c r="K1015" s="47">
        <f>IF(_imp!$C$1017="","",INDEX(_imp!$J$4:$J$1503,_imp!$C$1017))</f>
        <v/>
      </c>
    </row>
    <row r="1016">
      <c r="A1016" s="47">
        <f>IF(_imp!$C$1018="","",INDEX(_imp!$D$4:$D$1503,_imp!$C$1018))</f>
        <v/>
      </c>
      <c r="B1016" s="47">
        <f>IF(_imp!$C$1018="","",INDEX(_imp!$E$4:$E$1503,_imp!$C$1018))</f>
        <v/>
      </c>
      <c r="C1016" s="47">
        <f>IF(_imp!$C$1018="","",INDEX(_imp!$F$4:$F$1503,_imp!$C$1018))</f>
        <v/>
      </c>
      <c r="E1016" s="47">
        <f>IF(_imp!$C$1018="","",INDEX(_imp!$G$4:$G$1503,_imp!$C$1018))</f>
        <v/>
      </c>
      <c r="F1016" s="47">
        <f>IF(_imp!$C$1018="","",INDEX(_imp!$H$4:$H$1503,_imp!$C$1018))</f>
        <v/>
      </c>
      <c r="G1016" s="47">
        <f>IF(_imp!$C$1018="","",INDEX(_imp!$I$4:$I$1503,_imp!$C$1018))</f>
        <v/>
      </c>
      <c r="K1016" s="47">
        <f>IF(_imp!$C$1018="","",INDEX(_imp!$J$4:$J$1503,_imp!$C$1018))</f>
        <v/>
      </c>
    </row>
    <row r="1017">
      <c r="A1017" s="47">
        <f>IF(_imp!$C$1019="","",INDEX(_imp!$D$4:$D$1503,_imp!$C$1019))</f>
        <v/>
      </c>
      <c r="B1017" s="47">
        <f>IF(_imp!$C$1019="","",INDEX(_imp!$E$4:$E$1503,_imp!$C$1019))</f>
        <v/>
      </c>
      <c r="C1017" s="47">
        <f>IF(_imp!$C$1019="","",INDEX(_imp!$F$4:$F$1503,_imp!$C$1019))</f>
        <v/>
      </c>
      <c r="E1017" s="47">
        <f>IF(_imp!$C$1019="","",INDEX(_imp!$G$4:$G$1503,_imp!$C$1019))</f>
        <v/>
      </c>
      <c r="F1017" s="47">
        <f>IF(_imp!$C$1019="","",INDEX(_imp!$H$4:$H$1503,_imp!$C$1019))</f>
        <v/>
      </c>
      <c r="G1017" s="47">
        <f>IF(_imp!$C$1019="","",INDEX(_imp!$I$4:$I$1503,_imp!$C$1019))</f>
        <v/>
      </c>
      <c r="K1017" s="47">
        <f>IF(_imp!$C$1019="","",INDEX(_imp!$J$4:$J$1503,_imp!$C$1019))</f>
        <v/>
      </c>
    </row>
    <row r="1018">
      <c r="A1018" s="47">
        <f>IF(_imp!$C$1020="","",INDEX(_imp!$D$4:$D$1503,_imp!$C$1020))</f>
        <v/>
      </c>
      <c r="B1018" s="47">
        <f>IF(_imp!$C$1020="","",INDEX(_imp!$E$4:$E$1503,_imp!$C$1020))</f>
        <v/>
      </c>
      <c r="C1018" s="47">
        <f>IF(_imp!$C$1020="","",INDEX(_imp!$F$4:$F$1503,_imp!$C$1020))</f>
        <v/>
      </c>
      <c r="E1018" s="47">
        <f>IF(_imp!$C$1020="","",INDEX(_imp!$G$4:$G$1503,_imp!$C$1020))</f>
        <v/>
      </c>
      <c r="F1018" s="47">
        <f>IF(_imp!$C$1020="","",INDEX(_imp!$H$4:$H$1503,_imp!$C$1020))</f>
        <v/>
      </c>
      <c r="G1018" s="47">
        <f>IF(_imp!$C$1020="","",INDEX(_imp!$I$4:$I$1503,_imp!$C$1020))</f>
        <v/>
      </c>
      <c r="K1018" s="47">
        <f>IF(_imp!$C$1020="","",INDEX(_imp!$J$4:$J$1503,_imp!$C$1020))</f>
        <v/>
      </c>
    </row>
    <row r="1019">
      <c r="A1019" s="47">
        <f>IF(_imp!$C$1021="","",INDEX(_imp!$D$4:$D$1503,_imp!$C$1021))</f>
        <v/>
      </c>
      <c r="B1019" s="47">
        <f>IF(_imp!$C$1021="","",INDEX(_imp!$E$4:$E$1503,_imp!$C$1021))</f>
        <v/>
      </c>
      <c r="C1019" s="47">
        <f>IF(_imp!$C$1021="","",INDEX(_imp!$F$4:$F$1503,_imp!$C$1021))</f>
        <v/>
      </c>
      <c r="E1019" s="47">
        <f>IF(_imp!$C$1021="","",INDEX(_imp!$G$4:$G$1503,_imp!$C$1021))</f>
        <v/>
      </c>
      <c r="F1019" s="47">
        <f>IF(_imp!$C$1021="","",INDEX(_imp!$H$4:$H$1503,_imp!$C$1021))</f>
        <v/>
      </c>
      <c r="G1019" s="47">
        <f>IF(_imp!$C$1021="","",INDEX(_imp!$I$4:$I$1503,_imp!$C$1021))</f>
        <v/>
      </c>
      <c r="K1019" s="47">
        <f>IF(_imp!$C$1021="","",INDEX(_imp!$J$4:$J$1503,_imp!$C$1021))</f>
        <v/>
      </c>
    </row>
    <row r="1020">
      <c r="A1020" s="47">
        <f>IF(_imp!$C$1022="","",INDEX(_imp!$D$4:$D$1503,_imp!$C$1022))</f>
        <v/>
      </c>
      <c r="B1020" s="47">
        <f>IF(_imp!$C$1022="","",INDEX(_imp!$E$4:$E$1503,_imp!$C$1022))</f>
        <v/>
      </c>
      <c r="C1020" s="47">
        <f>IF(_imp!$C$1022="","",INDEX(_imp!$F$4:$F$1503,_imp!$C$1022))</f>
        <v/>
      </c>
      <c r="E1020" s="47">
        <f>IF(_imp!$C$1022="","",INDEX(_imp!$G$4:$G$1503,_imp!$C$1022))</f>
        <v/>
      </c>
      <c r="F1020" s="47">
        <f>IF(_imp!$C$1022="","",INDEX(_imp!$H$4:$H$1503,_imp!$C$1022))</f>
        <v/>
      </c>
      <c r="G1020" s="47">
        <f>IF(_imp!$C$1022="","",INDEX(_imp!$I$4:$I$1503,_imp!$C$1022))</f>
        <v/>
      </c>
      <c r="K1020" s="47">
        <f>IF(_imp!$C$1022="","",INDEX(_imp!$J$4:$J$1503,_imp!$C$1022))</f>
        <v/>
      </c>
    </row>
    <row r="1021">
      <c r="A1021" s="47">
        <f>IF(_imp!$C$1023="","",INDEX(_imp!$D$4:$D$1503,_imp!$C$1023))</f>
        <v/>
      </c>
      <c r="B1021" s="47">
        <f>IF(_imp!$C$1023="","",INDEX(_imp!$E$4:$E$1503,_imp!$C$1023))</f>
        <v/>
      </c>
      <c r="C1021" s="47">
        <f>IF(_imp!$C$1023="","",INDEX(_imp!$F$4:$F$1503,_imp!$C$1023))</f>
        <v/>
      </c>
      <c r="E1021" s="47">
        <f>IF(_imp!$C$1023="","",INDEX(_imp!$G$4:$G$1503,_imp!$C$1023))</f>
        <v/>
      </c>
      <c r="F1021" s="47">
        <f>IF(_imp!$C$1023="","",INDEX(_imp!$H$4:$H$1503,_imp!$C$1023))</f>
        <v/>
      </c>
      <c r="G1021" s="47">
        <f>IF(_imp!$C$1023="","",INDEX(_imp!$I$4:$I$1503,_imp!$C$1023))</f>
        <v/>
      </c>
      <c r="K1021" s="47">
        <f>IF(_imp!$C$1023="","",INDEX(_imp!$J$4:$J$1503,_imp!$C$1023))</f>
        <v/>
      </c>
    </row>
    <row r="1022">
      <c r="A1022" s="47">
        <f>IF(_imp!$C$1024="","",INDEX(_imp!$D$4:$D$1503,_imp!$C$1024))</f>
        <v/>
      </c>
      <c r="B1022" s="47">
        <f>IF(_imp!$C$1024="","",INDEX(_imp!$E$4:$E$1503,_imp!$C$1024))</f>
        <v/>
      </c>
      <c r="C1022" s="47">
        <f>IF(_imp!$C$1024="","",INDEX(_imp!$F$4:$F$1503,_imp!$C$1024))</f>
        <v/>
      </c>
      <c r="E1022" s="47">
        <f>IF(_imp!$C$1024="","",INDEX(_imp!$G$4:$G$1503,_imp!$C$1024))</f>
        <v/>
      </c>
      <c r="F1022" s="47">
        <f>IF(_imp!$C$1024="","",INDEX(_imp!$H$4:$H$1503,_imp!$C$1024))</f>
        <v/>
      </c>
      <c r="G1022" s="47">
        <f>IF(_imp!$C$1024="","",INDEX(_imp!$I$4:$I$1503,_imp!$C$1024))</f>
        <v/>
      </c>
      <c r="K1022" s="47">
        <f>IF(_imp!$C$1024="","",INDEX(_imp!$J$4:$J$1503,_imp!$C$1024))</f>
        <v/>
      </c>
    </row>
    <row r="1023">
      <c r="A1023" s="47">
        <f>IF(_imp!$C$1025="","",INDEX(_imp!$D$4:$D$1503,_imp!$C$1025))</f>
        <v/>
      </c>
      <c r="B1023" s="47">
        <f>IF(_imp!$C$1025="","",INDEX(_imp!$E$4:$E$1503,_imp!$C$1025))</f>
        <v/>
      </c>
      <c r="C1023" s="47">
        <f>IF(_imp!$C$1025="","",INDEX(_imp!$F$4:$F$1503,_imp!$C$1025))</f>
        <v/>
      </c>
      <c r="E1023" s="47">
        <f>IF(_imp!$C$1025="","",INDEX(_imp!$G$4:$G$1503,_imp!$C$1025))</f>
        <v/>
      </c>
      <c r="F1023" s="47">
        <f>IF(_imp!$C$1025="","",INDEX(_imp!$H$4:$H$1503,_imp!$C$1025))</f>
        <v/>
      </c>
      <c r="G1023" s="47">
        <f>IF(_imp!$C$1025="","",INDEX(_imp!$I$4:$I$1503,_imp!$C$1025))</f>
        <v/>
      </c>
      <c r="K1023" s="47">
        <f>IF(_imp!$C$1025="","",INDEX(_imp!$J$4:$J$1503,_imp!$C$1025))</f>
        <v/>
      </c>
    </row>
    <row r="1024">
      <c r="A1024" s="47">
        <f>IF(_imp!$C$1026="","",INDEX(_imp!$D$4:$D$1503,_imp!$C$1026))</f>
        <v/>
      </c>
      <c r="B1024" s="47">
        <f>IF(_imp!$C$1026="","",INDEX(_imp!$E$4:$E$1503,_imp!$C$1026))</f>
        <v/>
      </c>
      <c r="C1024" s="47">
        <f>IF(_imp!$C$1026="","",INDEX(_imp!$F$4:$F$1503,_imp!$C$1026))</f>
        <v/>
      </c>
      <c r="E1024" s="47">
        <f>IF(_imp!$C$1026="","",INDEX(_imp!$G$4:$G$1503,_imp!$C$1026))</f>
        <v/>
      </c>
      <c r="F1024" s="47">
        <f>IF(_imp!$C$1026="","",INDEX(_imp!$H$4:$H$1503,_imp!$C$1026))</f>
        <v/>
      </c>
      <c r="G1024" s="47">
        <f>IF(_imp!$C$1026="","",INDEX(_imp!$I$4:$I$1503,_imp!$C$1026))</f>
        <v/>
      </c>
      <c r="K1024" s="47">
        <f>IF(_imp!$C$1026="","",INDEX(_imp!$J$4:$J$1503,_imp!$C$1026))</f>
        <v/>
      </c>
    </row>
    <row r="1025">
      <c r="A1025" s="47">
        <f>IF(_imp!$C$1027="","",INDEX(_imp!$D$4:$D$1503,_imp!$C$1027))</f>
        <v/>
      </c>
      <c r="B1025" s="47">
        <f>IF(_imp!$C$1027="","",INDEX(_imp!$E$4:$E$1503,_imp!$C$1027))</f>
        <v/>
      </c>
      <c r="C1025" s="47">
        <f>IF(_imp!$C$1027="","",INDEX(_imp!$F$4:$F$1503,_imp!$C$1027))</f>
        <v/>
      </c>
      <c r="E1025" s="47">
        <f>IF(_imp!$C$1027="","",INDEX(_imp!$G$4:$G$1503,_imp!$C$1027))</f>
        <v/>
      </c>
      <c r="F1025" s="47">
        <f>IF(_imp!$C$1027="","",INDEX(_imp!$H$4:$H$1503,_imp!$C$1027))</f>
        <v/>
      </c>
      <c r="G1025" s="47">
        <f>IF(_imp!$C$1027="","",INDEX(_imp!$I$4:$I$1503,_imp!$C$1027))</f>
        <v/>
      </c>
      <c r="K1025" s="47">
        <f>IF(_imp!$C$1027="","",INDEX(_imp!$J$4:$J$1503,_imp!$C$1027))</f>
        <v/>
      </c>
    </row>
    <row r="1026">
      <c r="A1026" s="47">
        <f>IF(_imp!$C$1028="","",INDEX(_imp!$D$4:$D$1503,_imp!$C$1028))</f>
        <v/>
      </c>
      <c r="B1026" s="47">
        <f>IF(_imp!$C$1028="","",INDEX(_imp!$E$4:$E$1503,_imp!$C$1028))</f>
        <v/>
      </c>
      <c r="C1026" s="47">
        <f>IF(_imp!$C$1028="","",INDEX(_imp!$F$4:$F$1503,_imp!$C$1028))</f>
        <v/>
      </c>
      <c r="E1026" s="47">
        <f>IF(_imp!$C$1028="","",INDEX(_imp!$G$4:$G$1503,_imp!$C$1028))</f>
        <v/>
      </c>
      <c r="F1026" s="47">
        <f>IF(_imp!$C$1028="","",INDEX(_imp!$H$4:$H$1503,_imp!$C$1028))</f>
        <v/>
      </c>
      <c r="G1026" s="47">
        <f>IF(_imp!$C$1028="","",INDEX(_imp!$I$4:$I$1503,_imp!$C$1028))</f>
        <v/>
      </c>
      <c r="K1026" s="47">
        <f>IF(_imp!$C$1028="","",INDEX(_imp!$J$4:$J$1503,_imp!$C$1028))</f>
        <v/>
      </c>
    </row>
    <row r="1027">
      <c r="A1027" s="47">
        <f>IF(_imp!$C$1029="","",INDEX(_imp!$D$4:$D$1503,_imp!$C$1029))</f>
        <v/>
      </c>
      <c r="B1027" s="47">
        <f>IF(_imp!$C$1029="","",INDEX(_imp!$E$4:$E$1503,_imp!$C$1029))</f>
        <v/>
      </c>
      <c r="C1027" s="47">
        <f>IF(_imp!$C$1029="","",INDEX(_imp!$F$4:$F$1503,_imp!$C$1029))</f>
        <v/>
      </c>
      <c r="E1027" s="47">
        <f>IF(_imp!$C$1029="","",INDEX(_imp!$G$4:$G$1503,_imp!$C$1029))</f>
        <v/>
      </c>
      <c r="F1027" s="47">
        <f>IF(_imp!$C$1029="","",INDEX(_imp!$H$4:$H$1503,_imp!$C$1029))</f>
        <v/>
      </c>
      <c r="G1027" s="47">
        <f>IF(_imp!$C$1029="","",INDEX(_imp!$I$4:$I$1503,_imp!$C$1029))</f>
        <v/>
      </c>
      <c r="K1027" s="47">
        <f>IF(_imp!$C$1029="","",INDEX(_imp!$J$4:$J$1503,_imp!$C$1029))</f>
        <v/>
      </c>
    </row>
    <row r="1028">
      <c r="A1028" s="47">
        <f>IF(_imp!$C$1030="","",INDEX(_imp!$D$4:$D$1503,_imp!$C$1030))</f>
        <v/>
      </c>
      <c r="B1028" s="47">
        <f>IF(_imp!$C$1030="","",INDEX(_imp!$E$4:$E$1503,_imp!$C$1030))</f>
        <v/>
      </c>
      <c r="C1028" s="47">
        <f>IF(_imp!$C$1030="","",INDEX(_imp!$F$4:$F$1503,_imp!$C$1030))</f>
        <v/>
      </c>
      <c r="E1028" s="47">
        <f>IF(_imp!$C$1030="","",INDEX(_imp!$G$4:$G$1503,_imp!$C$1030))</f>
        <v/>
      </c>
      <c r="F1028" s="47">
        <f>IF(_imp!$C$1030="","",INDEX(_imp!$H$4:$H$1503,_imp!$C$1030))</f>
        <v/>
      </c>
      <c r="G1028" s="47">
        <f>IF(_imp!$C$1030="","",INDEX(_imp!$I$4:$I$1503,_imp!$C$1030))</f>
        <v/>
      </c>
      <c r="K1028" s="47">
        <f>IF(_imp!$C$1030="","",INDEX(_imp!$J$4:$J$1503,_imp!$C$1030))</f>
        <v/>
      </c>
    </row>
    <row r="1029">
      <c r="A1029" s="47">
        <f>IF(_imp!$C$1031="","",INDEX(_imp!$D$4:$D$1503,_imp!$C$1031))</f>
        <v/>
      </c>
      <c r="B1029" s="47">
        <f>IF(_imp!$C$1031="","",INDEX(_imp!$E$4:$E$1503,_imp!$C$1031))</f>
        <v/>
      </c>
      <c r="C1029" s="47">
        <f>IF(_imp!$C$1031="","",INDEX(_imp!$F$4:$F$1503,_imp!$C$1031))</f>
        <v/>
      </c>
      <c r="E1029" s="47">
        <f>IF(_imp!$C$1031="","",INDEX(_imp!$G$4:$G$1503,_imp!$C$1031))</f>
        <v/>
      </c>
      <c r="F1029" s="47">
        <f>IF(_imp!$C$1031="","",INDEX(_imp!$H$4:$H$1503,_imp!$C$1031))</f>
        <v/>
      </c>
      <c r="G1029" s="47">
        <f>IF(_imp!$C$1031="","",INDEX(_imp!$I$4:$I$1503,_imp!$C$1031))</f>
        <v/>
      </c>
      <c r="K1029" s="47">
        <f>IF(_imp!$C$1031="","",INDEX(_imp!$J$4:$J$1503,_imp!$C$1031))</f>
        <v/>
      </c>
    </row>
    <row r="1030">
      <c r="A1030" s="47">
        <f>IF(_imp!$C$1032="","",INDEX(_imp!$D$4:$D$1503,_imp!$C$1032))</f>
        <v/>
      </c>
      <c r="B1030" s="47">
        <f>IF(_imp!$C$1032="","",INDEX(_imp!$E$4:$E$1503,_imp!$C$1032))</f>
        <v/>
      </c>
      <c r="C1030" s="47">
        <f>IF(_imp!$C$1032="","",INDEX(_imp!$F$4:$F$1503,_imp!$C$1032))</f>
        <v/>
      </c>
      <c r="E1030" s="47">
        <f>IF(_imp!$C$1032="","",INDEX(_imp!$G$4:$G$1503,_imp!$C$1032))</f>
        <v/>
      </c>
      <c r="F1030" s="47">
        <f>IF(_imp!$C$1032="","",INDEX(_imp!$H$4:$H$1503,_imp!$C$1032))</f>
        <v/>
      </c>
      <c r="G1030" s="47">
        <f>IF(_imp!$C$1032="","",INDEX(_imp!$I$4:$I$1503,_imp!$C$1032))</f>
        <v/>
      </c>
      <c r="K1030" s="47">
        <f>IF(_imp!$C$1032="","",INDEX(_imp!$J$4:$J$1503,_imp!$C$1032))</f>
        <v/>
      </c>
    </row>
    <row r="1031">
      <c r="A1031" s="47">
        <f>IF(_imp!$C$1033="","",INDEX(_imp!$D$4:$D$1503,_imp!$C$1033))</f>
        <v/>
      </c>
      <c r="B1031" s="47">
        <f>IF(_imp!$C$1033="","",INDEX(_imp!$E$4:$E$1503,_imp!$C$1033))</f>
        <v/>
      </c>
      <c r="C1031" s="47">
        <f>IF(_imp!$C$1033="","",INDEX(_imp!$F$4:$F$1503,_imp!$C$1033))</f>
        <v/>
      </c>
      <c r="E1031" s="47">
        <f>IF(_imp!$C$1033="","",INDEX(_imp!$G$4:$G$1503,_imp!$C$1033))</f>
        <v/>
      </c>
      <c r="F1031" s="47">
        <f>IF(_imp!$C$1033="","",INDEX(_imp!$H$4:$H$1503,_imp!$C$1033))</f>
        <v/>
      </c>
      <c r="G1031" s="47">
        <f>IF(_imp!$C$1033="","",INDEX(_imp!$I$4:$I$1503,_imp!$C$1033))</f>
        <v/>
      </c>
      <c r="K1031" s="47">
        <f>IF(_imp!$C$1033="","",INDEX(_imp!$J$4:$J$1503,_imp!$C$1033))</f>
        <v/>
      </c>
    </row>
    <row r="1032">
      <c r="A1032" s="47">
        <f>IF(_imp!$C$1034="","",INDEX(_imp!$D$4:$D$1503,_imp!$C$1034))</f>
        <v/>
      </c>
      <c r="B1032" s="47">
        <f>IF(_imp!$C$1034="","",INDEX(_imp!$E$4:$E$1503,_imp!$C$1034))</f>
        <v/>
      </c>
      <c r="C1032" s="47">
        <f>IF(_imp!$C$1034="","",INDEX(_imp!$F$4:$F$1503,_imp!$C$1034))</f>
        <v/>
      </c>
      <c r="E1032" s="47">
        <f>IF(_imp!$C$1034="","",INDEX(_imp!$G$4:$G$1503,_imp!$C$1034))</f>
        <v/>
      </c>
      <c r="F1032" s="47">
        <f>IF(_imp!$C$1034="","",INDEX(_imp!$H$4:$H$1503,_imp!$C$1034))</f>
        <v/>
      </c>
      <c r="G1032" s="47">
        <f>IF(_imp!$C$1034="","",INDEX(_imp!$I$4:$I$1503,_imp!$C$1034))</f>
        <v/>
      </c>
      <c r="K1032" s="47">
        <f>IF(_imp!$C$1034="","",INDEX(_imp!$J$4:$J$1503,_imp!$C$1034))</f>
        <v/>
      </c>
    </row>
    <row r="1033">
      <c r="A1033" s="47">
        <f>IF(_imp!$C$1035="","",INDEX(_imp!$D$4:$D$1503,_imp!$C$1035))</f>
        <v/>
      </c>
      <c r="B1033" s="47">
        <f>IF(_imp!$C$1035="","",INDEX(_imp!$E$4:$E$1503,_imp!$C$1035))</f>
        <v/>
      </c>
      <c r="C1033" s="47">
        <f>IF(_imp!$C$1035="","",INDEX(_imp!$F$4:$F$1503,_imp!$C$1035))</f>
        <v/>
      </c>
      <c r="E1033" s="47">
        <f>IF(_imp!$C$1035="","",INDEX(_imp!$G$4:$G$1503,_imp!$C$1035))</f>
        <v/>
      </c>
      <c r="F1033" s="47">
        <f>IF(_imp!$C$1035="","",INDEX(_imp!$H$4:$H$1503,_imp!$C$1035))</f>
        <v/>
      </c>
      <c r="G1033" s="47">
        <f>IF(_imp!$C$1035="","",INDEX(_imp!$I$4:$I$1503,_imp!$C$1035))</f>
        <v/>
      </c>
      <c r="K1033" s="47">
        <f>IF(_imp!$C$1035="","",INDEX(_imp!$J$4:$J$1503,_imp!$C$1035))</f>
        <v/>
      </c>
    </row>
    <row r="1034">
      <c r="A1034" s="47">
        <f>IF(_imp!$C$1036="","",INDEX(_imp!$D$4:$D$1503,_imp!$C$1036))</f>
        <v/>
      </c>
      <c r="B1034" s="47">
        <f>IF(_imp!$C$1036="","",INDEX(_imp!$E$4:$E$1503,_imp!$C$1036))</f>
        <v/>
      </c>
      <c r="C1034" s="47">
        <f>IF(_imp!$C$1036="","",INDEX(_imp!$F$4:$F$1503,_imp!$C$1036))</f>
        <v/>
      </c>
      <c r="E1034" s="47">
        <f>IF(_imp!$C$1036="","",INDEX(_imp!$G$4:$G$1503,_imp!$C$1036))</f>
        <v/>
      </c>
      <c r="F1034" s="47">
        <f>IF(_imp!$C$1036="","",INDEX(_imp!$H$4:$H$1503,_imp!$C$1036))</f>
        <v/>
      </c>
      <c r="G1034" s="47">
        <f>IF(_imp!$C$1036="","",INDEX(_imp!$I$4:$I$1503,_imp!$C$1036))</f>
        <v/>
      </c>
      <c r="K1034" s="47">
        <f>IF(_imp!$C$1036="","",INDEX(_imp!$J$4:$J$1503,_imp!$C$1036))</f>
        <v/>
      </c>
    </row>
    <row r="1035">
      <c r="A1035" s="47">
        <f>IF(_imp!$C$1037="","",INDEX(_imp!$D$4:$D$1503,_imp!$C$1037))</f>
        <v/>
      </c>
      <c r="B1035" s="47">
        <f>IF(_imp!$C$1037="","",INDEX(_imp!$E$4:$E$1503,_imp!$C$1037))</f>
        <v/>
      </c>
      <c r="C1035" s="47">
        <f>IF(_imp!$C$1037="","",INDEX(_imp!$F$4:$F$1503,_imp!$C$1037))</f>
        <v/>
      </c>
      <c r="E1035" s="47">
        <f>IF(_imp!$C$1037="","",INDEX(_imp!$G$4:$G$1503,_imp!$C$1037))</f>
        <v/>
      </c>
      <c r="F1035" s="47">
        <f>IF(_imp!$C$1037="","",INDEX(_imp!$H$4:$H$1503,_imp!$C$1037))</f>
        <v/>
      </c>
      <c r="G1035" s="47">
        <f>IF(_imp!$C$1037="","",INDEX(_imp!$I$4:$I$1503,_imp!$C$1037))</f>
        <v/>
      </c>
      <c r="K1035" s="47">
        <f>IF(_imp!$C$1037="","",INDEX(_imp!$J$4:$J$1503,_imp!$C$1037))</f>
        <v/>
      </c>
    </row>
    <row r="1036">
      <c r="A1036" s="47">
        <f>IF(_imp!$C$1038="","",INDEX(_imp!$D$4:$D$1503,_imp!$C$1038))</f>
        <v/>
      </c>
      <c r="B1036" s="47">
        <f>IF(_imp!$C$1038="","",INDEX(_imp!$E$4:$E$1503,_imp!$C$1038))</f>
        <v/>
      </c>
      <c r="C1036" s="47">
        <f>IF(_imp!$C$1038="","",INDEX(_imp!$F$4:$F$1503,_imp!$C$1038))</f>
        <v/>
      </c>
      <c r="E1036" s="47">
        <f>IF(_imp!$C$1038="","",INDEX(_imp!$G$4:$G$1503,_imp!$C$1038))</f>
        <v/>
      </c>
      <c r="F1036" s="47">
        <f>IF(_imp!$C$1038="","",INDEX(_imp!$H$4:$H$1503,_imp!$C$1038))</f>
        <v/>
      </c>
      <c r="G1036" s="47">
        <f>IF(_imp!$C$1038="","",INDEX(_imp!$I$4:$I$1503,_imp!$C$1038))</f>
        <v/>
      </c>
      <c r="K1036" s="47">
        <f>IF(_imp!$C$1038="","",INDEX(_imp!$J$4:$J$1503,_imp!$C$1038))</f>
        <v/>
      </c>
    </row>
    <row r="1037">
      <c r="A1037" s="47">
        <f>IF(_imp!$C$1039="","",INDEX(_imp!$D$4:$D$1503,_imp!$C$1039))</f>
        <v/>
      </c>
      <c r="B1037" s="47">
        <f>IF(_imp!$C$1039="","",INDEX(_imp!$E$4:$E$1503,_imp!$C$1039))</f>
        <v/>
      </c>
      <c r="C1037" s="47">
        <f>IF(_imp!$C$1039="","",INDEX(_imp!$F$4:$F$1503,_imp!$C$1039))</f>
        <v/>
      </c>
      <c r="E1037" s="47">
        <f>IF(_imp!$C$1039="","",INDEX(_imp!$G$4:$G$1503,_imp!$C$1039))</f>
        <v/>
      </c>
      <c r="F1037" s="47">
        <f>IF(_imp!$C$1039="","",INDEX(_imp!$H$4:$H$1503,_imp!$C$1039))</f>
        <v/>
      </c>
      <c r="G1037" s="47">
        <f>IF(_imp!$C$1039="","",INDEX(_imp!$I$4:$I$1503,_imp!$C$1039))</f>
        <v/>
      </c>
      <c r="K1037" s="47">
        <f>IF(_imp!$C$1039="","",INDEX(_imp!$J$4:$J$1503,_imp!$C$1039))</f>
        <v/>
      </c>
    </row>
    <row r="1038">
      <c r="A1038" s="47">
        <f>IF(_imp!$C$1040="","",INDEX(_imp!$D$4:$D$1503,_imp!$C$1040))</f>
        <v/>
      </c>
      <c r="B1038" s="47">
        <f>IF(_imp!$C$1040="","",INDEX(_imp!$E$4:$E$1503,_imp!$C$1040))</f>
        <v/>
      </c>
      <c r="C1038" s="47">
        <f>IF(_imp!$C$1040="","",INDEX(_imp!$F$4:$F$1503,_imp!$C$1040))</f>
        <v/>
      </c>
      <c r="E1038" s="47">
        <f>IF(_imp!$C$1040="","",INDEX(_imp!$G$4:$G$1503,_imp!$C$1040))</f>
        <v/>
      </c>
      <c r="F1038" s="47">
        <f>IF(_imp!$C$1040="","",INDEX(_imp!$H$4:$H$1503,_imp!$C$1040))</f>
        <v/>
      </c>
      <c r="G1038" s="47">
        <f>IF(_imp!$C$1040="","",INDEX(_imp!$I$4:$I$1503,_imp!$C$1040))</f>
        <v/>
      </c>
      <c r="K1038" s="47">
        <f>IF(_imp!$C$1040="","",INDEX(_imp!$J$4:$J$1503,_imp!$C$1040))</f>
        <v/>
      </c>
    </row>
    <row r="1039">
      <c r="A1039" s="47">
        <f>IF(_imp!$C$1041="","",INDEX(_imp!$D$4:$D$1503,_imp!$C$1041))</f>
        <v/>
      </c>
      <c r="B1039" s="47">
        <f>IF(_imp!$C$1041="","",INDEX(_imp!$E$4:$E$1503,_imp!$C$1041))</f>
        <v/>
      </c>
      <c r="C1039" s="47">
        <f>IF(_imp!$C$1041="","",INDEX(_imp!$F$4:$F$1503,_imp!$C$1041))</f>
        <v/>
      </c>
      <c r="E1039" s="47">
        <f>IF(_imp!$C$1041="","",INDEX(_imp!$G$4:$G$1503,_imp!$C$1041))</f>
        <v/>
      </c>
      <c r="F1039" s="47">
        <f>IF(_imp!$C$1041="","",INDEX(_imp!$H$4:$H$1503,_imp!$C$1041))</f>
        <v/>
      </c>
      <c r="G1039" s="47">
        <f>IF(_imp!$C$1041="","",INDEX(_imp!$I$4:$I$1503,_imp!$C$1041))</f>
        <v/>
      </c>
      <c r="K1039" s="47">
        <f>IF(_imp!$C$1041="","",INDEX(_imp!$J$4:$J$1503,_imp!$C$1041))</f>
        <v/>
      </c>
    </row>
    <row r="1040">
      <c r="A1040" s="47">
        <f>IF(_imp!$C$1042="","",INDEX(_imp!$D$4:$D$1503,_imp!$C$1042))</f>
        <v/>
      </c>
      <c r="B1040" s="47">
        <f>IF(_imp!$C$1042="","",INDEX(_imp!$E$4:$E$1503,_imp!$C$1042))</f>
        <v/>
      </c>
      <c r="C1040" s="47">
        <f>IF(_imp!$C$1042="","",INDEX(_imp!$F$4:$F$1503,_imp!$C$1042))</f>
        <v/>
      </c>
      <c r="E1040" s="47">
        <f>IF(_imp!$C$1042="","",INDEX(_imp!$G$4:$G$1503,_imp!$C$1042))</f>
        <v/>
      </c>
      <c r="F1040" s="47">
        <f>IF(_imp!$C$1042="","",INDEX(_imp!$H$4:$H$1503,_imp!$C$1042))</f>
        <v/>
      </c>
      <c r="G1040" s="47">
        <f>IF(_imp!$C$1042="","",INDEX(_imp!$I$4:$I$1503,_imp!$C$1042))</f>
        <v/>
      </c>
      <c r="K1040" s="47">
        <f>IF(_imp!$C$1042="","",INDEX(_imp!$J$4:$J$1503,_imp!$C$1042))</f>
        <v/>
      </c>
    </row>
    <row r="1041">
      <c r="A1041" s="47">
        <f>IF(_imp!$C$1043="","",INDEX(_imp!$D$4:$D$1503,_imp!$C$1043))</f>
        <v/>
      </c>
      <c r="B1041" s="47">
        <f>IF(_imp!$C$1043="","",INDEX(_imp!$E$4:$E$1503,_imp!$C$1043))</f>
        <v/>
      </c>
      <c r="C1041" s="47">
        <f>IF(_imp!$C$1043="","",INDEX(_imp!$F$4:$F$1503,_imp!$C$1043))</f>
        <v/>
      </c>
      <c r="E1041" s="47">
        <f>IF(_imp!$C$1043="","",INDEX(_imp!$G$4:$G$1503,_imp!$C$1043))</f>
        <v/>
      </c>
      <c r="F1041" s="47">
        <f>IF(_imp!$C$1043="","",INDEX(_imp!$H$4:$H$1503,_imp!$C$1043))</f>
        <v/>
      </c>
      <c r="G1041" s="47">
        <f>IF(_imp!$C$1043="","",INDEX(_imp!$I$4:$I$1503,_imp!$C$1043))</f>
        <v/>
      </c>
      <c r="K1041" s="47">
        <f>IF(_imp!$C$1043="","",INDEX(_imp!$J$4:$J$1503,_imp!$C$1043))</f>
        <v/>
      </c>
    </row>
    <row r="1042">
      <c r="A1042" s="47">
        <f>IF(_imp!$C$1044="","",INDEX(_imp!$D$4:$D$1503,_imp!$C$1044))</f>
        <v/>
      </c>
      <c r="B1042" s="47">
        <f>IF(_imp!$C$1044="","",INDEX(_imp!$E$4:$E$1503,_imp!$C$1044))</f>
        <v/>
      </c>
      <c r="C1042" s="47">
        <f>IF(_imp!$C$1044="","",INDEX(_imp!$F$4:$F$1503,_imp!$C$1044))</f>
        <v/>
      </c>
      <c r="E1042" s="47">
        <f>IF(_imp!$C$1044="","",INDEX(_imp!$G$4:$G$1503,_imp!$C$1044))</f>
        <v/>
      </c>
      <c r="F1042" s="47">
        <f>IF(_imp!$C$1044="","",INDEX(_imp!$H$4:$H$1503,_imp!$C$1044))</f>
        <v/>
      </c>
      <c r="G1042" s="47">
        <f>IF(_imp!$C$1044="","",INDEX(_imp!$I$4:$I$1503,_imp!$C$1044))</f>
        <v/>
      </c>
      <c r="K1042" s="47">
        <f>IF(_imp!$C$1044="","",INDEX(_imp!$J$4:$J$1503,_imp!$C$1044))</f>
        <v/>
      </c>
    </row>
    <row r="1043">
      <c r="A1043" s="47">
        <f>IF(_imp!$C$1045="","",INDEX(_imp!$D$4:$D$1503,_imp!$C$1045))</f>
        <v/>
      </c>
      <c r="B1043" s="47">
        <f>IF(_imp!$C$1045="","",INDEX(_imp!$E$4:$E$1503,_imp!$C$1045))</f>
        <v/>
      </c>
      <c r="C1043" s="47">
        <f>IF(_imp!$C$1045="","",INDEX(_imp!$F$4:$F$1503,_imp!$C$1045))</f>
        <v/>
      </c>
      <c r="E1043" s="47">
        <f>IF(_imp!$C$1045="","",INDEX(_imp!$G$4:$G$1503,_imp!$C$1045))</f>
        <v/>
      </c>
      <c r="F1043" s="47">
        <f>IF(_imp!$C$1045="","",INDEX(_imp!$H$4:$H$1503,_imp!$C$1045))</f>
        <v/>
      </c>
      <c r="G1043" s="47">
        <f>IF(_imp!$C$1045="","",INDEX(_imp!$I$4:$I$1503,_imp!$C$1045))</f>
        <v/>
      </c>
      <c r="K1043" s="47">
        <f>IF(_imp!$C$1045="","",INDEX(_imp!$J$4:$J$1503,_imp!$C$1045))</f>
        <v/>
      </c>
    </row>
    <row r="1044">
      <c r="A1044" s="47">
        <f>IF(_imp!$C$1046="","",INDEX(_imp!$D$4:$D$1503,_imp!$C$1046))</f>
        <v/>
      </c>
      <c r="B1044" s="47">
        <f>IF(_imp!$C$1046="","",INDEX(_imp!$E$4:$E$1503,_imp!$C$1046))</f>
        <v/>
      </c>
      <c r="C1044" s="47">
        <f>IF(_imp!$C$1046="","",INDEX(_imp!$F$4:$F$1503,_imp!$C$1046))</f>
        <v/>
      </c>
      <c r="E1044" s="47">
        <f>IF(_imp!$C$1046="","",INDEX(_imp!$G$4:$G$1503,_imp!$C$1046))</f>
        <v/>
      </c>
      <c r="F1044" s="47">
        <f>IF(_imp!$C$1046="","",INDEX(_imp!$H$4:$H$1503,_imp!$C$1046))</f>
        <v/>
      </c>
      <c r="G1044" s="47">
        <f>IF(_imp!$C$1046="","",INDEX(_imp!$I$4:$I$1503,_imp!$C$1046))</f>
        <v/>
      </c>
      <c r="K1044" s="47">
        <f>IF(_imp!$C$1046="","",INDEX(_imp!$J$4:$J$1503,_imp!$C$1046))</f>
        <v/>
      </c>
    </row>
    <row r="1045">
      <c r="A1045" s="47">
        <f>IF(_imp!$C$1047="","",INDEX(_imp!$D$4:$D$1503,_imp!$C$1047))</f>
        <v/>
      </c>
      <c r="B1045" s="47">
        <f>IF(_imp!$C$1047="","",INDEX(_imp!$E$4:$E$1503,_imp!$C$1047))</f>
        <v/>
      </c>
      <c r="C1045" s="47">
        <f>IF(_imp!$C$1047="","",INDEX(_imp!$F$4:$F$1503,_imp!$C$1047))</f>
        <v/>
      </c>
      <c r="E1045" s="47">
        <f>IF(_imp!$C$1047="","",INDEX(_imp!$G$4:$G$1503,_imp!$C$1047))</f>
        <v/>
      </c>
      <c r="F1045" s="47">
        <f>IF(_imp!$C$1047="","",INDEX(_imp!$H$4:$H$1503,_imp!$C$1047))</f>
        <v/>
      </c>
      <c r="G1045" s="47">
        <f>IF(_imp!$C$1047="","",INDEX(_imp!$I$4:$I$1503,_imp!$C$1047))</f>
        <v/>
      </c>
      <c r="K1045" s="47">
        <f>IF(_imp!$C$1047="","",INDEX(_imp!$J$4:$J$1503,_imp!$C$1047))</f>
        <v/>
      </c>
    </row>
    <row r="1046">
      <c r="A1046" s="47">
        <f>IF(_imp!$C$1048="","",INDEX(_imp!$D$4:$D$1503,_imp!$C$1048))</f>
        <v/>
      </c>
      <c r="B1046" s="47">
        <f>IF(_imp!$C$1048="","",INDEX(_imp!$E$4:$E$1503,_imp!$C$1048))</f>
        <v/>
      </c>
      <c r="C1046" s="47">
        <f>IF(_imp!$C$1048="","",INDEX(_imp!$F$4:$F$1503,_imp!$C$1048))</f>
        <v/>
      </c>
      <c r="E1046" s="47">
        <f>IF(_imp!$C$1048="","",INDEX(_imp!$G$4:$G$1503,_imp!$C$1048))</f>
        <v/>
      </c>
      <c r="F1046" s="47">
        <f>IF(_imp!$C$1048="","",INDEX(_imp!$H$4:$H$1503,_imp!$C$1048))</f>
        <v/>
      </c>
      <c r="G1046" s="47">
        <f>IF(_imp!$C$1048="","",INDEX(_imp!$I$4:$I$1503,_imp!$C$1048))</f>
        <v/>
      </c>
      <c r="K1046" s="47">
        <f>IF(_imp!$C$1048="","",INDEX(_imp!$J$4:$J$1503,_imp!$C$1048))</f>
        <v/>
      </c>
    </row>
    <row r="1047">
      <c r="A1047" s="47">
        <f>IF(_imp!$C$1049="","",INDEX(_imp!$D$4:$D$1503,_imp!$C$1049))</f>
        <v/>
      </c>
      <c r="B1047" s="47">
        <f>IF(_imp!$C$1049="","",INDEX(_imp!$E$4:$E$1503,_imp!$C$1049))</f>
        <v/>
      </c>
      <c r="C1047" s="47">
        <f>IF(_imp!$C$1049="","",INDEX(_imp!$F$4:$F$1503,_imp!$C$1049))</f>
        <v/>
      </c>
      <c r="E1047" s="47">
        <f>IF(_imp!$C$1049="","",INDEX(_imp!$G$4:$G$1503,_imp!$C$1049))</f>
        <v/>
      </c>
      <c r="F1047" s="47">
        <f>IF(_imp!$C$1049="","",INDEX(_imp!$H$4:$H$1503,_imp!$C$1049))</f>
        <v/>
      </c>
      <c r="G1047" s="47">
        <f>IF(_imp!$C$1049="","",INDEX(_imp!$I$4:$I$1503,_imp!$C$1049))</f>
        <v/>
      </c>
      <c r="K1047" s="47">
        <f>IF(_imp!$C$1049="","",INDEX(_imp!$J$4:$J$1503,_imp!$C$1049))</f>
        <v/>
      </c>
    </row>
    <row r="1048">
      <c r="A1048" s="47">
        <f>IF(_imp!$C$1050="","",INDEX(_imp!$D$4:$D$1503,_imp!$C$1050))</f>
        <v/>
      </c>
      <c r="B1048" s="47">
        <f>IF(_imp!$C$1050="","",INDEX(_imp!$E$4:$E$1503,_imp!$C$1050))</f>
        <v/>
      </c>
      <c r="C1048" s="47">
        <f>IF(_imp!$C$1050="","",INDEX(_imp!$F$4:$F$1503,_imp!$C$1050))</f>
        <v/>
      </c>
      <c r="E1048" s="47">
        <f>IF(_imp!$C$1050="","",INDEX(_imp!$G$4:$G$1503,_imp!$C$1050))</f>
        <v/>
      </c>
      <c r="F1048" s="47">
        <f>IF(_imp!$C$1050="","",INDEX(_imp!$H$4:$H$1503,_imp!$C$1050))</f>
        <v/>
      </c>
      <c r="G1048" s="47">
        <f>IF(_imp!$C$1050="","",INDEX(_imp!$I$4:$I$1503,_imp!$C$1050))</f>
        <v/>
      </c>
      <c r="K1048" s="47">
        <f>IF(_imp!$C$1050="","",INDEX(_imp!$J$4:$J$1503,_imp!$C$1050))</f>
        <v/>
      </c>
    </row>
    <row r="1049">
      <c r="A1049" s="47">
        <f>IF(_imp!$C$1051="","",INDEX(_imp!$D$4:$D$1503,_imp!$C$1051))</f>
        <v/>
      </c>
      <c r="B1049" s="47">
        <f>IF(_imp!$C$1051="","",INDEX(_imp!$E$4:$E$1503,_imp!$C$1051))</f>
        <v/>
      </c>
      <c r="C1049" s="47">
        <f>IF(_imp!$C$1051="","",INDEX(_imp!$F$4:$F$1503,_imp!$C$1051))</f>
        <v/>
      </c>
      <c r="E1049" s="47">
        <f>IF(_imp!$C$1051="","",INDEX(_imp!$G$4:$G$1503,_imp!$C$1051))</f>
        <v/>
      </c>
      <c r="F1049" s="47">
        <f>IF(_imp!$C$1051="","",INDEX(_imp!$H$4:$H$1503,_imp!$C$1051))</f>
        <v/>
      </c>
      <c r="G1049" s="47">
        <f>IF(_imp!$C$1051="","",INDEX(_imp!$I$4:$I$1503,_imp!$C$1051))</f>
        <v/>
      </c>
      <c r="K1049" s="47">
        <f>IF(_imp!$C$1051="","",INDEX(_imp!$J$4:$J$1503,_imp!$C$1051))</f>
        <v/>
      </c>
    </row>
    <row r="1050">
      <c r="A1050" s="47">
        <f>IF(_imp!$C$1052="","",INDEX(_imp!$D$4:$D$1503,_imp!$C$1052))</f>
        <v/>
      </c>
      <c r="B1050" s="47">
        <f>IF(_imp!$C$1052="","",INDEX(_imp!$E$4:$E$1503,_imp!$C$1052))</f>
        <v/>
      </c>
      <c r="C1050" s="47">
        <f>IF(_imp!$C$1052="","",INDEX(_imp!$F$4:$F$1503,_imp!$C$1052))</f>
        <v/>
      </c>
      <c r="E1050" s="47">
        <f>IF(_imp!$C$1052="","",INDEX(_imp!$G$4:$G$1503,_imp!$C$1052))</f>
        <v/>
      </c>
      <c r="F1050" s="47">
        <f>IF(_imp!$C$1052="","",INDEX(_imp!$H$4:$H$1503,_imp!$C$1052))</f>
        <v/>
      </c>
      <c r="G1050" s="47">
        <f>IF(_imp!$C$1052="","",INDEX(_imp!$I$4:$I$1503,_imp!$C$1052))</f>
        <v/>
      </c>
      <c r="K1050" s="47">
        <f>IF(_imp!$C$1052="","",INDEX(_imp!$J$4:$J$1503,_imp!$C$1052))</f>
        <v/>
      </c>
    </row>
    <row r="1051">
      <c r="A1051" s="47">
        <f>IF(_imp!$C$1053="","",INDEX(_imp!$D$4:$D$1503,_imp!$C$1053))</f>
        <v/>
      </c>
      <c r="B1051" s="47">
        <f>IF(_imp!$C$1053="","",INDEX(_imp!$E$4:$E$1503,_imp!$C$1053))</f>
        <v/>
      </c>
      <c r="C1051" s="47">
        <f>IF(_imp!$C$1053="","",INDEX(_imp!$F$4:$F$1503,_imp!$C$1053))</f>
        <v/>
      </c>
      <c r="E1051" s="47">
        <f>IF(_imp!$C$1053="","",INDEX(_imp!$G$4:$G$1503,_imp!$C$1053))</f>
        <v/>
      </c>
      <c r="F1051" s="47">
        <f>IF(_imp!$C$1053="","",INDEX(_imp!$H$4:$H$1503,_imp!$C$1053))</f>
        <v/>
      </c>
      <c r="G1051" s="47">
        <f>IF(_imp!$C$1053="","",INDEX(_imp!$I$4:$I$1503,_imp!$C$1053))</f>
        <v/>
      </c>
      <c r="K1051" s="47">
        <f>IF(_imp!$C$1053="","",INDEX(_imp!$J$4:$J$1503,_imp!$C$1053))</f>
        <v/>
      </c>
    </row>
    <row r="1052">
      <c r="A1052" s="47">
        <f>IF(_imp!$C$1054="","",INDEX(_imp!$D$4:$D$1503,_imp!$C$1054))</f>
        <v/>
      </c>
      <c r="B1052" s="47">
        <f>IF(_imp!$C$1054="","",INDEX(_imp!$E$4:$E$1503,_imp!$C$1054))</f>
        <v/>
      </c>
      <c r="C1052" s="47">
        <f>IF(_imp!$C$1054="","",INDEX(_imp!$F$4:$F$1503,_imp!$C$1054))</f>
        <v/>
      </c>
      <c r="E1052" s="47">
        <f>IF(_imp!$C$1054="","",INDEX(_imp!$G$4:$G$1503,_imp!$C$1054))</f>
        <v/>
      </c>
      <c r="F1052" s="47">
        <f>IF(_imp!$C$1054="","",INDEX(_imp!$H$4:$H$1503,_imp!$C$1054))</f>
        <v/>
      </c>
      <c r="G1052" s="47">
        <f>IF(_imp!$C$1054="","",INDEX(_imp!$I$4:$I$1503,_imp!$C$1054))</f>
        <v/>
      </c>
      <c r="K1052" s="47">
        <f>IF(_imp!$C$1054="","",INDEX(_imp!$J$4:$J$1503,_imp!$C$1054))</f>
        <v/>
      </c>
    </row>
    <row r="1053">
      <c r="A1053" s="47">
        <f>IF(_imp!$C$1055="","",INDEX(_imp!$D$4:$D$1503,_imp!$C$1055))</f>
        <v/>
      </c>
      <c r="B1053" s="47">
        <f>IF(_imp!$C$1055="","",INDEX(_imp!$E$4:$E$1503,_imp!$C$1055))</f>
        <v/>
      </c>
      <c r="C1053" s="47">
        <f>IF(_imp!$C$1055="","",INDEX(_imp!$F$4:$F$1503,_imp!$C$1055))</f>
        <v/>
      </c>
      <c r="E1053" s="47">
        <f>IF(_imp!$C$1055="","",INDEX(_imp!$G$4:$G$1503,_imp!$C$1055))</f>
        <v/>
      </c>
      <c r="F1053" s="47">
        <f>IF(_imp!$C$1055="","",INDEX(_imp!$H$4:$H$1503,_imp!$C$1055))</f>
        <v/>
      </c>
      <c r="G1053" s="47">
        <f>IF(_imp!$C$1055="","",INDEX(_imp!$I$4:$I$1503,_imp!$C$1055))</f>
        <v/>
      </c>
      <c r="K1053" s="47">
        <f>IF(_imp!$C$1055="","",INDEX(_imp!$J$4:$J$1503,_imp!$C$1055))</f>
        <v/>
      </c>
    </row>
    <row r="1054">
      <c r="A1054" s="47">
        <f>IF(_imp!$C$1056="","",INDEX(_imp!$D$4:$D$1503,_imp!$C$1056))</f>
        <v/>
      </c>
      <c r="B1054" s="47">
        <f>IF(_imp!$C$1056="","",INDEX(_imp!$E$4:$E$1503,_imp!$C$1056))</f>
        <v/>
      </c>
      <c r="C1054" s="47">
        <f>IF(_imp!$C$1056="","",INDEX(_imp!$F$4:$F$1503,_imp!$C$1056))</f>
        <v/>
      </c>
      <c r="E1054" s="47">
        <f>IF(_imp!$C$1056="","",INDEX(_imp!$G$4:$G$1503,_imp!$C$1056))</f>
        <v/>
      </c>
      <c r="F1054" s="47">
        <f>IF(_imp!$C$1056="","",INDEX(_imp!$H$4:$H$1503,_imp!$C$1056))</f>
        <v/>
      </c>
      <c r="G1054" s="47">
        <f>IF(_imp!$C$1056="","",INDEX(_imp!$I$4:$I$1503,_imp!$C$1056))</f>
        <v/>
      </c>
      <c r="K1054" s="47">
        <f>IF(_imp!$C$1056="","",INDEX(_imp!$J$4:$J$1503,_imp!$C$1056))</f>
        <v/>
      </c>
    </row>
    <row r="1055">
      <c r="A1055" s="47">
        <f>IF(_imp!$C$1057="","",INDEX(_imp!$D$4:$D$1503,_imp!$C$1057))</f>
        <v/>
      </c>
      <c r="B1055" s="47">
        <f>IF(_imp!$C$1057="","",INDEX(_imp!$E$4:$E$1503,_imp!$C$1057))</f>
        <v/>
      </c>
      <c r="C1055" s="47">
        <f>IF(_imp!$C$1057="","",INDEX(_imp!$F$4:$F$1503,_imp!$C$1057))</f>
        <v/>
      </c>
      <c r="E1055" s="47">
        <f>IF(_imp!$C$1057="","",INDEX(_imp!$G$4:$G$1503,_imp!$C$1057))</f>
        <v/>
      </c>
      <c r="F1055" s="47">
        <f>IF(_imp!$C$1057="","",INDEX(_imp!$H$4:$H$1503,_imp!$C$1057))</f>
        <v/>
      </c>
      <c r="G1055" s="47">
        <f>IF(_imp!$C$1057="","",INDEX(_imp!$I$4:$I$1503,_imp!$C$1057))</f>
        <v/>
      </c>
      <c r="K1055" s="47">
        <f>IF(_imp!$C$1057="","",INDEX(_imp!$J$4:$J$1503,_imp!$C$1057))</f>
        <v/>
      </c>
    </row>
    <row r="1056">
      <c r="A1056" s="47">
        <f>IF(_imp!$C$1058="","",INDEX(_imp!$D$4:$D$1503,_imp!$C$1058))</f>
        <v/>
      </c>
      <c r="B1056" s="47">
        <f>IF(_imp!$C$1058="","",INDEX(_imp!$E$4:$E$1503,_imp!$C$1058))</f>
        <v/>
      </c>
      <c r="C1056" s="47">
        <f>IF(_imp!$C$1058="","",INDEX(_imp!$F$4:$F$1503,_imp!$C$1058))</f>
        <v/>
      </c>
      <c r="E1056" s="47">
        <f>IF(_imp!$C$1058="","",INDEX(_imp!$G$4:$G$1503,_imp!$C$1058))</f>
        <v/>
      </c>
      <c r="F1056" s="47">
        <f>IF(_imp!$C$1058="","",INDEX(_imp!$H$4:$H$1503,_imp!$C$1058))</f>
        <v/>
      </c>
      <c r="G1056" s="47">
        <f>IF(_imp!$C$1058="","",INDEX(_imp!$I$4:$I$1503,_imp!$C$1058))</f>
        <v/>
      </c>
      <c r="K1056" s="47">
        <f>IF(_imp!$C$1058="","",INDEX(_imp!$J$4:$J$1503,_imp!$C$1058))</f>
        <v/>
      </c>
    </row>
    <row r="1057">
      <c r="A1057" s="47">
        <f>IF(_imp!$C$1059="","",INDEX(_imp!$D$4:$D$1503,_imp!$C$1059))</f>
        <v/>
      </c>
      <c r="B1057" s="47">
        <f>IF(_imp!$C$1059="","",INDEX(_imp!$E$4:$E$1503,_imp!$C$1059))</f>
        <v/>
      </c>
      <c r="C1057" s="47">
        <f>IF(_imp!$C$1059="","",INDEX(_imp!$F$4:$F$1503,_imp!$C$1059))</f>
        <v/>
      </c>
      <c r="E1057" s="47">
        <f>IF(_imp!$C$1059="","",INDEX(_imp!$G$4:$G$1503,_imp!$C$1059))</f>
        <v/>
      </c>
      <c r="F1057" s="47">
        <f>IF(_imp!$C$1059="","",INDEX(_imp!$H$4:$H$1503,_imp!$C$1059))</f>
        <v/>
      </c>
      <c r="G1057" s="47">
        <f>IF(_imp!$C$1059="","",INDEX(_imp!$I$4:$I$1503,_imp!$C$1059))</f>
        <v/>
      </c>
      <c r="K1057" s="47">
        <f>IF(_imp!$C$1059="","",INDEX(_imp!$J$4:$J$1503,_imp!$C$1059))</f>
        <v/>
      </c>
    </row>
    <row r="1058">
      <c r="A1058" s="47">
        <f>IF(_imp!$C$1060="","",INDEX(_imp!$D$4:$D$1503,_imp!$C$1060))</f>
        <v/>
      </c>
      <c r="B1058" s="47">
        <f>IF(_imp!$C$1060="","",INDEX(_imp!$E$4:$E$1503,_imp!$C$1060))</f>
        <v/>
      </c>
      <c r="C1058" s="47">
        <f>IF(_imp!$C$1060="","",INDEX(_imp!$F$4:$F$1503,_imp!$C$1060))</f>
        <v/>
      </c>
      <c r="E1058" s="47">
        <f>IF(_imp!$C$1060="","",INDEX(_imp!$G$4:$G$1503,_imp!$C$1060))</f>
        <v/>
      </c>
      <c r="F1058" s="47">
        <f>IF(_imp!$C$1060="","",INDEX(_imp!$H$4:$H$1503,_imp!$C$1060))</f>
        <v/>
      </c>
      <c r="G1058" s="47">
        <f>IF(_imp!$C$1060="","",INDEX(_imp!$I$4:$I$1503,_imp!$C$1060))</f>
        <v/>
      </c>
      <c r="K1058" s="47">
        <f>IF(_imp!$C$1060="","",INDEX(_imp!$J$4:$J$1503,_imp!$C$1060))</f>
        <v/>
      </c>
    </row>
    <row r="1059">
      <c r="A1059" s="47">
        <f>IF(_imp!$C$1061="","",INDEX(_imp!$D$4:$D$1503,_imp!$C$1061))</f>
        <v/>
      </c>
      <c r="B1059" s="47">
        <f>IF(_imp!$C$1061="","",INDEX(_imp!$E$4:$E$1503,_imp!$C$1061))</f>
        <v/>
      </c>
      <c r="C1059" s="47">
        <f>IF(_imp!$C$1061="","",INDEX(_imp!$F$4:$F$1503,_imp!$C$1061))</f>
        <v/>
      </c>
      <c r="E1059" s="47">
        <f>IF(_imp!$C$1061="","",INDEX(_imp!$G$4:$G$1503,_imp!$C$1061))</f>
        <v/>
      </c>
      <c r="F1059" s="47">
        <f>IF(_imp!$C$1061="","",INDEX(_imp!$H$4:$H$1503,_imp!$C$1061))</f>
        <v/>
      </c>
      <c r="G1059" s="47">
        <f>IF(_imp!$C$1061="","",INDEX(_imp!$I$4:$I$1503,_imp!$C$1061))</f>
        <v/>
      </c>
      <c r="K1059" s="47">
        <f>IF(_imp!$C$1061="","",INDEX(_imp!$J$4:$J$1503,_imp!$C$1061))</f>
        <v/>
      </c>
    </row>
    <row r="1060">
      <c r="A1060" s="47">
        <f>IF(_imp!$C$1062="","",INDEX(_imp!$D$4:$D$1503,_imp!$C$1062))</f>
        <v/>
      </c>
      <c r="B1060" s="47">
        <f>IF(_imp!$C$1062="","",INDEX(_imp!$E$4:$E$1503,_imp!$C$1062))</f>
        <v/>
      </c>
      <c r="C1060" s="47">
        <f>IF(_imp!$C$1062="","",INDEX(_imp!$F$4:$F$1503,_imp!$C$1062))</f>
        <v/>
      </c>
      <c r="E1060" s="47">
        <f>IF(_imp!$C$1062="","",INDEX(_imp!$G$4:$G$1503,_imp!$C$1062))</f>
        <v/>
      </c>
      <c r="F1060" s="47">
        <f>IF(_imp!$C$1062="","",INDEX(_imp!$H$4:$H$1503,_imp!$C$1062))</f>
        <v/>
      </c>
      <c r="G1060" s="47">
        <f>IF(_imp!$C$1062="","",INDEX(_imp!$I$4:$I$1503,_imp!$C$1062))</f>
        <v/>
      </c>
      <c r="K1060" s="47">
        <f>IF(_imp!$C$1062="","",INDEX(_imp!$J$4:$J$1503,_imp!$C$1062))</f>
        <v/>
      </c>
    </row>
    <row r="1061">
      <c r="A1061" s="47">
        <f>IF(_imp!$C$1063="","",INDEX(_imp!$D$4:$D$1503,_imp!$C$1063))</f>
        <v/>
      </c>
      <c r="B1061" s="47">
        <f>IF(_imp!$C$1063="","",INDEX(_imp!$E$4:$E$1503,_imp!$C$1063))</f>
        <v/>
      </c>
      <c r="C1061" s="47">
        <f>IF(_imp!$C$1063="","",INDEX(_imp!$F$4:$F$1503,_imp!$C$1063))</f>
        <v/>
      </c>
      <c r="E1061" s="47">
        <f>IF(_imp!$C$1063="","",INDEX(_imp!$G$4:$G$1503,_imp!$C$1063))</f>
        <v/>
      </c>
      <c r="F1061" s="47">
        <f>IF(_imp!$C$1063="","",INDEX(_imp!$H$4:$H$1503,_imp!$C$1063))</f>
        <v/>
      </c>
      <c r="G1061" s="47">
        <f>IF(_imp!$C$1063="","",INDEX(_imp!$I$4:$I$1503,_imp!$C$1063))</f>
        <v/>
      </c>
      <c r="K1061" s="47">
        <f>IF(_imp!$C$1063="","",INDEX(_imp!$J$4:$J$1503,_imp!$C$1063))</f>
        <v/>
      </c>
    </row>
    <row r="1062">
      <c r="A1062" s="47">
        <f>IF(_imp!$C$1064="","",INDEX(_imp!$D$4:$D$1503,_imp!$C$1064))</f>
        <v/>
      </c>
      <c r="B1062" s="47">
        <f>IF(_imp!$C$1064="","",INDEX(_imp!$E$4:$E$1503,_imp!$C$1064))</f>
        <v/>
      </c>
      <c r="C1062" s="47">
        <f>IF(_imp!$C$1064="","",INDEX(_imp!$F$4:$F$1503,_imp!$C$1064))</f>
        <v/>
      </c>
      <c r="E1062" s="47">
        <f>IF(_imp!$C$1064="","",INDEX(_imp!$G$4:$G$1503,_imp!$C$1064))</f>
        <v/>
      </c>
      <c r="F1062" s="47">
        <f>IF(_imp!$C$1064="","",INDEX(_imp!$H$4:$H$1503,_imp!$C$1064))</f>
        <v/>
      </c>
      <c r="G1062" s="47">
        <f>IF(_imp!$C$1064="","",INDEX(_imp!$I$4:$I$1503,_imp!$C$1064))</f>
        <v/>
      </c>
      <c r="K1062" s="47">
        <f>IF(_imp!$C$1064="","",INDEX(_imp!$J$4:$J$1503,_imp!$C$1064))</f>
        <v/>
      </c>
    </row>
    <row r="1063">
      <c r="A1063" s="47">
        <f>IF(_imp!$C$1065="","",INDEX(_imp!$D$4:$D$1503,_imp!$C$1065))</f>
        <v/>
      </c>
      <c r="B1063" s="47">
        <f>IF(_imp!$C$1065="","",INDEX(_imp!$E$4:$E$1503,_imp!$C$1065))</f>
        <v/>
      </c>
      <c r="C1063" s="47">
        <f>IF(_imp!$C$1065="","",INDEX(_imp!$F$4:$F$1503,_imp!$C$1065))</f>
        <v/>
      </c>
      <c r="E1063" s="47">
        <f>IF(_imp!$C$1065="","",INDEX(_imp!$G$4:$G$1503,_imp!$C$1065))</f>
        <v/>
      </c>
      <c r="F1063" s="47">
        <f>IF(_imp!$C$1065="","",INDEX(_imp!$H$4:$H$1503,_imp!$C$1065))</f>
        <v/>
      </c>
      <c r="G1063" s="47">
        <f>IF(_imp!$C$1065="","",INDEX(_imp!$I$4:$I$1503,_imp!$C$1065))</f>
        <v/>
      </c>
      <c r="K1063" s="47">
        <f>IF(_imp!$C$1065="","",INDEX(_imp!$J$4:$J$1503,_imp!$C$1065))</f>
        <v/>
      </c>
    </row>
    <row r="1064">
      <c r="A1064" s="47">
        <f>IF(_imp!$C$1066="","",INDEX(_imp!$D$4:$D$1503,_imp!$C$1066))</f>
        <v/>
      </c>
      <c r="B1064" s="47">
        <f>IF(_imp!$C$1066="","",INDEX(_imp!$E$4:$E$1503,_imp!$C$1066))</f>
        <v/>
      </c>
      <c r="C1064" s="47">
        <f>IF(_imp!$C$1066="","",INDEX(_imp!$F$4:$F$1503,_imp!$C$1066))</f>
        <v/>
      </c>
      <c r="E1064" s="47">
        <f>IF(_imp!$C$1066="","",INDEX(_imp!$G$4:$G$1503,_imp!$C$1066))</f>
        <v/>
      </c>
      <c r="F1064" s="47">
        <f>IF(_imp!$C$1066="","",INDEX(_imp!$H$4:$H$1503,_imp!$C$1066))</f>
        <v/>
      </c>
      <c r="G1064" s="47">
        <f>IF(_imp!$C$1066="","",INDEX(_imp!$I$4:$I$1503,_imp!$C$1066))</f>
        <v/>
      </c>
      <c r="K1064" s="47">
        <f>IF(_imp!$C$1066="","",INDEX(_imp!$J$4:$J$1503,_imp!$C$1066))</f>
        <v/>
      </c>
    </row>
    <row r="1065">
      <c r="A1065" s="47">
        <f>IF(_imp!$C$1067="","",INDEX(_imp!$D$4:$D$1503,_imp!$C$1067))</f>
        <v/>
      </c>
      <c r="B1065" s="47">
        <f>IF(_imp!$C$1067="","",INDEX(_imp!$E$4:$E$1503,_imp!$C$1067))</f>
        <v/>
      </c>
      <c r="C1065" s="47">
        <f>IF(_imp!$C$1067="","",INDEX(_imp!$F$4:$F$1503,_imp!$C$1067))</f>
        <v/>
      </c>
      <c r="E1065" s="47">
        <f>IF(_imp!$C$1067="","",INDEX(_imp!$G$4:$G$1503,_imp!$C$1067))</f>
        <v/>
      </c>
      <c r="F1065" s="47">
        <f>IF(_imp!$C$1067="","",INDEX(_imp!$H$4:$H$1503,_imp!$C$1067))</f>
        <v/>
      </c>
      <c r="G1065" s="47">
        <f>IF(_imp!$C$1067="","",INDEX(_imp!$I$4:$I$1503,_imp!$C$1067))</f>
        <v/>
      </c>
      <c r="K1065" s="47">
        <f>IF(_imp!$C$1067="","",INDEX(_imp!$J$4:$J$1503,_imp!$C$1067))</f>
        <v/>
      </c>
    </row>
    <row r="1066">
      <c r="A1066" s="47">
        <f>IF(_imp!$C$1068="","",INDEX(_imp!$D$4:$D$1503,_imp!$C$1068))</f>
        <v/>
      </c>
      <c r="B1066" s="47">
        <f>IF(_imp!$C$1068="","",INDEX(_imp!$E$4:$E$1503,_imp!$C$1068))</f>
        <v/>
      </c>
      <c r="C1066" s="47">
        <f>IF(_imp!$C$1068="","",INDEX(_imp!$F$4:$F$1503,_imp!$C$1068))</f>
        <v/>
      </c>
      <c r="E1066" s="47">
        <f>IF(_imp!$C$1068="","",INDEX(_imp!$G$4:$G$1503,_imp!$C$1068))</f>
        <v/>
      </c>
      <c r="F1066" s="47">
        <f>IF(_imp!$C$1068="","",INDEX(_imp!$H$4:$H$1503,_imp!$C$1068))</f>
        <v/>
      </c>
      <c r="G1066" s="47">
        <f>IF(_imp!$C$1068="","",INDEX(_imp!$I$4:$I$1503,_imp!$C$1068))</f>
        <v/>
      </c>
      <c r="K1066" s="47">
        <f>IF(_imp!$C$1068="","",INDEX(_imp!$J$4:$J$1503,_imp!$C$1068))</f>
        <v/>
      </c>
    </row>
    <row r="1067">
      <c r="A1067" s="47">
        <f>IF(_imp!$C$1069="","",INDEX(_imp!$D$4:$D$1503,_imp!$C$1069))</f>
        <v/>
      </c>
      <c r="B1067" s="47">
        <f>IF(_imp!$C$1069="","",INDEX(_imp!$E$4:$E$1503,_imp!$C$1069))</f>
        <v/>
      </c>
      <c r="C1067" s="47">
        <f>IF(_imp!$C$1069="","",INDEX(_imp!$F$4:$F$1503,_imp!$C$1069))</f>
        <v/>
      </c>
      <c r="E1067" s="47">
        <f>IF(_imp!$C$1069="","",INDEX(_imp!$G$4:$G$1503,_imp!$C$1069))</f>
        <v/>
      </c>
      <c r="F1067" s="47">
        <f>IF(_imp!$C$1069="","",INDEX(_imp!$H$4:$H$1503,_imp!$C$1069))</f>
        <v/>
      </c>
      <c r="G1067" s="47">
        <f>IF(_imp!$C$1069="","",INDEX(_imp!$I$4:$I$1503,_imp!$C$1069))</f>
        <v/>
      </c>
      <c r="K1067" s="47">
        <f>IF(_imp!$C$1069="","",INDEX(_imp!$J$4:$J$1503,_imp!$C$1069))</f>
        <v/>
      </c>
    </row>
    <row r="1068">
      <c r="A1068" s="47">
        <f>IF(_imp!$C$1070="","",INDEX(_imp!$D$4:$D$1503,_imp!$C$1070))</f>
        <v/>
      </c>
      <c r="B1068" s="47">
        <f>IF(_imp!$C$1070="","",INDEX(_imp!$E$4:$E$1503,_imp!$C$1070))</f>
        <v/>
      </c>
      <c r="C1068" s="47">
        <f>IF(_imp!$C$1070="","",INDEX(_imp!$F$4:$F$1503,_imp!$C$1070))</f>
        <v/>
      </c>
      <c r="E1068" s="47">
        <f>IF(_imp!$C$1070="","",INDEX(_imp!$G$4:$G$1503,_imp!$C$1070))</f>
        <v/>
      </c>
      <c r="F1068" s="47">
        <f>IF(_imp!$C$1070="","",INDEX(_imp!$H$4:$H$1503,_imp!$C$1070))</f>
        <v/>
      </c>
      <c r="G1068" s="47">
        <f>IF(_imp!$C$1070="","",INDEX(_imp!$I$4:$I$1503,_imp!$C$1070))</f>
        <v/>
      </c>
      <c r="K1068" s="47">
        <f>IF(_imp!$C$1070="","",INDEX(_imp!$J$4:$J$1503,_imp!$C$1070))</f>
        <v/>
      </c>
    </row>
    <row r="1069">
      <c r="A1069" s="47">
        <f>IF(_imp!$C$1071="","",INDEX(_imp!$D$4:$D$1503,_imp!$C$1071))</f>
        <v/>
      </c>
      <c r="B1069" s="47">
        <f>IF(_imp!$C$1071="","",INDEX(_imp!$E$4:$E$1503,_imp!$C$1071))</f>
        <v/>
      </c>
      <c r="C1069" s="47">
        <f>IF(_imp!$C$1071="","",INDEX(_imp!$F$4:$F$1503,_imp!$C$1071))</f>
        <v/>
      </c>
      <c r="E1069" s="47">
        <f>IF(_imp!$C$1071="","",INDEX(_imp!$G$4:$G$1503,_imp!$C$1071))</f>
        <v/>
      </c>
      <c r="F1069" s="47">
        <f>IF(_imp!$C$1071="","",INDEX(_imp!$H$4:$H$1503,_imp!$C$1071))</f>
        <v/>
      </c>
      <c r="G1069" s="47">
        <f>IF(_imp!$C$1071="","",INDEX(_imp!$I$4:$I$1503,_imp!$C$1071))</f>
        <v/>
      </c>
      <c r="K1069" s="47">
        <f>IF(_imp!$C$1071="","",INDEX(_imp!$J$4:$J$1503,_imp!$C$1071))</f>
        <v/>
      </c>
    </row>
    <row r="1070">
      <c r="A1070" s="47">
        <f>IF(_imp!$C$1072="","",INDEX(_imp!$D$4:$D$1503,_imp!$C$1072))</f>
        <v/>
      </c>
      <c r="B1070" s="47">
        <f>IF(_imp!$C$1072="","",INDEX(_imp!$E$4:$E$1503,_imp!$C$1072))</f>
        <v/>
      </c>
      <c r="C1070" s="47">
        <f>IF(_imp!$C$1072="","",INDEX(_imp!$F$4:$F$1503,_imp!$C$1072))</f>
        <v/>
      </c>
      <c r="E1070" s="47">
        <f>IF(_imp!$C$1072="","",INDEX(_imp!$G$4:$G$1503,_imp!$C$1072))</f>
        <v/>
      </c>
      <c r="F1070" s="47">
        <f>IF(_imp!$C$1072="","",INDEX(_imp!$H$4:$H$1503,_imp!$C$1072))</f>
        <v/>
      </c>
      <c r="G1070" s="47">
        <f>IF(_imp!$C$1072="","",INDEX(_imp!$I$4:$I$1503,_imp!$C$1072))</f>
        <v/>
      </c>
      <c r="K1070" s="47">
        <f>IF(_imp!$C$1072="","",INDEX(_imp!$J$4:$J$1503,_imp!$C$1072))</f>
        <v/>
      </c>
    </row>
    <row r="1071">
      <c r="A1071" s="47">
        <f>IF(_imp!$C$1073="","",INDEX(_imp!$D$4:$D$1503,_imp!$C$1073))</f>
        <v/>
      </c>
      <c r="B1071" s="47">
        <f>IF(_imp!$C$1073="","",INDEX(_imp!$E$4:$E$1503,_imp!$C$1073))</f>
        <v/>
      </c>
      <c r="C1071" s="47">
        <f>IF(_imp!$C$1073="","",INDEX(_imp!$F$4:$F$1503,_imp!$C$1073))</f>
        <v/>
      </c>
      <c r="E1071" s="47">
        <f>IF(_imp!$C$1073="","",INDEX(_imp!$G$4:$G$1503,_imp!$C$1073))</f>
        <v/>
      </c>
      <c r="F1071" s="47">
        <f>IF(_imp!$C$1073="","",INDEX(_imp!$H$4:$H$1503,_imp!$C$1073))</f>
        <v/>
      </c>
      <c r="G1071" s="47">
        <f>IF(_imp!$C$1073="","",INDEX(_imp!$I$4:$I$1503,_imp!$C$1073))</f>
        <v/>
      </c>
      <c r="K1071" s="47">
        <f>IF(_imp!$C$1073="","",INDEX(_imp!$J$4:$J$1503,_imp!$C$1073))</f>
        <v/>
      </c>
    </row>
    <row r="1072">
      <c r="A1072" s="47">
        <f>IF(_imp!$C$1074="","",INDEX(_imp!$D$4:$D$1503,_imp!$C$1074))</f>
        <v/>
      </c>
      <c r="B1072" s="47">
        <f>IF(_imp!$C$1074="","",INDEX(_imp!$E$4:$E$1503,_imp!$C$1074))</f>
        <v/>
      </c>
      <c r="C1072" s="47">
        <f>IF(_imp!$C$1074="","",INDEX(_imp!$F$4:$F$1503,_imp!$C$1074))</f>
        <v/>
      </c>
      <c r="E1072" s="47">
        <f>IF(_imp!$C$1074="","",INDEX(_imp!$G$4:$G$1503,_imp!$C$1074))</f>
        <v/>
      </c>
      <c r="F1072" s="47">
        <f>IF(_imp!$C$1074="","",INDEX(_imp!$H$4:$H$1503,_imp!$C$1074))</f>
        <v/>
      </c>
      <c r="G1072" s="47">
        <f>IF(_imp!$C$1074="","",INDEX(_imp!$I$4:$I$1503,_imp!$C$1074))</f>
        <v/>
      </c>
      <c r="K1072" s="47">
        <f>IF(_imp!$C$1074="","",INDEX(_imp!$J$4:$J$1503,_imp!$C$1074))</f>
        <v/>
      </c>
    </row>
    <row r="1073">
      <c r="A1073" s="47">
        <f>IF(_imp!$C$1075="","",INDEX(_imp!$D$4:$D$1503,_imp!$C$1075))</f>
        <v/>
      </c>
      <c r="B1073" s="47">
        <f>IF(_imp!$C$1075="","",INDEX(_imp!$E$4:$E$1503,_imp!$C$1075))</f>
        <v/>
      </c>
      <c r="C1073" s="47">
        <f>IF(_imp!$C$1075="","",INDEX(_imp!$F$4:$F$1503,_imp!$C$1075))</f>
        <v/>
      </c>
      <c r="E1073" s="47">
        <f>IF(_imp!$C$1075="","",INDEX(_imp!$G$4:$G$1503,_imp!$C$1075))</f>
        <v/>
      </c>
      <c r="F1073" s="47">
        <f>IF(_imp!$C$1075="","",INDEX(_imp!$H$4:$H$1503,_imp!$C$1075))</f>
        <v/>
      </c>
      <c r="G1073" s="47">
        <f>IF(_imp!$C$1075="","",INDEX(_imp!$I$4:$I$1503,_imp!$C$1075))</f>
        <v/>
      </c>
      <c r="K1073" s="47">
        <f>IF(_imp!$C$1075="","",INDEX(_imp!$J$4:$J$1503,_imp!$C$1075))</f>
        <v/>
      </c>
    </row>
    <row r="1074">
      <c r="A1074" s="47">
        <f>IF(_imp!$C$1076="","",INDEX(_imp!$D$4:$D$1503,_imp!$C$1076))</f>
        <v/>
      </c>
      <c r="B1074" s="47">
        <f>IF(_imp!$C$1076="","",INDEX(_imp!$E$4:$E$1503,_imp!$C$1076))</f>
        <v/>
      </c>
      <c r="C1074" s="47">
        <f>IF(_imp!$C$1076="","",INDEX(_imp!$F$4:$F$1503,_imp!$C$1076))</f>
        <v/>
      </c>
      <c r="E1074" s="47">
        <f>IF(_imp!$C$1076="","",INDEX(_imp!$G$4:$G$1503,_imp!$C$1076))</f>
        <v/>
      </c>
      <c r="F1074" s="47">
        <f>IF(_imp!$C$1076="","",INDEX(_imp!$H$4:$H$1503,_imp!$C$1076))</f>
        <v/>
      </c>
      <c r="G1074" s="47">
        <f>IF(_imp!$C$1076="","",INDEX(_imp!$I$4:$I$1503,_imp!$C$1076))</f>
        <v/>
      </c>
      <c r="K1074" s="47">
        <f>IF(_imp!$C$1076="","",INDEX(_imp!$J$4:$J$1503,_imp!$C$1076))</f>
        <v/>
      </c>
    </row>
    <row r="1075">
      <c r="A1075" s="47">
        <f>IF(_imp!$C$1077="","",INDEX(_imp!$D$4:$D$1503,_imp!$C$1077))</f>
        <v/>
      </c>
      <c r="B1075" s="47">
        <f>IF(_imp!$C$1077="","",INDEX(_imp!$E$4:$E$1503,_imp!$C$1077))</f>
        <v/>
      </c>
      <c r="C1075" s="47">
        <f>IF(_imp!$C$1077="","",INDEX(_imp!$F$4:$F$1503,_imp!$C$1077))</f>
        <v/>
      </c>
      <c r="E1075" s="47">
        <f>IF(_imp!$C$1077="","",INDEX(_imp!$G$4:$G$1503,_imp!$C$1077))</f>
        <v/>
      </c>
      <c r="F1075" s="47">
        <f>IF(_imp!$C$1077="","",INDEX(_imp!$H$4:$H$1503,_imp!$C$1077))</f>
        <v/>
      </c>
      <c r="G1075" s="47">
        <f>IF(_imp!$C$1077="","",INDEX(_imp!$I$4:$I$1503,_imp!$C$1077))</f>
        <v/>
      </c>
      <c r="K1075" s="47">
        <f>IF(_imp!$C$1077="","",INDEX(_imp!$J$4:$J$1503,_imp!$C$1077))</f>
        <v/>
      </c>
    </row>
    <row r="1076">
      <c r="A1076" s="47">
        <f>IF(_imp!$C$1078="","",INDEX(_imp!$D$4:$D$1503,_imp!$C$1078))</f>
        <v/>
      </c>
      <c r="B1076" s="47">
        <f>IF(_imp!$C$1078="","",INDEX(_imp!$E$4:$E$1503,_imp!$C$1078))</f>
        <v/>
      </c>
      <c r="C1076" s="47">
        <f>IF(_imp!$C$1078="","",INDEX(_imp!$F$4:$F$1503,_imp!$C$1078))</f>
        <v/>
      </c>
      <c r="E1076" s="47">
        <f>IF(_imp!$C$1078="","",INDEX(_imp!$G$4:$G$1503,_imp!$C$1078))</f>
        <v/>
      </c>
      <c r="F1076" s="47">
        <f>IF(_imp!$C$1078="","",INDEX(_imp!$H$4:$H$1503,_imp!$C$1078))</f>
        <v/>
      </c>
      <c r="G1076" s="47">
        <f>IF(_imp!$C$1078="","",INDEX(_imp!$I$4:$I$1503,_imp!$C$1078))</f>
        <v/>
      </c>
      <c r="K1076" s="47">
        <f>IF(_imp!$C$1078="","",INDEX(_imp!$J$4:$J$1503,_imp!$C$1078))</f>
        <v/>
      </c>
    </row>
    <row r="1077">
      <c r="A1077" s="47">
        <f>IF(_imp!$C$1079="","",INDEX(_imp!$D$4:$D$1503,_imp!$C$1079))</f>
        <v/>
      </c>
      <c r="B1077" s="47">
        <f>IF(_imp!$C$1079="","",INDEX(_imp!$E$4:$E$1503,_imp!$C$1079))</f>
        <v/>
      </c>
      <c r="C1077" s="47">
        <f>IF(_imp!$C$1079="","",INDEX(_imp!$F$4:$F$1503,_imp!$C$1079))</f>
        <v/>
      </c>
      <c r="E1077" s="47">
        <f>IF(_imp!$C$1079="","",INDEX(_imp!$G$4:$G$1503,_imp!$C$1079))</f>
        <v/>
      </c>
      <c r="F1077" s="47">
        <f>IF(_imp!$C$1079="","",INDEX(_imp!$H$4:$H$1503,_imp!$C$1079))</f>
        <v/>
      </c>
      <c r="G1077" s="47">
        <f>IF(_imp!$C$1079="","",INDEX(_imp!$I$4:$I$1503,_imp!$C$1079))</f>
        <v/>
      </c>
      <c r="K1077" s="47">
        <f>IF(_imp!$C$1079="","",INDEX(_imp!$J$4:$J$1503,_imp!$C$1079))</f>
        <v/>
      </c>
    </row>
    <row r="1078">
      <c r="A1078" s="47">
        <f>IF(_imp!$C$1080="","",INDEX(_imp!$D$4:$D$1503,_imp!$C$1080))</f>
        <v/>
      </c>
      <c r="B1078" s="47">
        <f>IF(_imp!$C$1080="","",INDEX(_imp!$E$4:$E$1503,_imp!$C$1080))</f>
        <v/>
      </c>
      <c r="C1078" s="47">
        <f>IF(_imp!$C$1080="","",INDEX(_imp!$F$4:$F$1503,_imp!$C$1080))</f>
        <v/>
      </c>
      <c r="E1078" s="47">
        <f>IF(_imp!$C$1080="","",INDEX(_imp!$G$4:$G$1503,_imp!$C$1080))</f>
        <v/>
      </c>
      <c r="F1078" s="47">
        <f>IF(_imp!$C$1080="","",INDEX(_imp!$H$4:$H$1503,_imp!$C$1080))</f>
        <v/>
      </c>
      <c r="G1078" s="47">
        <f>IF(_imp!$C$1080="","",INDEX(_imp!$I$4:$I$1503,_imp!$C$1080))</f>
        <v/>
      </c>
      <c r="K1078" s="47">
        <f>IF(_imp!$C$1080="","",INDEX(_imp!$J$4:$J$1503,_imp!$C$1080))</f>
        <v/>
      </c>
    </row>
    <row r="1079">
      <c r="A1079" s="47">
        <f>IF(_imp!$C$1081="","",INDEX(_imp!$D$4:$D$1503,_imp!$C$1081))</f>
        <v/>
      </c>
      <c r="B1079" s="47">
        <f>IF(_imp!$C$1081="","",INDEX(_imp!$E$4:$E$1503,_imp!$C$1081))</f>
        <v/>
      </c>
      <c r="C1079" s="47">
        <f>IF(_imp!$C$1081="","",INDEX(_imp!$F$4:$F$1503,_imp!$C$1081))</f>
        <v/>
      </c>
      <c r="E1079" s="47">
        <f>IF(_imp!$C$1081="","",INDEX(_imp!$G$4:$G$1503,_imp!$C$1081))</f>
        <v/>
      </c>
      <c r="F1079" s="47">
        <f>IF(_imp!$C$1081="","",INDEX(_imp!$H$4:$H$1503,_imp!$C$1081))</f>
        <v/>
      </c>
      <c r="G1079" s="47">
        <f>IF(_imp!$C$1081="","",INDEX(_imp!$I$4:$I$1503,_imp!$C$1081))</f>
        <v/>
      </c>
      <c r="K1079" s="47">
        <f>IF(_imp!$C$1081="","",INDEX(_imp!$J$4:$J$1503,_imp!$C$1081))</f>
        <v/>
      </c>
    </row>
    <row r="1080">
      <c r="A1080" s="47">
        <f>IF(_imp!$C$1082="","",INDEX(_imp!$D$4:$D$1503,_imp!$C$1082))</f>
        <v/>
      </c>
      <c r="B1080" s="47">
        <f>IF(_imp!$C$1082="","",INDEX(_imp!$E$4:$E$1503,_imp!$C$1082))</f>
        <v/>
      </c>
      <c r="C1080" s="47">
        <f>IF(_imp!$C$1082="","",INDEX(_imp!$F$4:$F$1503,_imp!$C$1082))</f>
        <v/>
      </c>
      <c r="E1080" s="47">
        <f>IF(_imp!$C$1082="","",INDEX(_imp!$G$4:$G$1503,_imp!$C$1082))</f>
        <v/>
      </c>
      <c r="F1080" s="47">
        <f>IF(_imp!$C$1082="","",INDEX(_imp!$H$4:$H$1503,_imp!$C$1082))</f>
        <v/>
      </c>
      <c r="G1080" s="47">
        <f>IF(_imp!$C$1082="","",INDEX(_imp!$I$4:$I$1503,_imp!$C$1082))</f>
        <v/>
      </c>
      <c r="K1080" s="47">
        <f>IF(_imp!$C$1082="","",INDEX(_imp!$J$4:$J$1503,_imp!$C$1082))</f>
        <v/>
      </c>
    </row>
    <row r="1081">
      <c r="A1081" s="47">
        <f>IF(_imp!$C$1083="","",INDEX(_imp!$D$4:$D$1503,_imp!$C$1083))</f>
        <v/>
      </c>
      <c r="B1081" s="47">
        <f>IF(_imp!$C$1083="","",INDEX(_imp!$E$4:$E$1503,_imp!$C$1083))</f>
        <v/>
      </c>
      <c r="C1081" s="47">
        <f>IF(_imp!$C$1083="","",INDEX(_imp!$F$4:$F$1503,_imp!$C$1083))</f>
        <v/>
      </c>
      <c r="E1081" s="47">
        <f>IF(_imp!$C$1083="","",INDEX(_imp!$G$4:$G$1503,_imp!$C$1083))</f>
        <v/>
      </c>
      <c r="F1081" s="47">
        <f>IF(_imp!$C$1083="","",INDEX(_imp!$H$4:$H$1503,_imp!$C$1083))</f>
        <v/>
      </c>
      <c r="G1081" s="47">
        <f>IF(_imp!$C$1083="","",INDEX(_imp!$I$4:$I$1503,_imp!$C$1083))</f>
        <v/>
      </c>
      <c r="K1081" s="47">
        <f>IF(_imp!$C$1083="","",INDEX(_imp!$J$4:$J$1503,_imp!$C$1083))</f>
        <v/>
      </c>
    </row>
    <row r="1082">
      <c r="A1082" s="47">
        <f>IF(_imp!$C$1084="","",INDEX(_imp!$D$4:$D$1503,_imp!$C$1084))</f>
        <v/>
      </c>
      <c r="B1082" s="47">
        <f>IF(_imp!$C$1084="","",INDEX(_imp!$E$4:$E$1503,_imp!$C$1084))</f>
        <v/>
      </c>
      <c r="C1082" s="47">
        <f>IF(_imp!$C$1084="","",INDEX(_imp!$F$4:$F$1503,_imp!$C$1084))</f>
        <v/>
      </c>
      <c r="E1082" s="47">
        <f>IF(_imp!$C$1084="","",INDEX(_imp!$G$4:$G$1503,_imp!$C$1084))</f>
        <v/>
      </c>
      <c r="F1082" s="47">
        <f>IF(_imp!$C$1084="","",INDEX(_imp!$H$4:$H$1503,_imp!$C$1084))</f>
        <v/>
      </c>
      <c r="G1082" s="47">
        <f>IF(_imp!$C$1084="","",INDEX(_imp!$I$4:$I$1503,_imp!$C$1084))</f>
        <v/>
      </c>
      <c r="K1082" s="47">
        <f>IF(_imp!$C$1084="","",INDEX(_imp!$J$4:$J$1503,_imp!$C$1084))</f>
        <v/>
      </c>
    </row>
    <row r="1083">
      <c r="A1083" s="47">
        <f>IF(_imp!$C$1085="","",INDEX(_imp!$D$4:$D$1503,_imp!$C$1085))</f>
        <v/>
      </c>
      <c r="B1083" s="47">
        <f>IF(_imp!$C$1085="","",INDEX(_imp!$E$4:$E$1503,_imp!$C$1085))</f>
        <v/>
      </c>
      <c r="C1083" s="47">
        <f>IF(_imp!$C$1085="","",INDEX(_imp!$F$4:$F$1503,_imp!$C$1085))</f>
        <v/>
      </c>
      <c r="E1083" s="47">
        <f>IF(_imp!$C$1085="","",INDEX(_imp!$G$4:$G$1503,_imp!$C$1085))</f>
        <v/>
      </c>
      <c r="F1083" s="47">
        <f>IF(_imp!$C$1085="","",INDEX(_imp!$H$4:$H$1503,_imp!$C$1085))</f>
        <v/>
      </c>
      <c r="G1083" s="47">
        <f>IF(_imp!$C$1085="","",INDEX(_imp!$I$4:$I$1503,_imp!$C$1085))</f>
        <v/>
      </c>
      <c r="K1083" s="47">
        <f>IF(_imp!$C$1085="","",INDEX(_imp!$J$4:$J$1503,_imp!$C$1085))</f>
        <v/>
      </c>
    </row>
    <row r="1084">
      <c r="A1084" s="47">
        <f>IF(_imp!$C$1086="","",INDEX(_imp!$D$4:$D$1503,_imp!$C$1086))</f>
        <v/>
      </c>
      <c r="B1084" s="47">
        <f>IF(_imp!$C$1086="","",INDEX(_imp!$E$4:$E$1503,_imp!$C$1086))</f>
        <v/>
      </c>
      <c r="C1084" s="47">
        <f>IF(_imp!$C$1086="","",INDEX(_imp!$F$4:$F$1503,_imp!$C$1086))</f>
        <v/>
      </c>
      <c r="E1084" s="47">
        <f>IF(_imp!$C$1086="","",INDEX(_imp!$G$4:$G$1503,_imp!$C$1086))</f>
        <v/>
      </c>
      <c r="F1084" s="47">
        <f>IF(_imp!$C$1086="","",INDEX(_imp!$H$4:$H$1503,_imp!$C$1086))</f>
        <v/>
      </c>
      <c r="G1084" s="47">
        <f>IF(_imp!$C$1086="","",INDEX(_imp!$I$4:$I$1503,_imp!$C$1086))</f>
        <v/>
      </c>
      <c r="K1084" s="47">
        <f>IF(_imp!$C$1086="","",INDEX(_imp!$J$4:$J$1503,_imp!$C$1086))</f>
        <v/>
      </c>
    </row>
    <row r="1085">
      <c r="A1085" s="47">
        <f>IF(_imp!$C$1087="","",INDEX(_imp!$D$4:$D$1503,_imp!$C$1087))</f>
        <v/>
      </c>
      <c r="B1085" s="47">
        <f>IF(_imp!$C$1087="","",INDEX(_imp!$E$4:$E$1503,_imp!$C$1087))</f>
        <v/>
      </c>
      <c r="C1085" s="47">
        <f>IF(_imp!$C$1087="","",INDEX(_imp!$F$4:$F$1503,_imp!$C$1087))</f>
        <v/>
      </c>
      <c r="E1085" s="47">
        <f>IF(_imp!$C$1087="","",INDEX(_imp!$G$4:$G$1503,_imp!$C$1087))</f>
        <v/>
      </c>
      <c r="F1085" s="47">
        <f>IF(_imp!$C$1087="","",INDEX(_imp!$H$4:$H$1503,_imp!$C$1087))</f>
        <v/>
      </c>
      <c r="G1085" s="47">
        <f>IF(_imp!$C$1087="","",INDEX(_imp!$I$4:$I$1503,_imp!$C$1087))</f>
        <v/>
      </c>
      <c r="K1085" s="47">
        <f>IF(_imp!$C$1087="","",INDEX(_imp!$J$4:$J$1503,_imp!$C$1087))</f>
        <v/>
      </c>
    </row>
    <row r="1086">
      <c r="A1086" s="47">
        <f>IF(_imp!$C$1088="","",INDEX(_imp!$D$4:$D$1503,_imp!$C$1088))</f>
        <v/>
      </c>
      <c r="B1086" s="47">
        <f>IF(_imp!$C$1088="","",INDEX(_imp!$E$4:$E$1503,_imp!$C$1088))</f>
        <v/>
      </c>
      <c r="C1086" s="47">
        <f>IF(_imp!$C$1088="","",INDEX(_imp!$F$4:$F$1503,_imp!$C$1088))</f>
        <v/>
      </c>
      <c r="E1086" s="47">
        <f>IF(_imp!$C$1088="","",INDEX(_imp!$G$4:$G$1503,_imp!$C$1088))</f>
        <v/>
      </c>
      <c r="F1086" s="47">
        <f>IF(_imp!$C$1088="","",INDEX(_imp!$H$4:$H$1503,_imp!$C$1088))</f>
        <v/>
      </c>
      <c r="G1086" s="47">
        <f>IF(_imp!$C$1088="","",INDEX(_imp!$I$4:$I$1503,_imp!$C$1088))</f>
        <v/>
      </c>
      <c r="K1086" s="47">
        <f>IF(_imp!$C$1088="","",INDEX(_imp!$J$4:$J$1503,_imp!$C$1088))</f>
        <v/>
      </c>
    </row>
    <row r="1087">
      <c r="A1087" s="47">
        <f>IF(_imp!$C$1089="","",INDEX(_imp!$D$4:$D$1503,_imp!$C$1089))</f>
        <v/>
      </c>
      <c r="B1087" s="47">
        <f>IF(_imp!$C$1089="","",INDEX(_imp!$E$4:$E$1503,_imp!$C$1089))</f>
        <v/>
      </c>
      <c r="C1087" s="47">
        <f>IF(_imp!$C$1089="","",INDEX(_imp!$F$4:$F$1503,_imp!$C$1089))</f>
        <v/>
      </c>
      <c r="E1087" s="47">
        <f>IF(_imp!$C$1089="","",INDEX(_imp!$G$4:$G$1503,_imp!$C$1089))</f>
        <v/>
      </c>
      <c r="F1087" s="47">
        <f>IF(_imp!$C$1089="","",INDEX(_imp!$H$4:$H$1503,_imp!$C$1089))</f>
        <v/>
      </c>
      <c r="G1087" s="47">
        <f>IF(_imp!$C$1089="","",INDEX(_imp!$I$4:$I$1503,_imp!$C$1089))</f>
        <v/>
      </c>
      <c r="K1087" s="47">
        <f>IF(_imp!$C$1089="","",INDEX(_imp!$J$4:$J$1503,_imp!$C$1089))</f>
        <v/>
      </c>
    </row>
    <row r="1088">
      <c r="A1088" s="47">
        <f>IF(_imp!$C$1090="","",INDEX(_imp!$D$4:$D$1503,_imp!$C$1090))</f>
        <v/>
      </c>
      <c r="B1088" s="47">
        <f>IF(_imp!$C$1090="","",INDEX(_imp!$E$4:$E$1503,_imp!$C$1090))</f>
        <v/>
      </c>
      <c r="C1088" s="47">
        <f>IF(_imp!$C$1090="","",INDEX(_imp!$F$4:$F$1503,_imp!$C$1090))</f>
        <v/>
      </c>
      <c r="E1088" s="47">
        <f>IF(_imp!$C$1090="","",INDEX(_imp!$G$4:$G$1503,_imp!$C$1090))</f>
        <v/>
      </c>
      <c r="F1088" s="47">
        <f>IF(_imp!$C$1090="","",INDEX(_imp!$H$4:$H$1503,_imp!$C$1090))</f>
        <v/>
      </c>
      <c r="G1088" s="47">
        <f>IF(_imp!$C$1090="","",INDEX(_imp!$I$4:$I$1503,_imp!$C$1090))</f>
        <v/>
      </c>
      <c r="K1088" s="47">
        <f>IF(_imp!$C$1090="","",INDEX(_imp!$J$4:$J$1503,_imp!$C$1090))</f>
        <v/>
      </c>
    </row>
    <row r="1089">
      <c r="A1089" s="47">
        <f>IF(_imp!$C$1091="","",INDEX(_imp!$D$4:$D$1503,_imp!$C$1091))</f>
        <v/>
      </c>
      <c r="B1089" s="47">
        <f>IF(_imp!$C$1091="","",INDEX(_imp!$E$4:$E$1503,_imp!$C$1091))</f>
        <v/>
      </c>
      <c r="C1089" s="47">
        <f>IF(_imp!$C$1091="","",INDEX(_imp!$F$4:$F$1503,_imp!$C$1091))</f>
        <v/>
      </c>
      <c r="E1089" s="47">
        <f>IF(_imp!$C$1091="","",INDEX(_imp!$G$4:$G$1503,_imp!$C$1091))</f>
        <v/>
      </c>
      <c r="F1089" s="47">
        <f>IF(_imp!$C$1091="","",INDEX(_imp!$H$4:$H$1503,_imp!$C$1091))</f>
        <v/>
      </c>
      <c r="G1089" s="47">
        <f>IF(_imp!$C$1091="","",INDEX(_imp!$I$4:$I$1503,_imp!$C$1091))</f>
        <v/>
      </c>
      <c r="K1089" s="47">
        <f>IF(_imp!$C$1091="","",INDEX(_imp!$J$4:$J$1503,_imp!$C$1091))</f>
        <v/>
      </c>
    </row>
    <row r="1090">
      <c r="A1090" s="47">
        <f>IF(_imp!$C$1092="","",INDEX(_imp!$D$4:$D$1503,_imp!$C$1092))</f>
        <v/>
      </c>
      <c r="B1090" s="47">
        <f>IF(_imp!$C$1092="","",INDEX(_imp!$E$4:$E$1503,_imp!$C$1092))</f>
        <v/>
      </c>
      <c r="C1090" s="47">
        <f>IF(_imp!$C$1092="","",INDEX(_imp!$F$4:$F$1503,_imp!$C$1092))</f>
        <v/>
      </c>
      <c r="E1090" s="47">
        <f>IF(_imp!$C$1092="","",INDEX(_imp!$G$4:$G$1503,_imp!$C$1092))</f>
        <v/>
      </c>
      <c r="F1090" s="47">
        <f>IF(_imp!$C$1092="","",INDEX(_imp!$H$4:$H$1503,_imp!$C$1092))</f>
        <v/>
      </c>
      <c r="G1090" s="47">
        <f>IF(_imp!$C$1092="","",INDEX(_imp!$I$4:$I$1503,_imp!$C$1092))</f>
        <v/>
      </c>
      <c r="K1090" s="47">
        <f>IF(_imp!$C$1092="","",INDEX(_imp!$J$4:$J$1503,_imp!$C$1092))</f>
        <v/>
      </c>
    </row>
    <row r="1091">
      <c r="A1091" s="47">
        <f>IF(_imp!$C$1093="","",INDEX(_imp!$D$4:$D$1503,_imp!$C$1093))</f>
        <v/>
      </c>
      <c r="B1091" s="47">
        <f>IF(_imp!$C$1093="","",INDEX(_imp!$E$4:$E$1503,_imp!$C$1093))</f>
        <v/>
      </c>
      <c r="C1091" s="47">
        <f>IF(_imp!$C$1093="","",INDEX(_imp!$F$4:$F$1503,_imp!$C$1093))</f>
        <v/>
      </c>
      <c r="E1091" s="47">
        <f>IF(_imp!$C$1093="","",INDEX(_imp!$G$4:$G$1503,_imp!$C$1093))</f>
        <v/>
      </c>
      <c r="F1091" s="47">
        <f>IF(_imp!$C$1093="","",INDEX(_imp!$H$4:$H$1503,_imp!$C$1093))</f>
        <v/>
      </c>
      <c r="G1091" s="47">
        <f>IF(_imp!$C$1093="","",INDEX(_imp!$I$4:$I$1503,_imp!$C$1093))</f>
        <v/>
      </c>
      <c r="K1091" s="47">
        <f>IF(_imp!$C$1093="","",INDEX(_imp!$J$4:$J$1503,_imp!$C$1093))</f>
        <v/>
      </c>
    </row>
    <row r="1092">
      <c r="A1092" s="47">
        <f>IF(_imp!$C$1094="","",INDEX(_imp!$D$4:$D$1503,_imp!$C$1094))</f>
        <v/>
      </c>
      <c r="B1092" s="47">
        <f>IF(_imp!$C$1094="","",INDEX(_imp!$E$4:$E$1503,_imp!$C$1094))</f>
        <v/>
      </c>
      <c r="C1092" s="47">
        <f>IF(_imp!$C$1094="","",INDEX(_imp!$F$4:$F$1503,_imp!$C$1094))</f>
        <v/>
      </c>
      <c r="E1092" s="47">
        <f>IF(_imp!$C$1094="","",INDEX(_imp!$G$4:$G$1503,_imp!$C$1094))</f>
        <v/>
      </c>
      <c r="F1092" s="47">
        <f>IF(_imp!$C$1094="","",INDEX(_imp!$H$4:$H$1503,_imp!$C$1094))</f>
        <v/>
      </c>
      <c r="G1092" s="47">
        <f>IF(_imp!$C$1094="","",INDEX(_imp!$I$4:$I$1503,_imp!$C$1094))</f>
        <v/>
      </c>
      <c r="K1092" s="47">
        <f>IF(_imp!$C$1094="","",INDEX(_imp!$J$4:$J$1503,_imp!$C$1094))</f>
        <v/>
      </c>
    </row>
    <row r="1093">
      <c r="A1093" s="47">
        <f>IF(_imp!$C$1095="","",INDEX(_imp!$D$4:$D$1503,_imp!$C$1095))</f>
        <v/>
      </c>
      <c r="B1093" s="47">
        <f>IF(_imp!$C$1095="","",INDEX(_imp!$E$4:$E$1503,_imp!$C$1095))</f>
        <v/>
      </c>
      <c r="C1093" s="47">
        <f>IF(_imp!$C$1095="","",INDEX(_imp!$F$4:$F$1503,_imp!$C$1095))</f>
        <v/>
      </c>
      <c r="E1093" s="47">
        <f>IF(_imp!$C$1095="","",INDEX(_imp!$G$4:$G$1503,_imp!$C$1095))</f>
        <v/>
      </c>
      <c r="F1093" s="47">
        <f>IF(_imp!$C$1095="","",INDEX(_imp!$H$4:$H$1503,_imp!$C$1095))</f>
        <v/>
      </c>
      <c r="G1093" s="47">
        <f>IF(_imp!$C$1095="","",INDEX(_imp!$I$4:$I$1503,_imp!$C$1095))</f>
        <v/>
      </c>
      <c r="K1093" s="47">
        <f>IF(_imp!$C$1095="","",INDEX(_imp!$J$4:$J$1503,_imp!$C$1095))</f>
        <v/>
      </c>
    </row>
    <row r="1094">
      <c r="A1094" s="47">
        <f>IF(_imp!$C$1096="","",INDEX(_imp!$D$4:$D$1503,_imp!$C$1096))</f>
        <v/>
      </c>
      <c r="B1094" s="47">
        <f>IF(_imp!$C$1096="","",INDEX(_imp!$E$4:$E$1503,_imp!$C$1096))</f>
        <v/>
      </c>
      <c r="C1094" s="47">
        <f>IF(_imp!$C$1096="","",INDEX(_imp!$F$4:$F$1503,_imp!$C$1096))</f>
        <v/>
      </c>
      <c r="E1094" s="47">
        <f>IF(_imp!$C$1096="","",INDEX(_imp!$G$4:$G$1503,_imp!$C$1096))</f>
        <v/>
      </c>
      <c r="F1094" s="47">
        <f>IF(_imp!$C$1096="","",INDEX(_imp!$H$4:$H$1503,_imp!$C$1096))</f>
        <v/>
      </c>
      <c r="G1094" s="47">
        <f>IF(_imp!$C$1096="","",INDEX(_imp!$I$4:$I$1503,_imp!$C$1096))</f>
        <v/>
      </c>
      <c r="K1094" s="47">
        <f>IF(_imp!$C$1096="","",INDEX(_imp!$J$4:$J$1503,_imp!$C$1096))</f>
        <v/>
      </c>
    </row>
    <row r="1095">
      <c r="A1095" s="47">
        <f>IF(_imp!$C$1097="","",INDEX(_imp!$D$4:$D$1503,_imp!$C$1097))</f>
        <v/>
      </c>
      <c r="B1095" s="47">
        <f>IF(_imp!$C$1097="","",INDEX(_imp!$E$4:$E$1503,_imp!$C$1097))</f>
        <v/>
      </c>
      <c r="C1095" s="47">
        <f>IF(_imp!$C$1097="","",INDEX(_imp!$F$4:$F$1503,_imp!$C$1097))</f>
        <v/>
      </c>
      <c r="E1095" s="47">
        <f>IF(_imp!$C$1097="","",INDEX(_imp!$G$4:$G$1503,_imp!$C$1097))</f>
        <v/>
      </c>
      <c r="F1095" s="47">
        <f>IF(_imp!$C$1097="","",INDEX(_imp!$H$4:$H$1503,_imp!$C$1097))</f>
        <v/>
      </c>
      <c r="G1095" s="47">
        <f>IF(_imp!$C$1097="","",INDEX(_imp!$I$4:$I$1503,_imp!$C$1097))</f>
        <v/>
      </c>
      <c r="K1095" s="47">
        <f>IF(_imp!$C$1097="","",INDEX(_imp!$J$4:$J$1503,_imp!$C$1097))</f>
        <v/>
      </c>
    </row>
    <row r="1096">
      <c r="A1096" s="47">
        <f>IF(_imp!$C$1098="","",INDEX(_imp!$D$4:$D$1503,_imp!$C$1098))</f>
        <v/>
      </c>
      <c r="B1096" s="47">
        <f>IF(_imp!$C$1098="","",INDEX(_imp!$E$4:$E$1503,_imp!$C$1098))</f>
        <v/>
      </c>
      <c r="C1096" s="47">
        <f>IF(_imp!$C$1098="","",INDEX(_imp!$F$4:$F$1503,_imp!$C$1098))</f>
        <v/>
      </c>
      <c r="E1096" s="47">
        <f>IF(_imp!$C$1098="","",INDEX(_imp!$G$4:$G$1503,_imp!$C$1098))</f>
        <v/>
      </c>
      <c r="F1096" s="47">
        <f>IF(_imp!$C$1098="","",INDEX(_imp!$H$4:$H$1503,_imp!$C$1098))</f>
        <v/>
      </c>
      <c r="G1096" s="47">
        <f>IF(_imp!$C$1098="","",INDEX(_imp!$I$4:$I$1503,_imp!$C$1098))</f>
        <v/>
      </c>
      <c r="K1096" s="47">
        <f>IF(_imp!$C$1098="","",INDEX(_imp!$J$4:$J$1503,_imp!$C$1098))</f>
        <v/>
      </c>
    </row>
    <row r="1097">
      <c r="A1097" s="47">
        <f>IF(_imp!$C$1099="","",INDEX(_imp!$D$4:$D$1503,_imp!$C$1099))</f>
        <v/>
      </c>
      <c r="B1097" s="47">
        <f>IF(_imp!$C$1099="","",INDEX(_imp!$E$4:$E$1503,_imp!$C$1099))</f>
        <v/>
      </c>
      <c r="C1097" s="47">
        <f>IF(_imp!$C$1099="","",INDEX(_imp!$F$4:$F$1503,_imp!$C$1099))</f>
        <v/>
      </c>
      <c r="E1097" s="47">
        <f>IF(_imp!$C$1099="","",INDEX(_imp!$G$4:$G$1503,_imp!$C$1099))</f>
        <v/>
      </c>
      <c r="F1097" s="47">
        <f>IF(_imp!$C$1099="","",INDEX(_imp!$H$4:$H$1503,_imp!$C$1099))</f>
        <v/>
      </c>
      <c r="G1097" s="47">
        <f>IF(_imp!$C$1099="","",INDEX(_imp!$I$4:$I$1503,_imp!$C$1099))</f>
        <v/>
      </c>
      <c r="K1097" s="47">
        <f>IF(_imp!$C$1099="","",INDEX(_imp!$J$4:$J$1503,_imp!$C$1099))</f>
        <v/>
      </c>
    </row>
    <row r="1098">
      <c r="A1098" s="47">
        <f>IF(_imp!$C$1100="","",INDEX(_imp!$D$4:$D$1503,_imp!$C$1100))</f>
        <v/>
      </c>
      <c r="B1098" s="47">
        <f>IF(_imp!$C$1100="","",INDEX(_imp!$E$4:$E$1503,_imp!$C$1100))</f>
        <v/>
      </c>
      <c r="C1098" s="47">
        <f>IF(_imp!$C$1100="","",INDEX(_imp!$F$4:$F$1503,_imp!$C$1100))</f>
        <v/>
      </c>
      <c r="E1098" s="47">
        <f>IF(_imp!$C$1100="","",INDEX(_imp!$G$4:$G$1503,_imp!$C$1100))</f>
        <v/>
      </c>
      <c r="F1098" s="47">
        <f>IF(_imp!$C$1100="","",INDEX(_imp!$H$4:$H$1503,_imp!$C$1100))</f>
        <v/>
      </c>
      <c r="G1098" s="47">
        <f>IF(_imp!$C$1100="","",INDEX(_imp!$I$4:$I$1503,_imp!$C$1100))</f>
        <v/>
      </c>
      <c r="K1098" s="47">
        <f>IF(_imp!$C$1100="","",INDEX(_imp!$J$4:$J$1503,_imp!$C$1100))</f>
        <v/>
      </c>
    </row>
    <row r="1099">
      <c r="A1099" s="47">
        <f>IF(_imp!$C$1101="","",INDEX(_imp!$D$4:$D$1503,_imp!$C$1101))</f>
        <v/>
      </c>
      <c r="B1099" s="47">
        <f>IF(_imp!$C$1101="","",INDEX(_imp!$E$4:$E$1503,_imp!$C$1101))</f>
        <v/>
      </c>
      <c r="C1099" s="47">
        <f>IF(_imp!$C$1101="","",INDEX(_imp!$F$4:$F$1503,_imp!$C$1101))</f>
        <v/>
      </c>
      <c r="E1099" s="47">
        <f>IF(_imp!$C$1101="","",INDEX(_imp!$G$4:$G$1503,_imp!$C$1101))</f>
        <v/>
      </c>
      <c r="F1099" s="47">
        <f>IF(_imp!$C$1101="","",INDEX(_imp!$H$4:$H$1503,_imp!$C$1101))</f>
        <v/>
      </c>
      <c r="G1099" s="47">
        <f>IF(_imp!$C$1101="","",INDEX(_imp!$I$4:$I$1503,_imp!$C$1101))</f>
        <v/>
      </c>
      <c r="K1099" s="47">
        <f>IF(_imp!$C$1101="","",INDEX(_imp!$J$4:$J$1503,_imp!$C$1101))</f>
        <v/>
      </c>
    </row>
    <row r="1100">
      <c r="A1100" s="47">
        <f>IF(_imp!$C$1102="","",INDEX(_imp!$D$4:$D$1503,_imp!$C$1102))</f>
        <v/>
      </c>
      <c r="B1100" s="47">
        <f>IF(_imp!$C$1102="","",INDEX(_imp!$E$4:$E$1503,_imp!$C$1102))</f>
        <v/>
      </c>
      <c r="C1100" s="47">
        <f>IF(_imp!$C$1102="","",INDEX(_imp!$F$4:$F$1503,_imp!$C$1102))</f>
        <v/>
      </c>
      <c r="E1100" s="47">
        <f>IF(_imp!$C$1102="","",INDEX(_imp!$G$4:$G$1503,_imp!$C$1102))</f>
        <v/>
      </c>
      <c r="F1100" s="47">
        <f>IF(_imp!$C$1102="","",INDEX(_imp!$H$4:$H$1503,_imp!$C$1102))</f>
        <v/>
      </c>
      <c r="G1100" s="47">
        <f>IF(_imp!$C$1102="","",INDEX(_imp!$I$4:$I$1503,_imp!$C$1102))</f>
        <v/>
      </c>
      <c r="K1100" s="47">
        <f>IF(_imp!$C$1102="","",INDEX(_imp!$J$4:$J$1503,_imp!$C$1102))</f>
        <v/>
      </c>
    </row>
    <row r="1101">
      <c r="A1101" s="47">
        <f>IF(_imp!$C$1103="","",INDEX(_imp!$D$4:$D$1503,_imp!$C$1103))</f>
        <v/>
      </c>
      <c r="B1101" s="47">
        <f>IF(_imp!$C$1103="","",INDEX(_imp!$E$4:$E$1503,_imp!$C$1103))</f>
        <v/>
      </c>
      <c r="C1101" s="47">
        <f>IF(_imp!$C$1103="","",INDEX(_imp!$F$4:$F$1503,_imp!$C$1103))</f>
        <v/>
      </c>
      <c r="E1101" s="47">
        <f>IF(_imp!$C$1103="","",INDEX(_imp!$G$4:$G$1503,_imp!$C$1103))</f>
        <v/>
      </c>
      <c r="F1101" s="47">
        <f>IF(_imp!$C$1103="","",INDEX(_imp!$H$4:$H$1503,_imp!$C$1103))</f>
        <v/>
      </c>
      <c r="G1101" s="47">
        <f>IF(_imp!$C$1103="","",INDEX(_imp!$I$4:$I$1503,_imp!$C$1103))</f>
        <v/>
      </c>
      <c r="K1101" s="47">
        <f>IF(_imp!$C$1103="","",INDEX(_imp!$J$4:$J$1503,_imp!$C$1103))</f>
        <v/>
      </c>
    </row>
    <row r="1102">
      <c r="A1102" s="47">
        <f>IF(_imp!$C$1104="","",INDEX(_imp!$D$4:$D$1503,_imp!$C$1104))</f>
        <v/>
      </c>
      <c r="B1102" s="47">
        <f>IF(_imp!$C$1104="","",INDEX(_imp!$E$4:$E$1503,_imp!$C$1104))</f>
        <v/>
      </c>
      <c r="C1102" s="47">
        <f>IF(_imp!$C$1104="","",INDEX(_imp!$F$4:$F$1503,_imp!$C$1104))</f>
        <v/>
      </c>
      <c r="E1102" s="47">
        <f>IF(_imp!$C$1104="","",INDEX(_imp!$G$4:$G$1503,_imp!$C$1104))</f>
        <v/>
      </c>
      <c r="F1102" s="47">
        <f>IF(_imp!$C$1104="","",INDEX(_imp!$H$4:$H$1503,_imp!$C$1104))</f>
        <v/>
      </c>
      <c r="G1102" s="47">
        <f>IF(_imp!$C$1104="","",INDEX(_imp!$I$4:$I$1503,_imp!$C$1104))</f>
        <v/>
      </c>
      <c r="K1102" s="47">
        <f>IF(_imp!$C$1104="","",INDEX(_imp!$J$4:$J$1503,_imp!$C$1104))</f>
        <v/>
      </c>
    </row>
    <row r="1103">
      <c r="A1103" s="47">
        <f>IF(_imp!$C$1105="","",INDEX(_imp!$D$4:$D$1503,_imp!$C$1105))</f>
        <v/>
      </c>
      <c r="B1103" s="47">
        <f>IF(_imp!$C$1105="","",INDEX(_imp!$E$4:$E$1503,_imp!$C$1105))</f>
        <v/>
      </c>
      <c r="C1103" s="47">
        <f>IF(_imp!$C$1105="","",INDEX(_imp!$F$4:$F$1503,_imp!$C$1105))</f>
        <v/>
      </c>
      <c r="E1103" s="47">
        <f>IF(_imp!$C$1105="","",INDEX(_imp!$G$4:$G$1503,_imp!$C$1105))</f>
        <v/>
      </c>
      <c r="F1103" s="47">
        <f>IF(_imp!$C$1105="","",INDEX(_imp!$H$4:$H$1503,_imp!$C$1105))</f>
        <v/>
      </c>
      <c r="G1103" s="47">
        <f>IF(_imp!$C$1105="","",INDEX(_imp!$I$4:$I$1503,_imp!$C$1105))</f>
        <v/>
      </c>
      <c r="K1103" s="47">
        <f>IF(_imp!$C$1105="","",INDEX(_imp!$J$4:$J$1503,_imp!$C$1105))</f>
        <v/>
      </c>
    </row>
    <row r="1104">
      <c r="A1104" s="47">
        <f>IF(_imp!$C$1106="","",INDEX(_imp!$D$4:$D$1503,_imp!$C$1106))</f>
        <v/>
      </c>
      <c r="B1104" s="47">
        <f>IF(_imp!$C$1106="","",INDEX(_imp!$E$4:$E$1503,_imp!$C$1106))</f>
        <v/>
      </c>
      <c r="C1104" s="47">
        <f>IF(_imp!$C$1106="","",INDEX(_imp!$F$4:$F$1503,_imp!$C$1106))</f>
        <v/>
      </c>
      <c r="E1104" s="47">
        <f>IF(_imp!$C$1106="","",INDEX(_imp!$G$4:$G$1503,_imp!$C$1106))</f>
        <v/>
      </c>
      <c r="F1104" s="47">
        <f>IF(_imp!$C$1106="","",INDEX(_imp!$H$4:$H$1503,_imp!$C$1106))</f>
        <v/>
      </c>
      <c r="G1104" s="47">
        <f>IF(_imp!$C$1106="","",INDEX(_imp!$I$4:$I$1503,_imp!$C$1106))</f>
        <v/>
      </c>
      <c r="K1104" s="47">
        <f>IF(_imp!$C$1106="","",INDEX(_imp!$J$4:$J$1503,_imp!$C$1106))</f>
        <v/>
      </c>
    </row>
    <row r="1105">
      <c r="A1105" s="47">
        <f>IF(_imp!$C$1107="","",INDEX(_imp!$D$4:$D$1503,_imp!$C$1107))</f>
        <v/>
      </c>
      <c r="B1105" s="47">
        <f>IF(_imp!$C$1107="","",INDEX(_imp!$E$4:$E$1503,_imp!$C$1107))</f>
        <v/>
      </c>
      <c r="C1105" s="47">
        <f>IF(_imp!$C$1107="","",INDEX(_imp!$F$4:$F$1503,_imp!$C$1107))</f>
        <v/>
      </c>
      <c r="E1105" s="47">
        <f>IF(_imp!$C$1107="","",INDEX(_imp!$G$4:$G$1503,_imp!$C$1107))</f>
        <v/>
      </c>
      <c r="F1105" s="47">
        <f>IF(_imp!$C$1107="","",INDEX(_imp!$H$4:$H$1503,_imp!$C$1107))</f>
        <v/>
      </c>
      <c r="G1105" s="47">
        <f>IF(_imp!$C$1107="","",INDEX(_imp!$I$4:$I$1503,_imp!$C$1107))</f>
        <v/>
      </c>
      <c r="K1105" s="47">
        <f>IF(_imp!$C$1107="","",INDEX(_imp!$J$4:$J$1503,_imp!$C$1107))</f>
        <v/>
      </c>
    </row>
    <row r="1106">
      <c r="A1106" s="47">
        <f>IF(_imp!$C$1108="","",INDEX(_imp!$D$4:$D$1503,_imp!$C$1108))</f>
        <v/>
      </c>
      <c r="B1106" s="47">
        <f>IF(_imp!$C$1108="","",INDEX(_imp!$E$4:$E$1503,_imp!$C$1108))</f>
        <v/>
      </c>
      <c r="C1106" s="47">
        <f>IF(_imp!$C$1108="","",INDEX(_imp!$F$4:$F$1503,_imp!$C$1108))</f>
        <v/>
      </c>
      <c r="E1106" s="47">
        <f>IF(_imp!$C$1108="","",INDEX(_imp!$G$4:$G$1503,_imp!$C$1108))</f>
        <v/>
      </c>
      <c r="F1106" s="47">
        <f>IF(_imp!$C$1108="","",INDEX(_imp!$H$4:$H$1503,_imp!$C$1108))</f>
        <v/>
      </c>
      <c r="G1106" s="47">
        <f>IF(_imp!$C$1108="","",INDEX(_imp!$I$4:$I$1503,_imp!$C$1108))</f>
        <v/>
      </c>
      <c r="K1106" s="47">
        <f>IF(_imp!$C$1108="","",INDEX(_imp!$J$4:$J$1503,_imp!$C$1108))</f>
        <v/>
      </c>
    </row>
    <row r="1107">
      <c r="A1107" s="47">
        <f>IF(_imp!$C$1109="","",INDEX(_imp!$D$4:$D$1503,_imp!$C$1109))</f>
        <v/>
      </c>
      <c r="B1107" s="47">
        <f>IF(_imp!$C$1109="","",INDEX(_imp!$E$4:$E$1503,_imp!$C$1109))</f>
        <v/>
      </c>
      <c r="C1107" s="47">
        <f>IF(_imp!$C$1109="","",INDEX(_imp!$F$4:$F$1503,_imp!$C$1109))</f>
        <v/>
      </c>
      <c r="E1107" s="47">
        <f>IF(_imp!$C$1109="","",INDEX(_imp!$G$4:$G$1503,_imp!$C$1109))</f>
        <v/>
      </c>
      <c r="F1107" s="47">
        <f>IF(_imp!$C$1109="","",INDEX(_imp!$H$4:$H$1503,_imp!$C$1109))</f>
        <v/>
      </c>
      <c r="G1107" s="47">
        <f>IF(_imp!$C$1109="","",INDEX(_imp!$I$4:$I$1503,_imp!$C$1109))</f>
        <v/>
      </c>
      <c r="K1107" s="47">
        <f>IF(_imp!$C$1109="","",INDEX(_imp!$J$4:$J$1503,_imp!$C$1109))</f>
        <v/>
      </c>
    </row>
    <row r="1108">
      <c r="A1108" s="47">
        <f>IF(_imp!$C$1110="","",INDEX(_imp!$D$4:$D$1503,_imp!$C$1110))</f>
        <v/>
      </c>
      <c r="B1108" s="47">
        <f>IF(_imp!$C$1110="","",INDEX(_imp!$E$4:$E$1503,_imp!$C$1110))</f>
        <v/>
      </c>
      <c r="C1108" s="47">
        <f>IF(_imp!$C$1110="","",INDEX(_imp!$F$4:$F$1503,_imp!$C$1110))</f>
        <v/>
      </c>
      <c r="E1108" s="47">
        <f>IF(_imp!$C$1110="","",INDEX(_imp!$G$4:$G$1503,_imp!$C$1110))</f>
        <v/>
      </c>
      <c r="F1108" s="47">
        <f>IF(_imp!$C$1110="","",INDEX(_imp!$H$4:$H$1503,_imp!$C$1110))</f>
        <v/>
      </c>
      <c r="G1108" s="47">
        <f>IF(_imp!$C$1110="","",INDEX(_imp!$I$4:$I$1503,_imp!$C$1110))</f>
        <v/>
      </c>
      <c r="K1108" s="47">
        <f>IF(_imp!$C$1110="","",INDEX(_imp!$J$4:$J$1503,_imp!$C$1110))</f>
        <v/>
      </c>
    </row>
    <row r="1109">
      <c r="A1109" s="47">
        <f>IF(_imp!$C$1111="","",INDEX(_imp!$D$4:$D$1503,_imp!$C$1111))</f>
        <v/>
      </c>
      <c r="B1109" s="47">
        <f>IF(_imp!$C$1111="","",INDEX(_imp!$E$4:$E$1503,_imp!$C$1111))</f>
        <v/>
      </c>
      <c r="C1109" s="47">
        <f>IF(_imp!$C$1111="","",INDEX(_imp!$F$4:$F$1503,_imp!$C$1111))</f>
        <v/>
      </c>
      <c r="E1109" s="47">
        <f>IF(_imp!$C$1111="","",INDEX(_imp!$G$4:$G$1503,_imp!$C$1111))</f>
        <v/>
      </c>
      <c r="F1109" s="47">
        <f>IF(_imp!$C$1111="","",INDEX(_imp!$H$4:$H$1503,_imp!$C$1111))</f>
        <v/>
      </c>
      <c r="G1109" s="47">
        <f>IF(_imp!$C$1111="","",INDEX(_imp!$I$4:$I$1503,_imp!$C$1111))</f>
        <v/>
      </c>
      <c r="K1109" s="47">
        <f>IF(_imp!$C$1111="","",INDEX(_imp!$J$4:$J$1503,_imp!$C$1111))</f>
        <v/>
      </c>
    </row>
    <row r="1110">
      <c r="A1110" s="47">
        <f>IF(_imp!$C$1112="","",INDEX(_imp!$D$4:$D$1503,_imp!$C$1112))</f>
        <v/>
      </c>
      <c r="B1110" s="47">
        <f>IF(_imp!$C$1112="","",INDEX(_imp!$E$4:$E$1503,_imp!$C$1112))</f>
        <v/>
      </c>
      <c r="C1110" s="47">
        <f>IF(_imp!$C$1112="","",INDEX(_imp!$F$4:$F$1503,_imp!$C$1112))</f>
        <v/>
      </c>
      <c r="E1110" s="47">
        <f>IF(_imp!$C$1112="","",INDEX(_imp!$G$4:$G$1503,_imp!$C$1112))</f>
        <v/>
      </c>
      <c r="F1110" s="47">
        <f>IF(_imp!$C$1112="","",INDEX(_imp!$H$4:$H$1503,_imp!$C$1112))</f>
        <v/>
      </c>
      <c r="G1110" s="47">
        <f>IF(_imp!$C$1112="","",INDEX(_imp!$I$4:$I$1503,_imp!$C$1112))</f>
        <v/>
      </c>
      <c r="K1110" s="47">
        <f>IF(_imp!$C$1112="","",INDEX(_imp!$J$4:$J$1503,_imp!$C$1112))</f>
        <v/>
      </c>
    </row>
    <row r="1111">
      <c r="A1111" s="47">
        <f>IF(_imp!$C$1113="","",INDEX(_imp!$D$4:$D$1503,_imp!$C$1113))</f>
        <v/>
      </c>
      <c r="B1111" s="47">
        <f>IF(_imp!$C$1113="","",INDEX(_imp!$E$4:$E$1503,_imp!$C$1113))</f>
        <v/>
      </c>
      <c r="C1111" s="47">
        <f>IF(_imp!$C$1113="","",INDEX(_imp!$F$4:$F$1503,_imp!$C$1113))</f>
        <v/>
      </c>
      <c r="E1111" s="47">
        <f>IF(_imp!$C$1113="","",INDEX(_imp!$G$4:$G$1503,_imp!$C$1113))</f>
        <v/>
      </c>
      <c r="F1111" s="47">
        <f>IF(_imp!$C$1113="","",INDEX(_imp!$H$4:$H$1503,_imp!$C$1113))</f>
        <v/>
      </c>
      <c r="G1111" s="47">
        <f>IF(_imp!$C$1113="","",INDEX(_imp!$I$4:$I$1503,_imp!$C$1113))</f>
        <v/>
      </c>
      <c r="K1111" s="47">
        <f>IF(_imp!$C$1113="","",INDEX(_imp!$J$4:$J$1503,_imp!$C$1113))</f>
        <v/>
      </c>
    </row>
    <row r="1112">
      <c r="A1112" s="47">
        <f>IF(_imp!$C$1114="","",INDEX(_imp!$D$4:$D$1503,_imp!$C$1114))</f>
        <v/>
      </c>
      <c r="B1112" s="47">
        <f>IF(_imp!$C$1114="","",INDEX(_imp!$E$4:$E$1503,_imp!$C$1114))</f>
        <v/>
      </c>
      <c r="C1112" s="47">
        <f>IF(_imp!$C$1114="","",INDEX(_imp!$F$4:$F$1503,_imp!$C$1114))</f>
        <v/>
      </c>
      <c r="E1112" s="47">
        <f>IF(_imp!$C$1114="","",INDEX(_imp!$G$4:$G$1503,_imp!$C$1114))</f>
        <v/>
      </c>
      <c r="F1112" s="47">
        <f>IF(_imp!$C$1114="","",INDEX(_imp!$H$4:$H$1503,_imp!$C$1114))</f>
        <v/>
      </c>
      <c r="G1112" s="47">
        <f>IF(_imp!$C$1114="","",INDEX(_imp!$I$4:$I$1503,_imp!$C$1114))</f>
        <v/>
      </c>
      <c r="K1112" s="47">
        <f>IF(_imp!$C$1114="","",INDEX(_imp!$J$4:$J$1503,_imp!$C$1114))</f>
        <v/>
      </c>
    </row>
    <row r="1113">
      <c r="A1113" s="47">
        <f>IF(_imp!$C$1115="","",INDEX(_imp!$D$4:$D$1503,_imp!$C$1115))</f>
        <v/>
      </c>
      <c r="B1113" s="47">
        <f>IF(_imp!$C$1115="","",INDEX(_imp!$E$4:$E$1503,_imp!$C$1115))</f>
        <v/>
      </c>
      <c r="C1113" s="47">
        <f>IF(_imp!$C$1115="","",INDEX(_imp!$F$4:$F$1503,_imp!$C$1115))</f>
        <v/>
      </c>
      <c r="E1113" s="47">
        <f>IF(_imp!$C$1115="","",INDEX(_imp!$G$4:$G$1503,_imp!$C$1115))</f>
        <v/>
      </c>
      <c r="F1113" s="47">
        <f>IF(_imp!$C$1115="","",INDEX(_imp!$H$4:$H$1503,_imp!$C$1115))</f>
        <v/>
      </c>
      <c r="G1113" s="47">
        <f>IF(_imp!$C$1115="","",INDEX(_imp!$I$4:$I$1503,_imp!$C$1115))</f>
        <v/>
      </c>
      <c r="K1113" s="47">
        <f>IF(_imp!$C$1115="","",INDEX(_imp!$J$4:$J$1503,_imp!$C$1115))</f>
        <v/>
      </c>
    </row>
    <row r="1114">
      <c r="A1114" s="47">
        <f>IF(_imp!$C$1116="","",INDEX(_imp!$D$4:$D$1503,_imp!$C$1116))</f>
        <v/>
      </c>
      <c r="B1114" s="47">
        <f>IF(_imp!$C$1116="","",INDEX(_imp!$E$4:$E$1503,_imp!$C$1116))</f>
        <v/>
      </c>
      <c r="C1114" s="47">
        <f>IF(_imp!$C$1116="","",INDEX(_imp!$F$4:$F$1503,_imp!$C$1116))</f>
        <v/>
      </c>
      <c r="E1114" s="47">
        <f>IF(_imp!$C$1116="","",INDEX(_imp!$G$4:$G$1503,_imp!$C$1116))</f>
        <v/>
      </c>
      <c r="F1114" s="47">
        <f>IF(_imp!$C$1116="","",INDEX(_imp!$H$4:$H$1503,_imp!$C$1116))</f>
        <v/>
      </c>
      <c r="G1114" s="47">
        <f>IF(_imp!$C$1116="","",INDEX(_imp!$I$4:$I$1503,_imp!$C$1116))</f>
        <v/>
      </c>
      <c r="K1114" s="47">
        <f>IF(_imp!$C$1116="","",INDEX(_imp!$J$4:$J$1503,_imp!$C$1116))</f>
        <v/>
      </c>
    </row>
    <row r="1115">
      <c r="A1115" s="47">
        <f>IF(_imp!$C$1117="","",INDEX(_imp!$D$4:$D$1503,_imp!$C$1117))</f>
        <v/>
      </c>
      <c r="B1115" s="47">
        <f>IF(_imp!$C$1117="","",INDEX(_imp!$E$4:$E$1503,_imp!$C$1117))</f>
        <v/>
      </c>
      <c r="C1115" s="47">
        <f>IF(_imp!$C$1117="","",INDEX(_imp!$F$4:$F$1503,_imp!$C$1117))</f>
        <v/>
      </c>
      <c r="E1115" s="47">
        <f>IF(_imp!$C$1117="","",INDEX(_imp!$G$4:$G$1503,_imp!$C$1117))</f>
        <v/>
      </c>
      <c r="F1115" s="47">
        <f>IF(_imp!$C$1117="","",INDEX(_imp!$H$4:$H$1503,_imp!$C$1117))</f>
        <v/>
      </c>
      <c r="G1115" s="47">
        <f>IF(_imp!$C$1117="","",INDEX(_imp!$I$4:$I$1503,_imp!$C$1117))</f>
        <v/>
      </c>
      <c r="K1115" s="47">
        <f>IF(_imp!$C$1117="","",INDEX(_imp!$J$4:$J$1503,_imp!$C$1117))</f>
        <v/>
      </c>
    </row>
    <row r="1116">
      <c r="A1116" s="47">
        <f>IF(_imp!$C$1118="","",INDEX(_imp!$D$4:$D$1503,_imp!$C$1118))</f>
        <v/>
      </c>
      <c r="B1116" s="47">
        <f>IF(_imp!$C$1118="","",INDEX(_imp!$E$4:$E$1503,_imp!$C$1118))</f>
        <v/>
      </c>
      <c r="C1116" s="47">
        <f>IF(_imp!$C$1118="","",INDEX(_imp!$F$4:$F$1503,_imp!$C$1118))</f>
        <v/>
      </c>
      <c r="E1116" s="47">
        <f>IF(_imp!$C$1118="","",INDEX(_imp!$G$4:$G$1503,_imp!$C$1118))</f>
        <v/>
      </c>
      <c r="F1116" s="47">
        <f>IF(_imp!$C$1118="","",INDEX(_imp!$H$4:$H$1503,_imp!$C$1118))</f>
        <v/>
      </c>
      <c r="G1116" s="47">
        <f>IF(_imp!$C$1118="","",INDEX(_imp!$I$4:$I$1503,_imp!$C$1118))</f>
        <v/>
      </c>
      <c r="K1116" s="47">
        <f>IF(_imp!$C$1118="","",INDEX(_imp!$J$4:$J$1503,_imp!$C$1118))</f>
        <v/>
      </c>
    </row>
    <row r="1117">
      <c r="A1117" s="47">
        <f>IF(_imp!$C$1119="","",INDEX(_imp!$D$4:$D$1503,_imp!$C$1119))</f>
        <v/>
      </c>
      <c r="B1117" s="47">
        <f>IF(_imp!$C$1119="","",INDEX(_imp!$E$4:$E$1503,_imp!$C$1119))</f>
        <v/>
      </c>
      <c r="C1117" s="47">
        <f>IF(_imp!$C$1119="","",INDEX(_imp!$F$4:$F$1503,_imp!$C$1119))</f>
        <v/>
      </c>
      <c r="E1117" s="47">
        <f>IF(_imp!$C$1119="","",INDEX(_imp!$G$4:$G$1503,_imp!$C$1119))</f>
        <v/>
      </c>
      <c r="F1117" s="47">
        <f>IF(_imp!$C$1119="","",INDEX(_imp!$H$4:$H$1503,_imp!$C$1119))</f>
        <v/>
      </c>
      <c r="G1117" s="47">
        <f>IF(_imp!$C$1119="","",INDEX(_imp!$I$4:$I$1503,_imp!$C$1119))</f>
        <v/>
      </c>
      <c r="K1117" s="47">
        <f>IF(_imp!$C$1119="","",INDEX(_imp!$J$4:$J$1503,_imp!$C$1119))</f>
        <v/>
      </c>
    </row>
    <row r="1118">
      <c r="A1118" s="47">
        <f>IF(_imp!$C$1120="","",INDEX(_imp!$D$4:$D$1503,_imp!$C$1120))</f>
        <v/>
      </c>
      <c r="B1118" s="47">
        <f>IF(_imp!$C$1120="","",INDEX(_imp!$E$4:$E$1503,_imp!$C$1120))</f>
        <v/>
      </c>
      <c r="C1118" s="47">
        <f>IF(_imp!$C$1120="","",INDEX(_imp!$F$4:$F$1503,_imp!$C$1120))</f>
        <v/>
      </c>
      <c r="E1118" s="47">
        <f>IF(_imp!$C$1120="","",INDEX(_imp!$G$4:$G$1503,_imp!$C$1120))</f>
        <v/>
      </c>
      <c r="F1118" s="47">
        <f>IF(_imp!$C$1120="","",INDEX(_imp!$H$4:$H$1503,_imp!$C$1120))</f>
        <v/>
      </c>
      <c r="G1118" s="47">
        <f>IF(_imp!$C$1120="","",INDEX(_imp!$I$4:$I$1503,_imp!$C$1120))</f>
        <v/>
      </c>
      <c r="K1118" s="47">
        <f>IF(_imp!$C$1120="","",INDEX(_imp!$J$4:$J$1503,_imp!$C$1120))</f>
        <v/>
      </c>
    </row>
    <row r="1119">
      <c r="A1119" s="47">
        <f>IF(_imp!$C$1121="","",INDEX(_imp!$D$4:$D$1503,_imp!$C$1121))</f>
        <v/>
      </c>
      <c r="B1119" s="47">
        <f>IF(_imp!$C$1121="","",INDEX(_imp!$E$4:$E$1503,_imp!$C$1121))</f>
        <v/>
      </c>
      <c r="C1119" s="47">
        <f>IF(_imp!$C$1121="","",INDEX(_imp!$F$4:$F$1503,_imp!$C$1121))</f>
        <v/>
      </c>
      <c r="E1119" s="47">
        <f>IF(_imp!$C$1121="","",INDEX(_imp!$G$4:$G$1503,_imp!$C$1121))</f>
        <v/>
      </c>
      <c r="F1119" s="47">
        <f>IF(_imp!$C$1121="","",INDEX(_imp!$H$4:$H$1503,_imp!$C$1121))</f>
        <v/>
      </c>
      <c r="G1119" s="47">
        <f>IF(_imp!$C$1121="","",INDEX(_imp!$I$4:$I$1503,_imp!$C$1121))</f>
        <v/>
      </c>
      <c r="K1119" s="47">
        <f>IF(_imp!$C$1121="","",INDEX(_imp!$J$4:$J$1503,_imp!$C$1121))</f>
        <v/>
      </c>
    </row>
    <row r="1120">
      <c r="A1120" s="47">
        <f>IF(_imp!$C$1122="","",INDEX(_imp!$D$4:$D$1503,_imp!$C$1122))</f>
        <v/>
      </c>
      <c r="B1120" s="47">
        <f>IF(_imp!$C$1122="","",INDEX(_imp!$E$4:$E$1503,_imp!$C$1122))</f>
        <v/>
      </c>
      <c r="C1120" s="47">
        <f>IF(_imp!$C$1122="","",INDEX(_imp!$F$4:$F$1503,_imp!$C$1122))</f>
        <v/>
      </c>
      <c r="E1120" s="47">
        <f>IF(_imp!$C$1122="","",INDEX(_imp!$G$4:$G$1503,_imp!$C$1122))</f>
        <v/>
      </c>
      <c r="F1120" s="47">
        <f>IF(_imp!$C$1122="","",INDEX(_imp!$H$4:$H$1503,_imp!$C$1122))</f>
        <v/>
      </c>
      <c r="G1120" s="47">
        <f>IF(_imp!$C$1122="","",INDEX(_imp!$I$4:$I$1503,_imp!$C$1122))</f>
        <v/>
      </c>
      <c r="K1120" s="47">
        <f>IF(_imp!$C$1122="","",INDEX(_imp!$J$4:$J$1503,_imp!$C$1122))</f>
        <v/>
      </c>
    </row>
    <row r="1121">
      <c r="A1121" s="47">
        <f>IF(_imp!$C$1123="","",INDEX(_imp!$D$4:$D$1503,_imp!$C$1123))</f>
        <v/>
      </c>
      <c r="B1121" s="47">
        <f>IF(_imp!$C$1123="","",INDEX(_imp!$E$4:$E$1503,_imp!$C$1123))</f>
        <v/>
      </c>
      <c r="C1121" s="47">
        <f>IF(_imp!$C$1123="","",INDEX(_imp!$F$4:$F$1503,_imp!$C$1123))</f>
        <v/>
      </c>
      <c r="E1121" s="47">
        <f>IF(_imp!$C$1123="","",INDEX(_imp!$G$4:$G$1503,_imp!$C$1123))</f>
        <v/>
      </c>
      <c r="F1121" s="47">
        <f>IF(_imp!$C$1123="","",INDEX(_imp!$H$4:$H$1503,_imp!$C$1123))</f>
        <v/>
      </c>
      <c r="G1121" s="47">
        <f>IF(_imp!$C$1123="","",INDEX(_imp!$I$4:$I$1503,_imp!$C$1123))</f>
        <v/>
      </c>
      <c r="K1121" s="47">
        <f>IF(_imp!$C$1123="","",INDEX(_imp!$J$4:$J$1503,_imp!$C$1123))</f>
        <v/>
      </c>
    </row>
    <row r="1122">
      <c r="A1122" s="47">
        <f>IF(_imp!$C$1124="","",INDEX(_imp!$D$4:$D$1503,_imp!$C$1124))</f>
        <v/>
      </c>
      <c r="B1122" s="47">
        <f>IF(_imp!$C$1124="","",INDEX(_imp!$E$4:$E$1503,_imp!$C$1124))</f>
        <v/>
      </c>
      <c r="C1122" s="47">
        <f>IF(_imp!$C$1124="","",INDEX(_imp!$F$4:$F$1503,_imp!$C$1124))</f>
        <v/>
      </c>
      <c r="E1122" s="47">
        <f>IF(_imp!$C$1124="","",INDEX(_imp!$G$4:$G$1503,_imp!$C$1124))</f>
        <v/>
      </c>
      <c r="F1122" s="47">
        <f>IF(_imp!$C$1124="","",INDEX(_imp!$H$4:$H$1503,_imp!$C$1124))</f>
        <v/>
      </c>
      <c r="G1122" s="47">
        <f>IF(_imp!$C$1124="","",INDEX(_imp!$I$4:$I$1503,_imp!$C$1124))</f>
        <v/>
      </c>
      <c r="K1122" s="47">
        <f>IF(_imp!$C$1124="","",INDEX(_imp!$J$4:$J$1503,_imp!$C$1124))</f>
        <v/>
      </c>
    </row>
    <row r="1123">
      <c r="A1123" s="47">
        <f>IF(_imp!$C$1125="","",INDEX(_imp!$D$4:$D$1503,_imp!$C$1125))</f>
        <v/>
      </c>
      <c r="B1123" s="47">
        <f>IF(_imp!$C$1125="","",INDEX(_imp!$E$4:$E$1503,_imp!$C$1125))</f>
        <v/>
      </c>
      <c r="C1123" s="47">
        <f>IF(_imp!$C$1125="","",INDEX(_imp!$F$4:$F$1503,_imp!$C$1125))</f>
        <v/>
      </c>
      <c r="E1123" s="47">
        <f>IF(_imp!$C$1125="","",INDEX(_imp!$G$4:$G$1503,_imp!$C$1125))</f>
        <v/>
      </c>
      <c r="F1123" s="47">
        <f>IF(_imp!$C$1125="","",INDEX(_imp!$H$4:$H$1503,_imp!$C$1125))</f>
        <v/>
      </c>
      <c r="G1123" s="47">
        <f>IF(_imp!$C$1125="","",INDEX(_imp!$I$4:$I$1503,_imp!$C$1125))</f>
        <v/>
      </c>
      <c r="K1123" s="47">
        <f>IF(_imp!$C$1125="","",INDEX(_imp!$J$4:$J$1503,_imp!$C$1125))</f>
        <v/>
      </c>
    </row>
    <row r="1124">
      <c r="A1124" s="47">
        <f>IF(_imp!$C$1126="","",INDEX(_imp!$D$4:$D$1503,_imp!$C$1126))</f>
        <v/>
      </c>
      <c r="B1124" s="47">
        <f>IF(_imp!$C$1126="","",INDEX(_imp!$E$4:$E$1503,_imp!$C$1126))</f>
        <v/>
      </c>
      <c r="C1124" s="47">
        <f>IF(_imp!$C$1126="","",INDEX(_imp!$F$4:$F$1503,_imp!$C$1126))</f>
        <v/>
      </c>
      <c r="E1124" s="47">
        <f>IF(_imp!$C$1126="","",INDEX(_imp!$G$4:$G$1503,_imp!$C$1126))</f>
        <v/>
      </c>
      <c r="F1124" s="47">
        <f>IF(_imp!$C$1126="","",INDEX(_imp!$H$4:$H$1503,_imp!$C$1126))</f>
        <v/>
      </c>
      <c r="G1124" s="47">
        <f>IF(_imp!$C$1126="","",INDEX(_imp!$I$4:$I$1503,_imp!$C$1126))</f>
        <v/>
      </c>
      <c r="K1124" s="47">
        <f>IF(_imp!$C$1126="","",INDEX(_imp!$J$4:$J$1503,_imp!$C$1126))</f>
        <v/>
      </c>
    </row>
    <row r="1125">
      <c r="A1125" s="47">
        <f>IF(_imp!$C$1127="","",INDEX(_imp!$D$4:$D$1503,_imp!$C$1127))</f>
        <v/>
      </c>
      <c r="B1125" s="47">
        <f>IF(_imp!$C$1127="","",INDEX(_imp!$E$4:$E$1503,_imp!$C$1127))</f>
        <v/>
      </c>
      <c r="C1125" s="47">
        <f>IF(_imp!$C$1127="","",INDEX(_imp!$F$4:$F$1503,_imp!$C$1127))</f>
        <v/>
      </c>
      <c r="E1125" s="47">
        <f>IF(_imp!$C$1127="","",INDEX(_imp!$G$4:$G$1503,_imp!$C$1127))</f>
        <v/>
      </c>
      <c r="F1125" s="47">
        <f>IF(_imp!$C$1127="","",INDEX(_imp!$H$4:$H$1503,_imp!$C$1127))</f>
        <v/>
      </c>
      <c r="G1125" s="47">
        <f>IF(_imp!$C$1127="","",INDEX(_imp!$I$4:$I$1503,_imp!$C$1127))</f>
        <v/>
      </c>
      <c r="K1125" s="47">
        <f>IF(_imp!$C$1127="","",INDEX(_imp!$J$4:$J$1503,_imp!$C$1127))</f>
        <v/>
      </c>
    </row>
    <row r="1126">
      <c r="A1126" s="47">
        <f>IF(_imp!$C$1128="","",INDEX(_imp!$D$4:$D$1503,_imp!$C$1128))</f>
        <v/>
      </c>
      <c r="B1126" s="47">
        <f>IF(_imp!$C$1128="","",INDEX(_imp!$E$4:$E$1503,_imp!$C$1128))</f>
        <v/>
      </c>
      <c r="C1126" s="47">
        <f>IF(_imp!$C$1128="","",INDEX(_imp!$F$4:$F$1503,_imp!$C$1128))</f>
        <v/>
      </c>
      <c r="E1126" s="47">
        <f>IF(_imp!$C$1128="","",INDEX(_imp!$G$4:$G$1503,_imp!$C$1128))</f>
        <v/>
      </c>
      <c r="F1126" s="47">
        <f>IF(_imp!$C$1128="","",INDEX(_imp!$H$4:$H$1503,_imp!$C$1128))</f>
        <v/>
      </c>
      <c r="G1126" s="47">
        <f>IF(_imp!$C$1128="","",INDEX(_imp!$I$4:$I$1503,_imp!$C$1128))</f>
        <v/>
      </c>
      <c r="K1126" s="47">
        <f>IF(_imp!$C$1128="","",INDEX(_imp!$J$4:$J$1503,_imp!$C$1128))</f>
        <v/>
      </c>
    </row>
    <row r="1127">
      <c r="A1127" s="47">
        <f>IF(_imp!$C$1129="","",INDEX(_imp!$D$4:$D$1503,_imp!$C$1129))</f>
        <v/>
      </c>
      <c r="B1127" s="47">
        <f>IF(_imp!$C$1129="","",INDEX(_imp!$E$4:$E$1503,_imp!$C$1129))</f>
        <v/>
      </c>
      <c r="C1127" s="47">
        <f>IF(_imp!$C$1129="","",INDEX(_imp!$F$4:$F$1503,_imp!$C$1129))</f>
        <v/>
      </c>
      <c r="E1127" s="47">
        <f>IF(_imp!$C$1129="","",INDEX(_imp!$G$4:$G$1503,_imp!$C$1129))</f>
        <v/>
      </c>
      <c r="F1127" s="47">
        <f>IF(_imp!$C$1129="","",INDEX(_imp!$H$4:$H$1503,_imp!$C$1129))</f>
        <v/>
      </c>
      <c r="G1127" s="47">
        <f>IF(_imp!$C$1129="","",INDEX(_imp!$I$4:$I$1503,_imp!$C$1129))</f>
        <v/>
      </c>
      <c r="K1127" s="47">
        <f>IF(_imp!$C$1129="","",INDEX(_imp!$J$4:$J$1503,_imp!$C$1129))</f>
        <v/>
      </c>
    </row>
    <row r="1128">
      <c r="A1128" s="47">
        <f>IF(_imp!$C$1130="","",INDEX(_imp!$D$4:$D$1503,_imp!$C$1130))</f>
        <v/>
      </c>
      <c r="B1128" s="47">
        <f>IF(_imp!$C$1130="","",INDEX(_imp!$E$4:$E$1503,_imp!$C$1130))</f>
        <v/>
      </c>
      <c r="C1128" s="47">
        <f>IF(_imp!$C$1130="","",INDEX(_imp!$F$4:$F$1503,_imp!$C$1130))</f>
        <v/>
      </c>
      <c r="E1128" s="47">
        <f>IF(_imp!$C$1130="","",INDEX(_imp!$G$4:$G$1503,_imp!$C$1130))</f>
        <v/>
      </c>
      <c r="F1128" s="47">
        <f>IF(_imp!$C$1130="","",INDEX(_imp!$H$4:$H$1503,_imp!$C$1130))</f>
        <v/>
      </c>
      <c r="G1128" s="47">
        <f>IF(_imp!$C$1130="","",INDEX(_imp!$I$4:$I$1503,_imp!$C$1130))</f>
        <v/>
      </c>
      <c r="K1128" s="47">
        <f>IF(_imp!$C$1130="","",INDEX(_imp!$J$4:$J$1503,_imp!$C$1130))</f>
        <v/>
      </c>
    </row>
    <row r="1129">
      <c r="A1129" s="47">
        <f>IF(_imp!$C$1131="","",INDEX(_imp!$D$4:$D$1503,_imp!$C$1131))</f>
        <v/>
      </c>
      <c r="B1129" s="47">
        <f>IF(_imp!$C$1131="","",INDEX(_imp!$E$4:$E$1503,_imp!$C$1131))</f>
        <v/>
      </c>
      <c r="C1129" s="47">
        <f>IF(_imp!$C$1131="","",INDEX(_imp!$F$4:$F$1503,_imp!$C$1131))</f>
        <v/>
      </c>
      <c r="E1129" s="47">
        <f>IF(_imp!$C$1131="","",INDEX(_imp!$G$4:$G$1503,_imp!$C$1131))</f>
        <v/>
      </c>
      <c r="F1129" s="47">
        <f>IF(_imp!$C$1131="","",INDEX(_imp!$H$4:$H$1503,_imp!$C$1131))</f>
        <v/>
      </c>
      <c r="G1129" s="47">
        <f>IF(_imp!$C$1131="","",INDEX(_imp!$I$4:$I$1503,_imp!$C$1131))</f>
        <v/>
      </c>
      <c r="K1129" s="47">
        <f>IF(_imp!$C$1131="","",INDEX(_imp!$J$4:$J$1503,_imp!$C$1131))</f>
        <v/>
      </c>
    </row>
    <row r="1130">
      <c r="A1130" s="47">
        <f>IF(_imp!$C$1132="","",INDEX(_imp!$D$4:$D$1503,_imp!$C$1132))</f>
        <v/>
      </c>
      <c r="B1130" s="47">
        <f>IF(_imp!$C$1132="","",INDEX(_imp!$E$4:$E$1503,_imp!$C$1132))</f>
        <v/>
      </c>
      <c r="C1130" s="47">
        <f>IF(_imp!$C$1132="","",INDEX(_imp!$F$4:$F$1503,_imp!$C$1132))</f>
        <v/>
      </c>
      <c r="E1130" s="47">
        <f>IF(_imp!$C$1132="","",INDEX(_imp!$G$4:$G$1503,_imp!$C$1132))</f>
        <v/>
      </c>
      <c r="F1130" s="47">
        <f>IF(_imp!$C$1132="","",INDEX(_imp!$H$4:$H$1503,_imp!$C$1132))</f>
        <v/>
      </c>
      <c r="G1130" s="47">
        <f>IF(_imp!$C$1132="","",INDEX(_imp!$I$4:$I$1503,_imp!$C$1132))</f>
        <v/>
      </c>
      <c r="K1130" s="47">
        <f>IF(_imp!$C$1132="","",INDEX(_imp!$J$4:$J$1503,_imp!$C$1132))</f>
        <v/>
      </c>
    </row>
    <row r="1131">
      <c r="A1131" s="47">
        <f>IF(_imp!$C$1133="","",INDEX(_imp!$D$4:$D$1503,_imp!$C$1133))</f>
        <v/>
      </c>
      <c r="B1131" s="47">
        <f>IF(_imp!$C$1133="","",INDEX(_imp!$E$4:$E$1503,_imp!$C$1133))</f>
        <v/>
      </c>
      <c r="C1131" s="47">
        <f>IF(_imp!$C$1133="","",INDEX(_imp!$F$4:$F$1503,_imp!$C$1133))</f>
        <v/>
      </c>
      <c r="E1131" s="47">
        <f>IF(_imp!$C$1133="","",INDEX(_imp!$G$4:$G$1503,_imp!$C$1133))</f>
        <v/>
      </c>
      <c r="F1131" s="47">
        <f>IF(_imp!$C$1133="","",INDEX(_imp!$H$4:$H$1503,_imp!$C$1133))</f>
        <v/>
      </c>
      <c r="G1131" s="47">
        <f>IF(_imp!$C$1133="","",INDEX(_imp!$I$4:$I$1503,_imp!$C$1133))</f>
        <v/>
      </c>
      <c r="K1131" s="47">
        <f>IF(_imp!$C$1133="","",INDEX(_imp!$J$4:$J$1503,_imp!$C$1133))</f>
        <v/>
      </c>
    </row>
    <row r="1132">
      <c r="A1132" s="47">
        <f>IF(_imp!$C$1134="","",INDEX(_imp!$D$4:$D$1503,_imp!$C$1134))</f>
        <v/>
      </c>
      <c r="B1132" s="47">
        <f>IF(_imp!$C$1134="","",INDEX(_imp!$E$4:$E$1503,_imp!$C$1134))</f>
        <v/>
      </c>
      <c r="C1132" s="47">
        <f>IF(_imp!$C$1134="","",INDEX(_imp!$F$4:$F$1503,_imp!$C$1134))</f>
        <v/>
      </c>
      <c r="E1132" s="47">
        <f>IF(_imp!$C$1134="","",INDEX(_imp!$G$4:$G$1503,_imp!$C$1134))</f>
        <v/>
      </c>
      <c r="F1132" s="47">
        <f>IF(_imp!$C$1134="","",INDEX(_imp!$H$4:$H$1503,_imp!$C$1134))</f>
        <v/>
      </c>
      <c r="G1132" s="47">
        <f>IF(_imp!$C$1134="","",INDEX(_imp!$I$4:$I$1503,_imp!$C$1134))</f>
        <v/>
      </c>
      <c r="K1132" s="47">
        <f>IF(_imp!$C$1134="","",INDEX(_imp!$J$4:$J$1503,_imp!$C$1134))</f>
        <v/>
      </c>
    </row>
    <row r="1133">
      <c r="A1133" s="47">
        <f>IF(_imp!$C$1135="","",INDEX(_imp!$D$4:$D$1503,_imp!$C$1135))</f>
        <v/>
      </c>
      <c r="B1133" s="47">
        <f>IF(_imp!$C$1135="","",INDEX(_imp!$E$4:$E$1503,_imp!$C$1135))</f>
        <v/>
      </c>
      <c r="C1133" s="47">
        <f>IF(_imp!$C$1135="","",INDEX(_imp!$F$4:$F$1503,_imp!$C$1135))</f>
        <v/>
      </c>
      <c r="E1133" s="47">
        <f>IF(_imp!$C$1135="","",INDEX(_imp!$G$4:$G$1503,_imp!$C$1135))</f>
        <v/>
      </c>
      <c r="F1133" s="47">
        <f>IF(_imp!$C$1135="","",INDEX(_imp!$H$4:$H$1503,_imp!$C$1135))</f>
        <v/>
      </c>
      <c r="G1133" s="47">
        <f>IF(_imp!$C$1135="","",INDEX(_imp!$I$4:$I$1503,_imp!$C$1135))</f>
        <v/>
      </c>
      <c r="K1133" s="47">
        <f>IF(_imp!$C$1135="","",INDEX(_imp!$J$4:$J$1503,_imp!$C$1135))</f>
        <v/>
      </c>
    </row>
    <row r="1134">
      <c r="A1134" s="47">
        <f>IF(_imp!$C$1136="","",INDEX(_imp!$D$4:$D$1503,_imp!$C$1136))</f>
        <v/>
      </c>
      <c r="B1134" s="47">
        <f>IF(_imp!$C$1136="","",INDEX(_imp!$E$4:$E$1503,_imp!$C$1136))</f>
        <v/>
      </c>
      <c r="C1134" s="47">
        <f>IF(_imp!$C$1136="","",INDEX(_imp!$F$4:$F$1503,_imp!$C$1136))</f>
        <v/>
      </c>
      <c r="E1134" s="47">
        <f>IF(_imp!$C$1136="","",INDEX(_imp!$G$4:$G$1503,_imp!$C$1136))</f>
        <v/>
      </c>
      <c r="F1134" s="47">
        <f>IF(_imp!$C$1136="","",INDEX(_imp!$H$4:$H$1503,_imp!$C$1136))</f>
        <v/>
      </c>
      <c r="G1134" s="47">
        <f>IF(_imp!$C$1136="","",INDEX(_imp!$I$4:$I$1503,_imp!$C$1136))</f>
        <v/>
      </c>
      <c r="K1134" s="47">
        <f>IF(_imp!$C$1136="","",INDEX(_imp!$J$4:$J$1503,_imp!$C$1136))</f>
        <v/>
      </c>
    </row>
    <row r="1135">
      <c r="A1135" s="47">
        <f>IF(_imp!$C$1137="","",INDEX(_imp!$D$4:$D$1503,_imp!$C$1137))</f>
        <v/>
      </c>
      <c r="B1135" s="47">
        <f>IF(_imp!$C$1137="","",INDEX(_imp!$E$4:$E$1503,_imp!$C$1137))</f>
        <v/>
      </c>
      <c r="C1135" s="47">
        <f>IF(_imp!$C$1137="","",INDEX(_imp!$F$4:$F$1503,_imp!$C$1137))</f>
        <v/>
      </c>
      <c r="E1135" s="47">
        <f>IF(_imp!$C$1137="","",INDEX(_imp!$G$4:$G$1503,_imp!$C$1137))</f>
        <v/>
      </c>
      <c r="F1135" s="47">
        <f>IF(_imp!$C$1137="","",INDEX(_imp!$H$4:$H$1503,_imp!$C$1137))</f>
        <v/>
      </c>
      <c r="G1135" s="47">
        <f>IF(_imp!$C$1137="","",INDEX(_imp!$I$4:$I$1503,_imp!$C$1137))</f>
        <v/>
      </c>
      <c r="K1135" s="47">
        <f>IF(_imp!$C$1137="","",INDEX(_imp!$J$4:$J$1503,_imp!$C$1137))</f>
        <v/>
      </c>
    </row>
    <row r="1136">
      <c r="A1136" s="47">
        <f>IF(_imp!$C$1138="","",INDEX(_imp!$D$4:$D$1503,_imp!$C$1138))</f>
        <v/>
      </c>
      <c r="B1136" s="47">
        <f>IF(_imp!$C$1138="","",INDEX(_imp!$E$4:$E$1503,_imp!$C$1138))</f>
        <v/>
      </c>
      <c r="C1136" s="47">
        <f>IF(_imp!$C$1138="","",INDEX(_imp!$F$4:$F$1503,_imp!$C$1138))</f>
        <v/>
      </c>
      <c r="E1136" s="47">
        <f>IF(_imp!$C$1138="","",INDEX(_imp!$G$4:$G$1503,_imp!$C$1138))</f>
        <v/>
      </c>
      <c r="F1136" s="47">
        <f>IF(_imp!$C$1138="","",INDEX(_imp!$H$4:$H$1503,_imp!$C$1138))</f>
        <v/>
      </c>
      <c r="G1136" s="47">
        <f>IF(_imp!$C$1138="","",INDEX(_imp!$I$4:$I$1503,_imp!$C$1138))</f>
        <v/>
      </c>
      <c r="K1136" s="47">
        <f>IF(_imp!$C$1138="","",INDEX(_imp!$J$4:$J$1503,_imp!$C$1138))</f>
        <v/>
      </c>
    </row>
    <row r="1137">
      <c r="A1137" s="47">
        <f>IF(_imp!$C$1139="","",INDEX(_imp!$D$4:$D$1503,_imp!$C$1139))</f>
        <v/>
      </c>
      <c r="B1137" s="47">
        <f>IF(_imp!$C$1139="","",INDEX(_imp!$E$4:$E$1503,_imp!$C$1139))</f>
        <v/>
      </c>
      <c r="C1137" s="47">
        <f>IF(_imp!$C$1139="","",INDEX(_imp!$F$4:$F$1503,_imp!$C$1139))</f>
        <v/>
      </c>
      <c r="E1137" s="47">
        <f>IF(_imp!$C$1139="","",INDEX(_imp!$G$4:$G$1503,_imp!$C$1139))</f>
        <v/>
      </c>
      <c r="F1137" s="47">
        <f>IF(_imp!$C$1139="","",INDEX(_imp!$H$4:$H$1503,_imp!$C$1139))</f>
        <v/>
      </c>
      <c r="G1137" s="47">
        <f>IF(_imp!$C$1139="","",INDEX(_imp!$I$4:$I$1503,_imp!$C$1139))</f>
        <v/>
      </c>
      <c r="K1137" s="47">
        <f>IF(_imp!$C$1139="","",INDEX(_imp!$J$4:$J$1503,_imp!$C$1139))</f>
        <v/>
      </c>
    </row>
    <row r="1138">
      <c r="A1138" s="47">
        <f>IF(_imp!$C$1140="","",INDEX(_imp!$D$4:$D$1503,_imp!$C$1140))</f>
        <v/>
      </c>
      <c r="B1138" s="47">
        <f>IF(_imp!$C$1140="","",INDEX(_imp!$E$4:$E$1503,_imp!$C$1140))</f>
        <v/>
      </c>
      <c r="C1138" s="47">
        <f>IF(_imp!$C$1140="","",INDEX(_imp!$F$4:$F$1503,_imp!$C$1140))</f>
        <v/>
      </c>
      <c r="E1138" s="47">
        <f>IF(_imp!$C$1140="","",INDEX(_imp!$G$4:$G$1503,_imp!$C$1140))</f>
        <v/>
      </c>
      <c r="F1138" s="47">
        <f>IF(_imp!$C$1140="","",INDEX(_imp!$H$4:$H$1503,_imp!$C$1140))</f>
        <v/>
      </c>
      <c r="G1138" s="47">
        <f>IF(_imp!$C$1140="","",INDEX(_imp!$I$4:$I$1503,_imp!$C$1140))</f>
        <v/>
      </c>
      <c r="K1138" s="47">
        <f>IF(_imp!$C$1140="","",INDEX(_imp!$J$4:$J$1503,_imp!$C$1140))</f>
        <v/>
      </c>
    </row>
    <row r="1139">
      <c r="A1139" s="47">
        <f>IF(_imp!$C$1141="","",INDEX(_imp!$D$4:$D$1503,_imp!$C$1141))</f>
        <v/>
      </c>
      <c r="B1139" s="47">
        <f>IF(_imp!$C$1141="","",INDEX(_imp!$E$4:$E$1503,_imp!$C$1141))</f>
        <v/>
      </c>
      <c r="C1139" s="47">
        <f>IF(_imp!$C$1141="","",INDEX(_imp!$F$4:$F$1503,_imp!$C$1141))</f>
        <v/>
      </c>
      <c r="E1139" s="47">
        <f>IF(_imp!$C$1141="","",INDEX(_imp!$G$4:$G$1503,_imp!$C$1141))</f>
        <v/>
      </c>
      <c r="F1139" s="47">
        <f>IF(_imp!$C$1141="","",INDEX(_imp!$H$4:$H$1503,_imp!$C$1141))</f>
        <v/>
      </c>
      <c r="G1139" s="47">
        <f>IF(_imp!$C$1141="","",INDEX(_imp!$I$4:$I$1503,_imp!$C$1141))</f>
        <v/>
      </c>
      <c r="K1139" s="47">
        <f>IF(_imp!$C$1141="","",INDEX(_imp!$J$4:$J$1503,_imp!$C$1141))</f>
        <v/>
      </c>
    </row>
    <row r="1140">
      <c r="A1140" s="47">
        <f>IF(_imp!$C$1142="","",INDEX(_imp!$D$4:$D$1503,_imp!$C$1142))</f>
        <v/>
      </c>
      <c r="B1140" s="47">
        <f>IF(_imp!$C$1142="","",INDEX(_imp!$E$4:$E$1503,_imp!$C$1142))</f>
        <v/>
      </c>
      <c r="C1140" s="47">
        <f>IF(_imp!$C$1142="","",INDEX(_imp!$F$4:$F$1503,_imp!$C$1142))</f>
        <v/>
      </c>
      <c r="E1140" s="47">
        <f>IF(_imp!$C$1142="","",INDEX(_imp!$G$4:$G$1503,_imp!$C$1142))</f>
        <v/>
      </c>
      <c r="F1140" s="47">
        <f>IF(_imp!$C$1142="","",INDEX(_imp!$H$4:$H$1503,_imp!$C$1142))</f>
        <v/>
      </c>
      <c r="G1140" s="47">
        <f>IF(_imp!$C$1142="","",INDEX(_imp!$I$4:$I$1503,_imp!$C$1142))</f>
        <v/>
      </c>
      <c r="K1140" s="47">
        <f>IF(_imp!$C$1142="","",INDEX(_imp!$J$4:$J$1503,_imp!$C$1142))</f>
        <v/>
      </c>
    </row>
    <row r="1141">
      <c r="A1141" s="47">
        <f>IF(_imp!$C$1143="","",INDEX(_imp!$D$4:$D$1503,_imp!$C$1143))</f>
        <v/>
      </c>
      <c r="B1141" s="47">
        <f>IF(_imp!$C$1143="","",INDEX(_imp!$E$4:$E$1503,_imp!$C$1143))</f>
        <v/>
      </c>
      <c r="C1141" s="47">
        <f>IF(_imp!$C$1143="","",INDEX(_imp!$F$4:$F$1503,_imp!$C$1143))</f>
        <v/>
      </c>
      <c r="E1141" s="47">
        <f>IF(_imp!$C$1143="","",INDEX(_imp!$G$4:$G$1503,_imp!$C$1143))</f>
        <v/>
      </c>
      <c r="F1141" s="47">
        <f>IF(_imp!$C$1143="","",INDEX(_imp!$H$4:$H$1503,_imp!$C$1143))</f>
        <v/>
      </c>
      <c r="G1141" s="47">
        <f>IF(_imp!$C$1143="","",INDEX(_imp!$I$4:$I$1503,_imp!$C$1143))</f>
        <v/>
      </c>
      <c r="K1141" s="47">
        <f>IF(_imp!$C$1143="","",INDEX(_imp!$J$4:$J$1503,_imp!$C$1143))</f>
        <v/>
      </c>
    </row>
    <row r="1142">
      <c r="A1142" s="47">
        <f>IF(_imp!$C$1144="","",INDEX(_imp!$D$4:$D$1503,_imp!$C$1144))</f>
        <v/>
      </c>
      <c r="B1142" s="47">
        <f>IF(_imp!$C$1144="","",INDEX(_imp!$E$4:$E$1503,_imp!$C$1144))</f>
        <v/>
      </c>
      <c r="C1142" s="47">
        <f>IF(_imp!$C$1144="","",INDEX(_imp!$F$4:$F$1503,_imp!$C$1144))</f>
        <v/>
      </c>
      <c r="E1142" s="47">
        <f>IF(_imp!$C$1144="","",INDEX(_imp!$G$4:$G$1503,_imp!$C$1144))</f>
        <v/>
      </c>
      <c r="F1142" s="47">
        <f>IF(_imp!$C$1144="","",INDEX(_imp!$H$4:$H$1503,_imp!$C$1144))</f>
        <v/>
      </c>
      <c r="G1142" s="47">
        <f>IF(_imp!$C$1144="","",INDEX(_imp!$I$4:$I$1503,_imp!$C$1144))</f>
        <v/>
      </c>
      <c r="K1142" s="47">
        <f>IF(_imp!$C$1144="","",INDEX(_imp!$J$4:$J$1503,_imp!$C$1144))</f>
        <v/>
      </c>
    </row>
    <row r="1143">
      <c r="A1143" s="47">
        <f>IF(_imp!$C$1145="","",INDEX(_imp!$D$4:$D$1503,_imp!$C$1145))</f>
        <v/>
      </c>
      <c r="B1143" s="47">
        <f>IF(_imp!$C$1145="","",INDEX(_imp!$E$4:$E$1503,_imp!$C$1145))</f>
        <v/>
      </c>
      <c r="C1143" s="47">
        <f>IF(_imp!$C$1145="","",INDEX(_imp!$F$4:$F$1503,_imp!$C$1145))</f>
        <v/>
      </c>
      <c r="E1143" s="47">
        <f>IF(_imp!$C$1145="","",INDEX(_imp!$G$4:$G$1503,_imp!$C$1145))</f>
        <v/>
      </c>
      <c r="F1143" s="47">
        <f>IF(_imp!$C$1145="","",INDEX(_imp!$H$4:$H$1503,_imp!$C$1145))</f>
        <v/>
      </c>
      <c r="G1143" s="47">
        <f>IF(_imp!$C$1145="","",INDEX(_imp!$I$4:$I$1503,_imp!$C$1145))</f>
        <v/>
      </c>
      <c r="K1143" s="47">
        <f>IF(_imp!$C$1145="","",INDEX(_imp!$J$4:$J$1503,_imp!$C$1145))</f>
        <v/>
      </c>
    </row>
    <row r="1144">
      <c r="A1144" s="47">
        <f>IF(_imp!$C$1146="","",INDEX(_imp!$D$4:$D$1503,_imp!$C$1146))</f>
        <v/>
      </c>
      <c r="B1144" s="47">
        <f>IF(_imp!$C$1146="","",INDEX(_imp!$E$4:$E$1503,_imp!$C$1146))</f>
        <v/>
      </c>
      <c r="C1144" s="47">
        <f>IF(_imp!$C$1146="","",INDEX(_imp!$F$4:$F$1503,_imp!$C$1146))</f>
        <v/>
      </c>
      <c r="E1144" s="47">
        <f>IF(_imp!$C$1146="","",INDEX(_imp!$G$4:$G$1503,_imp!$C$1146))</f>
        <v/>
      </c>
      <c r="F1144" s="47">
        <f>IF(_imp!$C$1146="","",INDEX(_imp!$H$4:$H$1503,_imp!$C$1146))</f>
        <v/>
      </c>
      <c r="G1144" s="47">
        <f>IF(_imp!$C$1146="","",INDEX(_imp!$I$4:$I$1503,_imp!$C$1146))</f>
        <v/>
      </c>
      <c r="K1144" s="47">
        <f>IF(_imp!$C$1146="","",INDEX(_imp!$J$4:$J$1503,_imp!$C$1146))</f>
        <v/>
      </c>
    </row>
    <row r="1145">
      <c r="A1145" s="47">
        <f>IF(_imp!$C$1147="","",INDEX(_imp!$D$4:$D$1503,_imp!$C$1147))</f>
        <v/>
      </c>
      <c r="B1145" s="47">
        <f>IF(_imp!$C$1147="","",INDEX(_imp!$E$4:$E$1503,_imp!$C$1147))</f>
        <v/>
      </c>
      <c r="C1145" s="47">
        <f>IF(_imp!$C$1147="","",INDEX(_imp!$F$4:$F$1503,_imp!$C$1147))</f>
        <v/>
      </c>
      <c r="E1145" s="47">
        <f>IF(_imp!$C$1147="","",INDEX(_imp!$G$4:$G$1503,_imp!$C$1147))</f>
        <v/>
      </c>
      <c r="F1145" s="47">
        <f>IF(_imp!$C$1147="","",INDEX(_imp!$H$4:$H$1503,_imp!$C$1147))</f>
        <v/>
      </c>
      <c r="G1145" s="47">
        <f>IF(_imp!$C$1147="","",INDEX(_imp!$I$4:$I$1503,_imp!$C$1147))</f>
        <v/>
      </c>
      <c r="K1145" s="47">
        <f>IF(_imp!$C$1147="","",INDEX(_imp!$J$4:$J$1503,_imp!$C$1147))</f>
        <v/>
      </c>
    </row>
    <row r="1146">
      <c r="A1146" s="47">
        <f>IF(_imp!$C$1148="","",INDEX(_imp!$D$4:$D$1503,_imp!$C$1148))</f>
        <v/>
      </c>
      <c r="B1146" s="47">
        <f>IF(_imp!$C$1148="","",INDEX(_imp!$E$4:$E$1503,_imp!$C$1148))</f>
        <v/>
      </c>
      <c r="C1146" s="47">
        <f>IF(_imp!$C$1148="","",INDEX(_imp!$F$4:$F$1503,_imp!$C$1148))</f>
        <v/>
      </c>
      <c r="E1146" s="47">
        <f>IF(_imp!$C$1148="","",INDEX(_imp!$G$4:$G$1503,_imp!$C$1148))</f>
        <v/>
      </c>
      <c r="F1146" s="47">
        <f>IF(_imp!$C$1148="","",INDEX(_imp!$H$4:$H$1503,_imp!$C$1148))</f>
        <v/>
      </c>
      <c r="G1146" s="47">
        <f>IF(_imp!$C$1148="","",INDEX(_imp!$I$4:$I$1503,_imp!$C$1148))</f>
        <v/>
      </c>
      <c r="K1146" s="47">
        <f>IF(_imp!$C$1148="","",INDEX(_imp!$J$4:$J$1503,_imp!$C$1148))</f>
        <v/>
      </c>
    </row>
    <row r="1147">
      <c r="A1147" s="47">
        <f>IF(_imp!$C$1149="","",INDEX(_imp!$D$4:$D$1503,_imp!$C$1149))</f>
        <v/>
      </c>
      <c r="B1147" s="47">
        <f>IF(_imp!$C$1149="","",INDEX(_imp!$E$4:$E$1503,_imp!$C$1149))</f>
        <v/>
      </c>
      <c r="C1147" s="47">
        <f>IF(_imp!$C$1149="","",INDEX(_imp!$F$4:$F$1503,_imp!$C$1149))</f>
        <v/>
      </c>
      <c r="E1147" s="47">
        <f>IF(_imp!$C$1149="","",INDEX(_imp!$G$4:$G$1503,_imp!$C$1149))</f>
        <v/>
      </c>
      <c r="F1147" s="47">
        <f>IF(_imp!$C$1149="","",INDEX(_imp!$H$4:$H$1503,_imp!$C$1149))</f>
        <v/>
      </c>
      <c r="G1147" s="47">
        <f>IF(_imp!$C$1149="","",INDEX(_imp!$I$4:$I$1503,_imp!$C$1149))</f>
        <v/>
      </c>
      <c r="K1147" s="47">
        <f>IF(_imp!$C$1149="","",INDEX(_imp!$J$4:$J$1503,_imp!$C$1149))</f>
        <v/>
      </c>
    </row>
    <row r="1148">
      <c r="A1148" s="47">
        <f>IF(_imp!$C$1150="","",INDEX(_imp!$D$4:$D$1503,_imp!$C$1150))</f>
        <v/>
      </c>
      <c r="B1148" s="47">
        <f>IF(_imp!$C$1150="","",INDEX(_imp!$E$4:$E$1503,_imp!$C$1150))</f>
        <v/>
      </c>
      <c r="C1148" s="47">
        <f>IF(_imp!$C$1150="","",INDEX(_imp!$F$4:$F$1503,_imp!$C$1150))</f>
        <v/>
      </c>
      <c r="E1148" s="47">
        <f>IF(_imp!$C$1150="","",INDEX(_imp!$G$4:$G$1503,_imp!$C$1150))</f>
        <v/>
      </c>
      <c r="F1148" s="47">
        <f>IF(_imp!$C$1150="","",INDEX(_imp!$H$4:$H$1503,_imp!$C$1150))</f>
        <v/>
      </c>
      <c r="G1148" s="47">
        <f>IF(_imp!$C$1150="","",INDEX(_imp!$I$4:$I$1503,_imp!$C$1150))</f>
        <v/>
      </c>
      <c r="K1148" s="47">
        <f>IF(_imp!$C$1150="","",INDEX(_imp!$J$4:$J$1503,_imp!$C$1150))</f>
        <v/>
      </c>
    </row>
    <row r="1149">
      <c r="A1149" s="47">
        <f>IF(_imp!$C$1151="","",INDEX(_imp!$D$4:$D$1503,_imp!$C$1151))</f>
        <v/>
      </c>
      <c r="B1149" s="47">
        <f>IF(_imp!$C$1151="","",INDEX(_imp!$E$4:$E$1503,_imp!$C$1151))</f>
        <v/>
      </c>
      <c r="C1149" s="47">
        <f>IF(_imp!$C$1151="","",INDEX(_imp!$F$4:$F$1503,_imp!$C$1151))</f>
        <v/>
      </c>
      <c r="E1149" s="47">
        <f>IF(_imp!$C$1151="","",INDEX(_imp!$G$4:$G$1503,_imp!$C$1151))</f>
        <v/>
      </c>
      <c r="F1149" s="47">
        <f>IF(_imp!$C$1151="","",INDEX(_imp!$H$4:$H$1503,_imp!$C$1151))</f>
        <v/>
      </c>
      <c r="G1149" s="47">
        <f>IF(_imp!$C$1151="","",INDEX(_imp!$I$4:$I$1503,_imp!$C$1151))</f>
        <v/>
      </c>
      <c r="K1149" s="47">
        <f>IF(_imp!$C$1151="","",INDEX(_imp!$J$4:$J$1503,_imp!$C$1151))</f>
        <v/>
      </c>
    </row>
    <row r="1150">
      <c r="A1150" s="47">
        <f>IF(_imp!$C$1152="","",INDEX(_imp!$D$4:$D$1503,_imp!$C$1152))</f>
        <v/>
      </c>
      <c r="B1150" s="47">
        <f>IF(_imp!$C$1152="","",INDEX(_imp!$E$4:$E$1503,_imp!$C$1152))</f>
        <v/>
      </c>
      <c r="C1150" s="47">
        <f>IF(_imp!$C$1152="","",INDEX(_imp!$F$4:$F$1503,_imp!$C$1152))</f>
        <v/>
      </c>
      <c r="E1150" s="47">
        <f>IF(_imp!$C$1152="","",INDEX(_imp!$G$4:$G$1503,_imp!$C$1152))</f>
        <v/>
      </c>
      <c r="F1150" s="47">
        <f>IF(_imp!$C$1152="","",INDEX(_imp!$H$4:$H$1503,_imp!$C$1152))</f>
        <v/>
      </c>
      <c r="G1150" s="47">
        <f>IF(_imp!$C$1152="","",INDEX(_imp!$I$4:$I$1503,_imp!$C$1152))</f>
        <v/>
      </c>
      <c r="K1150" s="47">
        <f>IF(_imp!$C$1152="","",INDEX(_imp!$J$4:$J$1503,_imp!$C$1152))</f>
        <v/>
      </c>
    </row>
    <row r="1151">
      <c r="A1151" s="47">
        <f>IF(_imp!$C$1153="","",INDEX(_imp!$D$4:$D$1503,_imp!$C$1153))</f>
        <v/>
      </c>
      <c r="B1151" s="47">
        <f>IF(_imp!$C$1153="","",INDEX(_imp!$E$4:$E$1503,_imp!$C$1153))</f>
        <v/>
      </c>
      <c r="C1151" s="47">
        <f>IF(_imp!$C$1153="","",INDEX(_imp!$F$4:$F$1503,_imp!$C$1153))</f>
        <v/>
      </c>
      <c r="E1151" s="47">
        <f>IF(_imp!$C$1153="","",INDEX(_imp!$G$4:$G$1503,_imp!$C$1153))</f>
        <v/>
      </c>
      <c r="F1151" s="47">
        <f>IF(_imp!$C$1153="","",INDEX(_imp!$H$4:$H$1503,_imp!$C$1153))</f>
        <v/>
      </c>
      <c r="G1151" s="47">
        <f>IF(_imp!$C$1153="","",INDEX(_imp!$I$4:$I$1503,_imp!$C$1153))</f>
        <v/>
      </c>
      <c r="K1151" s="47">
        <f>IF(_imp!$C$1153="","",INDEX(_imp!$J$4:$J$1503,_imp!$C$1153))</f>
        <v/>
      </c>
    </row>
    <row r="1152">
      <c r="A1152" s="47">
        <f>IF(_imp!$C$1154="","",INDEX(_imp!$D$4:$D$1503,_imp!$C$1154))</f>
        <v/>
      </c>
      <c r="B1152" s="47">
        <f>IF(_imp!$C$1154="","",INDEX(_imp!$E$4:$E$1503,_imp!$C$1154))</f>
        <v/>
      </c>
      <c r="C1152" s="47">
        <f>IF(_imp!$C$1154="","",INDEX(_imp!$F$4:$F$1503,_imp!$C$1154))</f>
        <v/>
      </c>
      <c r="E1152" s="47">
        <f>IF(_imp!$C$1154="","",INDEX(_imp!$G$4:$G$1503,_imp!$C$1154))</f>
        <v/>
      </c>
      <c r="F1152" s="47">
        <f>IF(_imp!$C$1154="","",INDEX(_imp!$H$4:$H$1503,_imp!$C$1154))</f>
        <v/>
      </c>
      <c r="G1152" s="47">
        <f>IF(_imp!$C$1154="","",INDEX(_imp!$I$4:$I$1503,_imp!$C$1154))</f>
        <v/>
      </c>
      <c r="K1152" s="47">
        <f>IF(_imp!$C$1154="","",INDEX(_imp!$J$4:$J$1503,_imp!$C$1154))</f>
        <v/>
      </c>
    </row>
    <row r="1153">
      <c r="A1153" s="47">
        <f>IF(_imp!$C$1155="","",INDEX(_imp!$D$4:$D$1503,_imp!$C$1155))</f>
        <v/>
      </c>
      <c r="B1153" s="47">
        <f>IF(_imp!$C$1155="","",INDEX(_imp!$E$4:$E$1503,_imp!$C$1155))</f>
        <v/>
      </c>
      <c r="C1153" s="47">
        <f>IF(_imp!$C$1155="","",INDEX(_imp!$F$4:$F$1503,_imp!$C$1155))</f>
        <v/>
      </c>
      <c r="E1153" s="47">
        <f>IF(_imp!$C$1155="","",INDEX(_imp!$G$4:$G$1503,_imp!$C$1155))</f>
        <v/>
      </c>
      <c r="F1153" s="47">
        <f>IF(_imp!$C$1155="","",INDEX(_imp!$H$4:$H$1503,_imp!$C$1155))</f>
        <v/>
      </c>
      <c r="G1153" s="47">
        <f>IF(_imp!$C$1155="","",INDEX(_imp!$I$4:$I$1503,_imp!$C$1155))</f>
        <v/>
      </c>
      <c r="K1153" s="47">
        <f>IF(_imp!$C$1155="","",INDEX(_imp!$J$4:$J$1503,_imp!$C$1155))</f>
        <v/>
      </c>
    </row>
    <row r="1154">
      <c r="A1154" s="47">
        <f>IF(_imp!$C$1156="","",INDEX(_imp!$D$4:$D$1503,_imp!$C$1156))</f>
        <v/>
      </c>
      <c r="B1154" s="47">
        <f>IF(_imp!$C$1156="","",INDEX(_imp!$E$4:$E$1503,_imp!$C$1156))</f>
        <v/>
      </c>
      <c r="C1154" s="47">
        <f>IF(_imp!$C$1156="","",INDEX(_imp!$F$4:$F$1503,_imp!$C$1156))</f>
        <v/>
      </c>
      <c r="E1154" s="47">
        <f>IF(_imp!$C$1156="","",INDEX(_imp!$G$4:$G$1503,_imp!$C$1156))</f>
        <v/>
      </c>
      <c r="F1154" s="47">
        <f>IF(_imp!$C$1156="","",INDEX(_imp!$H$4:$H$1503,_imp!$C$1156))</f>
        <v/>
      </c>
      <c r="G1154" s="47">
        <f>IF(_imp!$C$1156="","",INDEX(_imp!$I$4:$I$1503,_imp!$C$1156))</f>
        <v/>
      </c>
      <c r="K1154" s="47">
        <f>IF(_imp!$C$1156="","",INDEX(_imp!$J$4:$J$1503,_imp!$C$1156))</f>
        <v/>
      </c>
    </row>
    <row r="1155">
      <c r="A1155" s="47">
        <f>IF(_imp!$C$1157="","",INDEX(_imp!$D$4:$D$1503,_imp!$C$1157))</f>
        <v/>
      </c>
      <c r="B1155" s="47">
        <f>IF(_imp!$C$1157="","",INDEX(_imp!$E$4:$E$1503,_imp!$C$1157))</f>
        <v/>
      </c>
      <c r="C1155" s="47">
        <f>IF(_imp!$C$1157="","",INDEX(_imp!$F$4:$F$1503,_imp!$C$1157))</f>
        <v/>
      </c>
      <c r="E1155" s="47">
        <f>IF(_imp!$C$1157="","",INDEX(_imp!$G$4:$G$1503,_imp!$C$1157))</f>
        <v/>
      </c>
      <c r="F1155" s="47">
        <f>IF(_imp!$C$1157="","",INDEX(_imp!$H$4:$H$1503,_imp!$C$1157))</f>
        <v/>
      </c>
      <c r="G1155" s="47">
        <f>IF(_imp!$C$1157="","",INDEX(_imp!$I$4:$I$1503,_imp!$C$1157))</f>
        <v/>
      </c>
      <c r="K1155" s="47">
        <f>IF(_imp!$C$1157="","",INDEX(_imp!$J$4:$J$1503,_imp!$C$1157))</f>
        <v/>
      </c>
    </row>
    <row r="1156">
      <c r="A1156" s="47">
        <f>IF(_imp!$C$1158="","",INDEX(_imp!$D$4:$D$1503,_imp!$C$1158))</f>
        <v/>
      </c>
      <c r="B1156" s="47">
        <f>IF(_imp!$C$1158="","",INDEX(_imp!$E$4:$E$1503,_imp!$C$1158))</f>
        <v/>
      </c>
      <c r="C1156" s="47">
        <f>IF(_imp!$C$1158="","",INDEX(_imp!$F$4:$F$1503,_imp!$C$1158))</f>
        <v/>
      </c>
      <c r="E1156" s="47">
        <f>IF(_imp!$C$1158="","",INDEX(_imp!$G$4:$G$1503,_imp!$C$1158))</f>
        <v/>
      </c>
      <c r="F1156" s="47">
        <f>IF(_imp!$C$1158="","",INDEX(_imp!$H$4:$H$1503,_imp!$C$1158))</f>
        <v/>
      </c>
      <c r="G1156" s="47">
        <f>IF(_imp!$C$1158="","",INDEX(_imp!$I$4:$I$1503,_imp!$C$1158))</f>
        <v/>
      </c>
      <c r="K1156" s="47">
        <f>IF(_imp!$C$1158="","",INDEX(_imp!$J$4:$J$1503,_imp!$C$1158))</f>
        <v/>
      </c>
    </row>
    <row r="1157">
      <c r="A1157" s="47">
        <f>IF(_imp!$C$1159="","",INDEX(_imp!$D$4:$D$1503,_imp!$C$1159))</f>
        <v/>
      </c>
      <c r="B1157" s="47">
        <f>IF(_imp!$C$1159="","",INDEX(_imp!$E$4:$E$1503,_imp!$C$1159))</f>
        <v/>
      </c>
      <c r="C1157" s="47">
        <f>IF(_imp!$C$1159="","",INDEX(_imp!$F$4:$F$1503,_imp!$C$1159))</f>
        <v/>
      </c>
      <c r="E1157" s="47">
        <f>IF(_imp!$C$1159="","",INDEX(_imp!$G$4:$G$1503,_imp!$C$1159))</f>
        <v/>
      </c>
      <c r="F1157" s="47">
        <f>IF(_imp!$C$1159="","",INDEX(_imp!$H$4:$H$1503,_imp!$C$1159))</f>
        <v/>
      </c>
      <c r="G1157" s="47">
        <f>IF(_imp!$C$1159="","",INDEX(_imp!$I$4:$I$1503,_imp!$C$1159))</f>
        <v/>
      </c>
      <c r="K1157" s="47">
        <f>IF(_imp!$C$1159="","",INDEX(_imp!$J$4:$J$1503,_imp!$C$1159))</f>
        <v/>
      </c>
    </row>
    <row r="1158">
      <c r="A1158" s="47">
        <f>IF(_imp!$C$1160="","",INDEX(_imp!$D$4:$D$1503,_imp!$C$1160))</f>
        <v/>
      </c>
      <c r="B1158" s="47">
        <f>IF(_imp!$C$1160="","",INDEX(_imp!$E$4:$E$1503,_imp!$C$1160))</f>
        <v/>
      </c>
      <c r="C1158" s="47">
        <f>IF(_imp!$C$1160="","",INDEX(_imp!$F$4:$F$1503,_imp!$C$1160))</f>
        <v/>
      </c>
      <c r="E1158" s="47">
        <f>IF(_imp!$C$1160="","",INDEX(_imp!$G$4:$G$1503,_imp!$C$1160))</f>
        <v/>
      </c>
      <c r="F1158" s="47">
        <f>IF(_imp!$C$1160="","",INDEX(_imp!$H$4:$H$1503,_imp!$C$1160))</f>
        <v/>
      </c>
      <c r="G1158" s="47">
        <f>IF(_imp!$C$1160="","",INDEX(_imp!$I$4:$I$1503,_imp!$C$1160))</f>
        <v/>
      </c>
      <c r="K1158" s="47">
        <f>IF(_imp!$C$1160="","",INDEX(_imp!$J$4:$J$1503,_imp!$C$1160))</f>
        <v/>
      </c>
    </row>
    <row r="1159">
      <c r="A1159" s="47">
        <f>IF(_imp!$C$1161="","",INDEX(_imp!$D$4:$D$1503,_imp!$C$1161))</f>
        <v/>
      </c>
      <c r="B1159" s="47">
        <f>IF(_imp!$C$1161="","",INDEX(_imp!$E$4:$E$1503,_imp!$C$1161))</f>
        <v/>
      </c>
      <c r="C1159" s="47">
        <f>IF(_imp!$C$1161="","",INDEX(_imp!$F$4:$F$1503,_imp!$C$1161))</f>
        <v/>
      </c>
      <c r="E1159" s="47">
        <f>IF(_imp!$C$1161="","",INDEX(_imp!$G$4:$G$1503,_imp!$C$1161))</f>
        <v/>
      </c>
      <c r="F1159" s="47">
        <f>IF(_imp!$C$1161="","",INDEX(_imp!$H$4:$H$1503,_imp!$C$1161))</f>
        <v/>
      </c>
      <c r="G1159" s="47">
        <f>IF(_imp!$C$1161="","",INDEX(_imp!$I$4:$I$1503,_imp!$C$1161))</f>
        <v/>
      </c>
      <c r="K1159" s="47">
        <f>IF(_imp!$C$1161="","",INDEX(_imp!$J$4:$J$1503,_imp!$C$1161))</f>
        <v/>
      </c>
    </row>
    <row r="1160">
      <c r="A1160" s="47">
        <f>IF(_imp!$C$1162="","",INDEX(_imp!$D$4:$D$1503,_imp!$C$1162))</f>
        <v/>
      </c>
      <c r="B1160" s="47">
        <f>IF(_imp!$C$1162="","",INDEX(_imp!$E$4:$E$1503,_imp!$C$1162))</f>
        <v/>
      </c>
      <c r="C1160" s="47">
        <f>IF(_imp!$C$1162="","",INDEX(_imp!$F$4:$F$1503,_imp!$C$1162))</f>
        <v/>
      </c>
      <c r="E1160" s="47">
        <f>IF(_imp!$C$1162="","",INDEX(_imp!$G$4:$G$1503,_imp!$C$1162))</f>
        <v/>
      </c>
      <c r="F1160" s="47">
        <f>IF(_imp!$C$1162="","",INDEX(_imp!$H$4:$H$1503,_imp!$C$1162))</f>
        <v/>
      </c>
      <c r="G1160" s="47">
        <f>IF(_imp!$C$1162="","",INDEX(_imp!$I$4:$I$1503,_imp!$C$1162))</f>
        <v/>
      </c>
      <c r="K1160" s="47">
        <f>IF(_imp!$C$1162="","",INDEX(_imp!$J$4:$J$1503,_imp!$C$1162))</f>
        <v/>
      </c>
    </row>
    <row r="1161">
      <c r="A1161" s="47">
        <f>IF(_imp!$C$1163="","",INDEX(_imp!$D$4:$D$1503,_imp!$C$1163))</f>
        <v/>
      </c>
      <c r="B1161" s="47">
        <f>IF(_imp!$C$1163="","",INDEX(_imp!$E$4:$E$1503,_imp!$C$1163))</f>
        <v/>
      </c>
      <c r="C1161" s="47">
        <f>IF(_imp!$C$1163="","",INDEX(_imp!$F$4:$F$1503,_imp!$C$1163))</f>
        <v/>
      </c>
      <c r="E1161" s="47">
        <f>IF(_imp!$C$1163="","",INDEX(_imp!$G$4:$G$1503,_imp!$C$1163))</f>
        <v/>
      </c>
      <c r="F1161" s="47">
        <f>IF(_imp!$C$1163="","",INDEX(_imp!$H$4:$H$1503,_imp!$C$1163))</f>
        <v/>
      </c>
      <c r="G1161" s="47">
        <f>IF(_imp!$C$1163="","",INDEX(_imp!$I$4:$I$1503,_imp!$C$1163))</f>
        <v/>
      </c>
      <c r="K1161" s="47">
        <f>IF(_imp!$C$1163="","",INDEX(_imp!$J$4:$J$1503,_imp!$C$1163))</f>
        <v/>
      </c>
    </row>
    <row r="1162">
      <c r="A1162" s="47">
        <f>IF(_imp!$C$1164="","",INDEX(_imp!$D$4:$D$1503,_imp!$C$1164))</f>
        <v/>
      </c>
      <c r="B1162" s="47">
        <f>IF(_imp!$C$1164="","",INDEX(_imp!$E$4:$E$1503,_imp!$C$1164))</f>
        <v/>
      </c>
      <c r="C1162" s="47">
        <f>IF(_imp!$C$1164="","",INDEX(_imp!$F$4:$F$1503,_imp!$C$1164))</f>
        <v/>
      </c>
      <c r="E1162" s="47">
        <f>IF(_imp!$C$1164="","",INDEX(_imp!$G$4:$G$1503,_imp!$C$1164))</f>
        <v/>
      </c>
      <c r="F1162" s="47">
        <f>IF(_imp!$C$1164="","",INDEX(_imp!$H$4:$H$1503,_imp!$C$1164))</f>
        <v/>
      </c>
      <c r="G1162" s="47">
        <f>IF(_imp!$C$1164="","",INDEX(_imp!$I$4:$I$1503,_imp!$C$1164))</f>
        <v/>
      </c>
      <c r="K1162" s="47">
        <f>IF(_imp!$C$1164="","",INDEX(_imp!$J$4:$J$1503,_imp!$C$1164))</f>
        <v/>
      </c>
    </row>
    <row r="1163">
      <c r="A1163" s="47">
        <f>IF(_imp!$C$1165="","",INDEX(_imp!$D$4:$D$1503,_imp!$C$1165))</f>
        <v/>
      </c>
      <c r="B1163" s="47">
        <f>IF(_imp!$C$1165="","",INDEX(_imp!$E$4:$E$1503,_imp!$C$1165))</f>
        <v/>
      </c>
      <c r="C1163" s="47">
        <f>IF(_imp!$C$1165="","",INDEX(_imp!$F$4:$F$1503,_imp!$C$1165))</f>
        <v/>
      </c>
      <c r="E1163" s="47">
        <f>IF(_imp!$C$1165="","",INDEX(_imp!$G$4:$G$1503,_imp!$C$1165))</f>
        <v/>
      </c>
      <c r="F1163" s="47">
        <f>IF(_imp!$C$1165="","",INDEX(_imp!$H$4:$H$1503,_imp!$C$1165))</f>
        <v/>
      </c>
      <c r="G1163" s="47">
        <f>IF(_imp!$C$1165="","",INDEX(_imp!$I$4:$I$1503,_imp!$C$1165))</f>
        <v/>
      </c>
      <c r="K1163" s="47">
        <f>IF(_imp!$C$1165="","",INDEX(_imp!$J$4:$J$1503,_imp!$C$1165))</f>
        <v/>
      </c>
    </row>
    <row r="1164">
      <c r="A1164" s="47">
        <f>IF(_imp!$C$1166="","",INDEX(_imp!$D$4:$D$1503,_imp!$C$1166))</f>
        <v/>
      </c>
      <c r="B1164" s="47">
        <f>IF(_imp!$C$1166="","",INDEX(_imp!$E$4:$E$1503,_imp!$C$1166))</f>
        <v/>
      </c>
      <c r="C1164" s="47">
        <f>IF(_imp!$C$1166="","",INDEX(_imp!$F$4:$F$1503,_imp!$C$1166))</f>
        <v/>
      </c>
      <c r="E1164" s="47">
        <f>IF(_imp!$C$1166="","",INDEX(_imp!$G$4:$G$1503,_imp!$C$1166))</f>
        <v/>
      </c>
      <c r="F1164" s="47">
        <f>IF(_imp!$C$1166="","",INDEX(_imp!$H$4:$H$1503,_imp!$C$1166))</f>
        <v/>
      </c>
      <c r="G1164" s="47">
        <f>IF(_imp!$C$1166="","",INDEX(_imp!$I$4:$I$1503,_imp!$C$1166))</f>
        <v/>
      </c>
      <c r="K1164" s="47">
        <f>IF(_imp!$C$1166="","",INDEX(_imp!$J$4:$J$1503,_imp!$C$1166))</f>
        <v/>
      </c>
    </row>
    <row r="1165">
      <c r="A1165" s="47">
        <f>IF(_imp!$C$1167="","",INDEX(_imp!$D$4:$D$1503,_imp!$C$1167))</f>
        <v/>
      </c>
      <c r="B1165" s="47">
        <f>IF(_imp!$C$1167="","",INDEX(_imp!$E$4:$E$1503,_imp!$C$1167))</f>
        <v/>
      </c>
      <c r="C1165" s="47">
        <f>IF(_imp!$C$1167="","",INDEX(_imp!$F$4:$F$1503,_imp!$C$1167))</f>
        <v/>
      </c>
      <c r="E1165" s="47">
        <f>IF(_imp!$C$1167="","",INDEX(_imp!$G$4:$G$1503,_imp!$C$1167))</f>
        <v/>
      </c>
      <c r="F1165" s="47">
        <f>IF(_imp!$C$1167="","",INDEX(_imp!$H$4:$H$1503,_imp!$C$1167))</f>
        <v/>
      </c>
      <c r="G1165" s="47">
        <f>IF(_imp!$C$1167="","",INDEX(_imp!$I$4:$I$1503,_imp!$C$1167))</f>
        <v/>
      </c>
      <c r="K1165" s="47">
        <f>IF(_imp!$C$1167="","",INDEX(_imp!$J$4:$J$1503,_imp!$C$1167))</f>
        <v/>
      </c>
    </row>
    <row r="1166">
      <c r="A1166" s="47">
        <f>IF(_imp!$C$1168="","",INDEX(_imp!$D$4:$D$1503,_imp!$C$1168))</f>
        <v/>
      </c>
      <c r="B1166" s="47">
        <f>IF(_imp!$C$1168="","",INDEX(_imp!$E$4:$E$1503,_imp!$C$1168))</f>
        <v/>
      </c>
      <c r="C1166" s="47">
        <f>IF(_imp!$C$1168="","",INDEX(_imp!$F$4:$F$1503,_imp!$C$1168))</f>
        <v/>
      </c>
      <c r="E1166" s="47">
        <f>IF(_imp!$C$1168="","",INDEX(_imp!$G$4:$G$1503,_imp!$C$1168))</f>
        <v/>
      </c>
      <c r="F1166" s="47">
        <f>IF(_imp!$C$1168="","",INDEX(_imp!$H$4:$H$1503,_imp!$C$1168))</f>
        <v/>
      </c>
      <c r="G1166" s="47">
        <f>IF(_imp!$C$1168="","",INDEX(_imp!$I$4:$I$1503,_imp!$C$1168))</f>
        <v/>
      </c>
      <c r="K1166" s="47">
        <f>IF(_imp!$C$1168="","",INDEX(_imp!$J$4:$J$1503,_imp!$C$1168))</f>
        <v/>
      </c>
    </row>
    <row r="1167">
      <c r="A1167" s="47">
        <f>IF(_imp!$C$1169="","",INDEX(_imp!$D$4:$D$1503,_imp!$C$1169))</f>
        <v/>
      </c>
      <c r="B1167" s="47">
        <f>IF(_imp!$C$1169="","",INDEX(_imp!$E$4:$E$1503,_imp!$C$1169))</f>
        <v/>
      </c>
      <c r="C1167" s="47">
        <f>IF(_imp!$C$1169="","",INDEX(_imp!$F$4:$F$1503,_imp!$C$1169))</f>
        <v/>
      </c>
      <c r="E1167" s="47">
        <f>IF(_imp!$C$1169="","",INDEX(_imp!$G$4:$G$1503,_imp!$C$1169))</f>
        <v/>
      </c>
      <c r="F1167" s="47">
        <f>IF(_imp!$C$1169="","",INDEX(_imp!$H$4:$H$1503,_imp!$C$1169))</f>
        <v/>
      </c>
      <c r="G1167" s="47">
        <f>IF(_imp!$C$1169="","",INDEX(_imp!$I$4:$I$1503,_imp!$C$1169))</f>
        <v/>
      </c>
      <c r="K1167" s="47">
        <f>IF(_imp!$C$1169="","",INDEX(_imp!$J$4:$J$1503,_imp!$C$1169))</f>
        <v/>
      </c>
    </row>
    <row r="1168">
      <c r="A1168" s="47">
        <f>IF(_imp!$C$1170="","",INDEX(_imp!$D$4:$D$1503,_imp!$C$1170))</f>
        <v/>
      </c>
      <c r="B1168" s="47">
        <f>IF(_imp!$C$1170="","",INDEX(_imp!$E$4:$E$1503,_imp!$C$1170))</f>
        <v/>
      </c>
      <c r="C1168" s="47">
        <f>IF(_imp!$C$1170="","",INDEX(_imp!$F$4:$F$1503,_imp!$C$1170))</f>
        <v/>
      </c>
      <c r="E1168" s="47">
        <f>IF(_imp!$C$1170="","",INDEX(_imp!$G$4:$G$1503,_imp!$C$1170))</f>
        <v/>
      </c>
      <c r="F1168" s="47">
        <f>IF(_imp!$C$1170="","",INDEX(_imp!$H$4:$H$1503,_imp!$C$1170))</f>
        <v/>
      </c>
      <c r="G1168" s="47">
        <f>IF(_imp!$C$1170="","",INDEX(_imp!$I$4:$I$1503,_imp!$C$1170))</f>
        <v/>
      </c>
      <c r="K1168" s="47">
        <f>IF(_imp!$C$1170="","",INDEX(_imp!$J$4:$J$1503,_imp!$C$1170))</f>
        <v/>
      </c>
    </row>
    <row r="1169">
      <c r="A1169" s="47">
        <f>IF(_imp!$C$1171="","",INDEX(_imp!$D$4:$D$1503,_imp!$C$1171))</f>
        <v/>
      </c>
      <c r="B1169" s="47">
        <f>IF(_imp!$C$1171="","",INDEX(_imp!$E$4:$E$1503,_imp!$C$1171))</f>
        <v/>
      </c>
      <c r="C1169" s="47">
        <f>IF(_imp!$C$1171="","",INDEX(_imp!$F$4:$F$1503,_imp!$C$1171))</f>
        <v/>
      </c>
      <c r="E1169" s="47">
        <f>IF(_imp!$C$1171="","",INDEX(_imp!$G$4:$G$1503,_imp!$C$1171))</f>
        <v/>
      </c>
      <c r="F1169" s="47">
        <f>IF(_imp!$C$1171="","",INDEX(_imp!$H$4:$H$1503,_imp!$C$1171))</f>
        <v/>
      </c>
      <c r="G1169" s="47">
        <f>IF(_imp!$C$1171="","",INDEX(_imp!$I$4:$I$1503,_imp!$C$1171))</f>
        <v/>
      </c>
      <c r="K1169" s="47">
        <f>IF(_imp!$C$1171="","",INDEX(_imp!$J$4:$J$1503,_imp!$C$1171))</f>
        <v/>
      </c>
    </row>
    <row r="1170">
      <c r="A1170" s="47">
        <f>IF(_imp!$C$1172="","",INDEX(_imp!$D$4:$D$1503,_imp!$C$1172))</f>
        <v/>
      </c>
      <c r="B1170" s="47">
        <f>IF(_imp!$C$1172="","",INDEX(_imp!$E$4:$E$1503,_imp!$C$1172))</f>
        <v/>
      </c>
      <c r="C1170" s="47">
        <f>IF(_imp!$C$1172="","",INDEX(_imp!$F$4:$F$1503,_imp!$C$1172))</f>
        <v/>
      </c>
      <c r="E1170" s="47">
        <f>IF(_imp!$C$1172="","",INDEX(_imp!$G$4:$G$1503,_imp!$C$1172))</f>
        <v/>
      </c>
      <c r="F1170" s="47">
        <f>IF(_imp!$C$1172="","",INDEX(_imp!$H$4:$H$1503,_imp!$C$1172))</f>
        <v/>
      </c>
      <c r="G1170" s="47">
        <f>IF(_imp!$C$1172="","",INDEX(_imp!$I$4:$I$1503,_imp!$C$1172))</f>
        <v/>
      </c>
      <c r="K1170" s="47">
        <f>IF(_imp!$C$1172="","",INDEX(_imp!$J$4:$J$1503,_imp!$C$1172))</f>
        <v/>
      </c>
    </row>
    <row r="1171">
      <c r="A1171" s="47">
        <f>IF(_imp!$C$1173="","",INDEX(_imp!$D$4:$D$1503,_imp!$C$1173))</f>
        <v/>
      </c>
      <c r="B1171" s="47">
        <f>IF(_imp!$C$1173="","",INDEX(_imp!$E$4:$E$1503,_imp!$C$1173))</f>
        <v/>
      </c>
      <c r="C1171" s="47">
        <f>IF(_imp!$C$1173="","",INDEX(_imp!$F$4:$F$1503,_imp!$C$1173))</f>
        <v/>
      </c>
      <c r="E1171" s="47">
        <f>IF(_imp!$C$1173="","",INDEX(_imp!$G$4:$G$1503,_imp!$C$1173))</f>
        <v/>
      </c>
      <c r="F1171" s="47">
        <f>IF(_imp!$C$1173="","",INDEX(_imp!$H$4:$H$1503,_imp!$C$1173))</f>
        <v/>
      </c>
      <c r="G1171" s="47">
        <f>IF(_imp!$C$1173="","",INDEX(_imp!$I$4:$I$1503,_imp!$C$1173))</f>
        <v/>
      </c>
      <c r="K1171" s="47">
        <f>IF(_imp!$C$1173="","",INDEX(_imp!$J$4:$J$1503,_imp!$C$1173))</f>
        <v/>
      </c>
    </row>
    <row r="1172">
      <c r="A1172" s="47">
        <f>IF(_imp!$C$1174="","",INDEX(_imp!$D$4:$D$1503,_imp!$C$1174))</f>
        <v/>
      </c>
      <c r="B1172" s="47">
        <f>IF(_imp!$C$1174="","",INDEX(_imp!$E$4:$E$1503,_imp!$C$1174))</f>
        <v/>
      </c>
      <c r="C1172" s="47">
        <f>IF(_imp!$C$1174="","",INDEX(_imp!$F$4:$F$1503,_imp!$C$1174))</f>
        <v/>
      </c>
      <c r="E1172" s="47">
        <f>IF(_imp!$C$1174="","",INDEX(_imp!$G$4:$G$1503,_imp!$C$1174))</f>
        <v/>
      </c>
      <c r="F1172" s="47">
        <f>IF(_imp!$C$1174="","",INDEX(_imp!$H$4:$H$1503,_imp!$C$1174))</f>
        <v/>
      </c>
      <c r="G1172" s="47">
        <f>IF(_imp!$C$1174="","",INDEX(_imp!$I$4:$I$1503,_imp!$C$1174))</f>
        <v/>
      </c>
      <c r="K1172" s="47">
        <f>IF(_imp!$C$1174="","",INDEX(_imp!$J$4:$J$1503,_imp!$C$1174))</f>
        <v/>
      </c>
    </row>
    <row r="1173">
      <c r="A1173" s="47">
        <f>IF(_imp!$C$1175="","",INDEX(_imp!$D$4:$D$1503,_imp!$C$1175))</f>
        <v/>
      </c>
      <c r="B1173" s="47">
        <f>IF(_imp!$C$1175="","",INDEX(_imp!$E$4:$E$1503,_imp!$C$1175))</f>
        <v/>
      </c>
      <c r="C1173" s="47">
        <f>IF(_imp!$C$1175="","",INDEX(_imp!$F$4:$F$1503,_imp!$C$1175))</f>
        <v/>
      </c>
      <c r="E1173" s="47">
        <f>IF(_imp!$C$1175="","",INDEX(_imp!$G$4:$G$1503,_imp!$C$1175))</f>
        <v/>
      </c>
      <c r="F1173" s="47">
        <f>IF(_imp!$C$1175="","",INDEX(_imp!$H$4:$H$1503,_imp!$C$1175))</f>
        <v/>
      </c>
      <c r="G1173" s="47">
        <f>IF(_imp!$C$1175="","",INDEX(_imp!$I$4:$I$1503,_imp!$C$1175))</f>
        <v/>
      </c>
      <c r="K1173" s="47">
        <f>IF(_imp!$C$1175="","",INDEX(_imp!$J$4:$J$1503,_imp!$C$1175))</f>
        <v/>
      </c>
    </row>
    <row r="1174">
      <c r="A1174" s="47">
        <f>IF(_imp!$C$1176="","",INDEX(_imp!$D$4:$D$1503,_imp!$C$1176))</f>
        <v/>
      </c>
      <c r="B1174" s="47">
        <f>IF(_imp!$C$1176="","",INDEX(_imp!$E$4:$E$1503,_imp!$C$1176))</f>
        <v/>
      </c>
      <c r="C1174" s="47">
        <f>IF(_imp!$C$1176="","",INDEX(_imp!$F$4:$F$1503,_imp!$C$1176))</f>
        <v/>
      </c>
      <c r="E1174" s="47">
        <f>IF(_imp!$C$1176="","",INDEX(_imp!$G$4:$G$1503,_imp!$C$1176))</f>
        <v/>
      </c>
      <c r="F1174" s="47">
        <f>IF(_imp!$C$1176="","",INDEX(_imp!$H$4:$H$1503,_imp!$C$1176))</f>
        <v/>
      </c>
      <c r="G1174" s="47">
        <f>IF(_imp!$C$1176="","",INDEX(_imp!$I$4:$I$1503,_imp!$C$1176))</f>
        <v/>
      </c>
      <c r="K1174" s="47">
        <f>IF(_imp!$C$1176="","",INDEX(_imp!$J$4:$J$1503,_imp!$C$1176))</f>
        <v/>
      </c>
    </row>
    <row r="1175">
      <c r="A1175" s="47">
        <f>IF(_imp!$C$1177="","",INDEX(_imp!$D$4:$D$1503,_imp!$C$1177))</f>
        <v/>
      </c>
      <c r="B1175" s="47">
        <f>IF(_imp!$C$1177="","",INDEX(_imp!$E$4:$E$1503,_imp!$C$1177))</f>
        <v/>
      </c>
      <c r="C1175" s="47">
        <f>IF(_imp!$C$1177="","",INDEX(_imp!$F$4:$F$1503,_imp!$C$1177))</f>
        <v/>
      </c>
      <c r="E1175" s="47">
        <f>IF(_imp!$C$1177="","",INDEX(_imp!$G$4:$G$1503,_imp!$C$1177))</f>
        <v/>
      </c>
      <c r="F1175" s="47">
        <f>IF(_imp!$C$1177="","",INDEX(_imp!$H$4:$H$1503,_imp!$C$1177))</f>
        <v/>
      </c>
      <c r="G1175" s="47">
        <f>IF(_imp!$C$1177="","",INDEX(_imp!$I$4:$I$1503,_imp!$C$1177))</f>
        <v/>
      </c>
      <c r="K1175" s="47">
        <f>IF(_imp!$C$1177="","",INDEX(_imp!$J$4:$J$1503,_imp!$C$1177))</f>
        <v/>
      </c>
    </row>
    <row r="1176">
      <c r="A1176" s="47">
        <f>IF(_imp!$C$1178="","",INDEX(_imp!$D$4:$D$1503,_imp!$C$1178))</f>
        <v/>
      </c>
      <c r="B1176" s="47">
        <f>IF(_imp!$C$1178="","",INDEX(_imp!$E$4:$E$1503,_imp!$C$1178))</f>
        <v/>
      </c>
      <c r="C1176" s="47">
        <f>IF(_imp!$C$1178="","",INDEX(_imp!$F$4:$F$1503,_imp!$C$1178))</f>
        <v/>
      </c>
      <c r="E1176" s="47">
        <f>IF(_imp!$C$1178="","",INDEX(_imp!$G$4:$G$1503,_imp!$C$1178))</f>
        <v/>
      </c>
      <c r="F1176" s="47">
        <f>IF(_imp!$C$1178="","",INDEX(_imp!$H$4:$H$1503,_imp!$C$1178))</f>
        <v/>
      </c>
      <c r="G1176" s="47">
        <f>IF(_imp!$C$1178="","",INDEX(_imp!$I$4:$I$1503,_imp!$C$1178))</f>
        <v/>
      </c>
      <c r="K1176" s="47">
        <f>IF(_imp!$C$1178="","",INDEX(_imp!$J$4:$J$1503,_imp!$C$1178))</f>
        <v/>
      </c>
    </row>
    <row r="1177">
      <c r="A1177" s="47">
        <f>IF(_imp!$C$1179="","",INDEX(_imp!$D$4:$D$1503,_imp!$C$1179))</f>
        <v/>
      </c>
      <c r="B1177" s="47">
        <f>IF(_imp!$C$1179="","",INDEX(_imp!$E$4:$E$1503,_imp!$C$1179))</f>
        <v/>
      </c>
      <c r="C1177" s="47">
        <f>IF(_imp!$C$1179="","",INDEX(_imp!$F$4:$F$1503,_imp!$C$1179))</f>
        <v/>
      </c>
      <c r="E1177" s="47">
        <f>IF(_imp!$C$1179="","",INDEX(_imp!$G$4:$G$1503,_imp!$C$1179))</f>
        <v/>
      </c>
      <c r="F1177" s="47">
        <f>IF(_imp!$C$1179="","",INDEX(_imp!$H$4:$H$1503,_imp!$C$1179))</f>
        <v/>
      </c>
      <c r="G1177" s="47">
        <f>IF(_imp!$C$1179="","",INDEX(_imp!$I$4:$I$1503,_imp!$C$1179))</f>
        <v/>
      </c>
      <c r="K1177" s="47">
        <f>IF(_imp!$C$1179="","",INDEX(_imp!$J$4:$J$1503,_imp!$C$1179))</f>
        <v/>
      </c>
    </row>
    <row r="1178">
      <c r="A1178" s="47">
        <f>IF(_imp!$C$1180="","",INDEX(_imp!$D$4:$D$1503,_imp!$C$1180))</f>
        <v/>
      </c>
      <c r="B1178" s="47">
        <f>IF(_imp!$C$1180="","",INDEX(_imp!$E$4:$E$1503,_imp!$C$1180))</f>
        <v/>
      </c>
      <c r="C1178" s="47">
        <f>IF(_imp!$C$1180="","",INDEX(_imp!$F$4:$F$1503,_imp!$C$1180))</f>
        <v/>
      </c>
      <c r="E1178" s="47">
        <f>IF(_imp!$C$1180="","",INDEX(_imp!$G$4:$G$1503,_imp!$C$1180))</f>
        <v/>
      </c>
      <c r="F1178" s="47">
        <f>IF(_imp!$C$1180="","",INDEX(_imp!$H$4:$H$1503,_imp!$C$1180))</f>
        <v/>
      </c>
      <c r="G1178" s="47">
        <f>IF(_imp!$C$1180="","",INDEX(_imp!$I$4:$I$1503,_imp!$C$1180))</f>
        <v/>
      </c>
      <c r="K1178" s="47">
        <f>IF(_imp!$C$1180="","",INDEX(_imp!$J$4:$J$1503,_imp!$C$1180))</f>
        <v/>
      </c>
    </row>
    <row r="1179">
      <c r="A1179" s="47">
        <f>IF(_imp!$C$1181="","",INDEX(_imp!$D$4:$D$1503,_imp!$C$1181))</f>
        <v/>
      </c>
      <c r="B1179" s="47">
        <f>IF(_imp!$C$1181="","",INDEX(_imp!$E$4:$E$1503,_imp!$C$1181))</f>
        <v/>
      </c>
      <c r="C1179" s="47">
        <f>IF(_imp!$C$1181="","",INDEX(_imp!$F$4:$F$1503,_imp!$C$1181))</f>
        <v/>
      </c>
      <c r="E1179" s="47">
        <f>IF(_imp!$C$1181="","",INDEX(_imp!$G$4:$G$1503,_imp!$C$1181))</f>
        <v/>
      </c>
      <c r="F1179" s="47">
        <f>IF(_imp!$C$1181="","",INDEX(_imp!$H$4:$H$1503,_imp!$C$1181))</f>
        <v/>
      </c>
      <c r="G1179" s="47">
        <f>IF(_imp!$C$1181="","",INDEX(_imp!$I$4:$I$1503,_imp!$C$1181))</f>
        <v/>
      </c>
      <c r="K1179" s="47">
        <f>IF(_imp!$C$1181="","",INDEX(_imp!$J$4:$J$1503,_imp!$C$1181))</f>
        <v/>
      </c>
    </row>
    <row r="1180">
      <c r="A1180" s="47">
        <f>IF(_imp!$C$1182="","",INDEX(_imp!$D$4:$D$1503,_imp!$C$1182))</f>
        <v/>
      </c>
      <c r="B1180" s="47">
        <f>IF(_imp!$C$1182="","",INDEX(_imp!$E$4:$E$1503,_imp!$C$1182))</f>
        <v/>
      </c>
      <c r="C1180" s="47">
        <f>IF(_imp!$C$1182="","",INDEX(_imp!$F$4:$F$1503,_imp!$C$1182))</f>
        <v/>
      </c>
      <c r="E1180" s="47">
        <f>IF(_imp!$C$1182="","",INDEX(_imp!$G$4:$G$1503,_imp!$C$1182))</f>
        <v/>
      </c>
      <c r="F1180" s="47">
        <f>IF(_imp!$C$1182="","",INDEX(_imp!$H$4:$H$1503,_imp!$C$1182))</f>
        <v/>
      </c>
      <c r="G1180" s="47">
        <f>IF(_imp!$C$1182="","",INDEX(_imp!$I$4:$I$1503,_imp!$C$1182))</f>
        <v/>
      </c>
      <c r="K1180" s="47">
        <f>IF(_imp!$C$1182="","",INDEX(_imp!$J$4:$J$1503,_imp!$C$1182))</f>
        <v/>
      </c>
    </row>
    <row r="1181">
      <c r="A1181" s="47">
        <f>IF(_imp!$C$1183="","",INDEX(_imp!$D$4:$D$1503,_imp!$C$1183))</f>
        <v/>
      </c>
      <c r="B1181" s="47">
        <f>IF(_imp!$C$1183="","",INDEX(_imp!$E$4:$E$1503,_imp!$C$1183))</f>
        <v/>
      </c>
      <c r="C1181" s="47">
        <f>IF(_imp!$C$1183="","",INDEX(_imp!$F$4:$F$1503,_imp!$C$1183))</f>
        <v/>
      </c>
      <c r="E1181" s="47">
        <f>IF(_imp!$C$1183="","",INDEX(_imp!$G$4:$G$1503,_imp!$C$1183))</f>
        <v/>
      </c>
      <c r="F1181" s="47">
        <f>IF(_imp!$C$1183="","",INDEX(_imp!$H$4:$H$1503,_imp!$C$1183))</f>
        <v/>
      </c>
      <c r="G1181" s="47">
        <f>IF(_imp!$C$1183="","",INDEX(_imp!$I$4:$I$1503,_imp!$C$1183))</f>
        <v/>
      </c>
      <c r="K1181" s="47">
        <f>IF(_imp!$C$1183="","",INDEX(_imp!$J$4:$J$1503,_imp!$C$1183))</f>
        <v/>
      </c>
    </row>
    <row r="1182">
      <c r="A1182" s="47">
        <f>IF(_imp!$C$1184="","",INDEX(_imp!$D$4:$D$1503,_imp!$C$1184))</f>
        <v/>
      </c>
      <c r="B1182" s="47">
        <f>IF(_imp!$C$1184="","",INDEX(_imp!$E$4:$E$1503,_imp!$C$1184))</f>
        <v/>
      </c>
      <c r="C1182" s="47">
        <f>IF(_imp!$C$1184="","",INDEX(_imp!$F$4:$F$1503,_imp!$C$1184))</f>
        <v/>
      </c>
      <c r="E1182" s="47">
        <f>IF(_imp!$C$1184="","",INDEX(_imp!$G$4:$G$1503,_imp!$C$1184))</f>
        <v/>
      </c>
      <c r="F1182" s="47">
        <f>IF(_imp!$C$1184="","",INDEX(_imp!$H$4:$H$1503,_imp!$C$1184))</f>
        <v/>
      </c>
      <c r="G1182" s="47">
        <f>IF(_imp!$C$1184="","",INDEX(_imp!$I$4:$I$1503,_imp!$C$1184))</f>
        <v/>
      </c>
      <c r="K1182" s="47">
        <f>IF(_imp!$C$1184="","",INDEX(_imp!$J$4:$J$1503,_imp!$C$1184))</f>
        <v/>
      </c>
    </row>
    <row r="1183">
      <c r="A1183" s="47">
        <f>IF(_imp!$C$1185="","",INDEX(_imp!$D$4:$D$1503,_imp!$C$1185))</f>
        <v/>
      </c>
      <c r="B1183" s="47">
        <f>IF(_imp!$C$1185="","",INDEX(_imp!$E$4:$E$1503,_imp!$C$1185))</f>
        <v/>
      </c>
      <c r="C1183" s="47">
        <f>IF(_imp!$C$1185="","",INDEX(_imp!$F$4:$F$1503,_imp!$C$1185))</f>
        <v/>
      </c>
      <c r="E1183" s="47">
        <f>IF(_imp!$C$1185="","",INDEX(_imp!$G$4:$G$1503,_imp!$C$1185))</f>
        <v/>
      </c>
      <c r="F1183" s="47">
        <f>IF(_imp!$C$1185="","",INDEX(_imp!$H$4:$H$1503,_imp!$C$1185))</f>
        <v/>
      </c>
      <c r="G1183" s="47">
        <f>IF(_imp!$C$1185="","",INDEX(_imp!$I$4:$I$1503,_imp!$C$1185))</f>
        <v/>
      </c>
      <c r="K1183" s="47">
        <f>IF(_imp!$C$1185="","",INDEX(_imp!$J$4:$J$1503,_imp!$C$1185))</f>
        <v/>
      </c>
    </row>
    <row r="1184">
      <c r="A1184" s="47">
        <f>IF(_imp!$C$1186="","",INDEX(_imp!$D$4:$D$1503,_imp!$C$1186))</f>
        <v/>
      </c>
      <c r="B1184" s="47">
        <f>IF(_imp!$C$1186="","",INDEX(_imp!$E$4:$E$1503,_imp!$C$1186))</f>
        <v/>
      </c>
      <c r="C1184" s="47">
        <f>IF(_imp!$C$1186="","",INDEX(_imp!$F$4:$F$1503,_imp!$C$1186))</f>
        <v/>
      </c>
      <c r="E1184" s="47">
        <f>IF(_imp!$C$1186="","",INDEX(_imp!$G$4:$G$1503,_imp!$C$1186))</f>
        <v/>
      </c>
      <c r="F1184" s="47">
        <f>IF(_imp!$C$1186="","",INDEX(_imp!$H$4:$H$1503,_imp!$C$1186))</f>
        <v/>
      </c>
      <c r="G1184" s="47">
        <f>IF(_imp!$C$1186="","",INDEX(_imp!$I$4:$I$1503,_imp!$C$1186))</f>
        <v/>
      </c>
      <c r="K1184" s="47">
        <f>IF(_imp!$C$1186="","",INDEX(_imp!$J$4:$J$1503,_imp!$C$1186))</f>
        <v/>
      </c>
    </row>
    <row r="1185">
      <c r="A1185" s="47">
        <f>IF(_imp!$C$1187="","",INDEX(_imp!$D$4:$D$1503,_imp!$C$1187))</f>
        <v/>
      </c>
      <c r="B1185" s="47">
        <f>IF(_imp!$C$1187="","",INDEX(_imp!$E$4:$E$1503,_imp!$C$1187))</f>
        <v/>
      </c>
      <c r="C1185" s="47">
        <f>IF(_imp!$C$1187="","",INDEX(_imp!$F$4:$F$1503,_imp!$C$1187))</f>
        <v/>
      </c>
      <c r="E1185" s="47">
        <f>IF(_imp!$C$1187="","",INDEX(_imp!$G$4:$G$1503,_imp!$C$1187))</f>
        <v/>
      </c>
      <c r="F1185" s="47">
        <f>IF(_imp!$C$1187="","",INDEX(_imp!$H$4:$H$1503,_imp!$C$1187))</f>
        <v/>
      </c>
      <c r="G1185" s="47">
        <f>IF(_imp!$C$1187="","",INDEX(_imp!$I$4:$I$1503,_imp!$C$1187))</f>
        <v/>
      </c>
      <c r="K1185" s="47">
        <f>IF(_imp!$C$1187="","",INDEX(_imp!$J$4:$J$1503,_imp!$C$1187))</f>
        <v/>
      </c>
    </row>
    <row r="1186">
      <c r="A1186" s="47">
        <f>IF(_imp!$C$1188="","",INDEX(_imp!$D$4:$D$1503,_imp!$C$1188))</f>
        <v/>
      </c>
      <c r="B1186" s="47">
        <f>IF(_imp!$C$1188="","",INDEX(_imp!$E$4:$E$1503,_imp!$C$1188))</f>
        <v/>
      </c>
      <c r="C1186" s="47">
        <f>IF(_imp!$C$1188="","",INDEX(_imp!$F$4:$F$1503,_imp!$C$1188))</f>
        <v/>
      </c>
      <c r="E1186" s="47">
        <f>IF(_imp!$C$1188="","",INDEX(_imp!$G$4:$G$1503,_imp!$C$1188))</f>
        <v/>
      </c>
      <c r="F1186" s="47">
        <f>IF(_imp!$C$1188="","",INDEX(_imp!$H$4:$H$1503,_imp!$C$1188))</f>
        <v/>
      </c>
      <c r="G1186" s="47">
        <f>IF(_imp!$C$1188="","",INDEX(_imp!$I$4:$I$1503,_imp!$C$1188))</f>
        <v/>
      </c>
      <c r="K1186" s="47">
        <f>IF(_imp!$C$1188="","",INDEX(_imp!$J$4:$J$1503,_imp!$C$1188))</f>
        <v/>
      </c>
    </row>
    <row r="1187">
      <c r="A1187" s="47">
        <f>IF(_imp!$C$1189="","",INDEX(_imp!$D$4:$D$1503,_imp!$C$1189))</f>
        <v/>
      </c>
      <c r="B1187" s="47">
        <f>IF(_imp!$C$1189="","",INDEX(_imp!$E$4:$E$1503,_imp!$C$1189))</f>
        <v/>
      </c>
      <c r="C1187" s="47">
        <f>IF(_imp!$C$1189="","",INDEX(_imp!$F$4:$F$1503,_imp!$C$1189))</f>
        <v/>
      </c>
      <c r="E1187" s="47">
        <f>IF(_imp!$C$1189="","",INDEX(_imp!$G$4:$G$1503,_imp!$C$1189))</f>
        <v/>
      </c>
      <c r="F1187" s="47">
        <f>IF(_imp!$C$1189="","",INDEX(_imp!$H$4:$H$1503,_imp!$C$1189))</f>
        <v/>
      </c>
      <c r="G1187" s="47">
        <f>IF(_imp!$C$1189="","",INDEX(_imp!$I$4:$I$1503,_imp!$C$1189))</f>
        <v/>
      </c>
      <c r="K1187" s="47">
        <f>IF(_imp!$C$1189="","",INDEX(_imp!$J$4:$J$1503,_imp!$C$1189))</f>
        <v/>
      </c>
    </row>
    <row r="1188">
      <c r="A1188" s="47">
        <f>IF(_imp!$C$1190="","",INDEX(_imp!$D$4:$D$1503,_imp!$C$1190))</f>
        <v/>
      </c>
      <c r="B1188" s="47">
        <f>IF(_imp!$C$1190="","",INDEX(_imp!$E$4:$E$1503,_imp!$C$1190))</f>
        <v/>
      </c>
      <c r="C1188" s="47">
        <f>IF(_imp!$C$1190="","",INDEX(_imp!$F$4:$F$1503,_imp!$C$1190))</f>
        <v/>
      </c>
      <c r="E1188" s="47">
        <f>IF(_imp!$C$1190="","",INDEX(_imp!$G$4:$G$1503,_imp!$C$1190))</f>
        <v/>
      </c>
      <c r="F1188" s="47">
        <f>IF(_imp!$C$1190="","",INDEX(_imp!$H$4:$H$1503,_imp!$C$1190))</f>
        <v/>
      </c>
      <c r="G1188" s="47">
        <f>IF(_imp!$C$1190="","",INDEX(_imp!$I$4:$I$1503,_imp!$C$1190))</f>
        <v/>
      </c>
      <c r="K1188" s="47">
        <f>IF(_imp!$C$1190="","",INDEX(_imp!$J$4:$J$1503,_imp!$C$1190))</f>
        <v/>
      </c>
    </row>
    <row r="1189">
      <c r="A1189" s="47">
        <f>IF(_imp!$C$1191="","",INDEX(_imp!$D$4:$D$1503,_imp!$C$1191))</f>
        <v/>
      </c>
      <c r="B1189" s="47">
        <f>IF(_imp!$C$1191="","",INDEX(_imp!$E$4:$E$1503,_imp!$C$1191))</f>
        <v/>
      </c>
      <c r="C1189" s="47">
        <f>IF(_imp!$C$1191="","",INDEX(_imp!$F$4:$F$1503,_imp!$C$1191))</f>
        <v/>
      </c>
      <c r="E1189" s="47">
        <f>IF(_imp!$C$1191="","",INDEX(_imp!$G$4:$G$1503,_imp!$C$1191))</f>
        <v/>
      </c>
      <c r="F1189" s="47">
        <f>IF(_imp!$C$1191="","",INDEX(_imp!$H$4:$H$1503,_imp!$C$1191))</f>
        <v/>
      </c>
      <c r="G1189" s="47">
        <f>IF(_imp!$C$1191="","",INDEX(_imp!$I$4:$I$1503,_imp!$C$1191))</f>
        <v/>
      </c>
      <c r="K1189" s="47">
        <f>IF(_imp!$C$1191="","",INDEX(_imp!$J$4:$J$1503,_imp!$C$1191))</f>
        <v/>
      </c>
    </row>
    <row r="1190">
      <c r="A1190" s="47">
        <f>IF(_imp!$C$1192="","",INDEX(_imp!$D$4:$D$1503,_imp!$C$1192))</f>
        <v/>
      </c>
      <c r="B1190" s="47">
        <f>IF(_imp!$C$1192="","",INDEX(_imp!$E$4:$E$1503,_imp!$C$1192))</f>
        <v/>
      </c>
      <c r="C1190" s="47">
        <f>IF(_imp!$C$1192="","",INDEX(_imp!$F$4:$F$1503,_imp!$C$1192))</f>
        <v/>
      </c>
      <c r="E1190" s="47">
        <f>IF(_imp!$C$1192="","",INDEX(_imp!$G$4:$G$1503,_imp!$C$1192))</f>
        <v/>
      </c>
      <c r="F1190" s="47">
        <f>IF(_imp!$C$1192="","",INDEX(_imp!$H$4:$H$1503,_imp!$C$1192))</f>
        <v/>
      </c>
      <c r="G1190" s="47">
        <f>IF(_imp!$C$1192="","",INDEX(_imp!$I$4:$I$1503,_imp!$C$1192))</f>
        <v/>
      </c>
      <c r="K1190" s="47">
        <f>IF(_imp!$C$1192="","",INDEX(_imp!$J$4:$J$1503,_imp!$C$1192))</f>
        <v/>
      </c>
    </row>
    <row r="1191">
      <c r="A1191" s="47">
        <f>IF(_imp!$C$1193="","",INDEX(_imp!$D$4:$D$1503,_imp!$C$1193))</f>
        <v/>
      </c>
      <c r="B1191" s="47">
        <f>IF(_imp!$C$1193="","",INDEX(_imp!$E$4:$E$1503,_imp!$C$1193))</f>
        <v/>
      </c>
      <c r="C1191" s="47">
        <f>IF(_imp!$C$1193="","",INDEX(_imp!$F$4:$F$1503,_imp!$C$1193))</f>
        <v/>
      </c>
      <c r="E1191" s="47">
        <f>IF(_imp!$C$1193="","",INDEX(_imp!$G$4:$G$1503,_imp!$C$1193))</f>
        <v/>
      </c>
      <c r="F1191" s="47">
        <f>IF(_imp!$C$1193="","",INDEX(_imp!$H$4:$H$1503,_imp!$C$1193))</f>
        <v/>
      </c>
      <c r="G1191" s="47">
        <f>IF(_imp!$C$1193="","",INDEX(_imp!$I$4:$I$1503,_imp!$C$1193))</f>
        <v/>
      </c>
      <c r="K1191" s="47">
        <f>IF(_imp!$C$1193="","",INDEX(_imp!$J$4:$J$1503,_imp!$C$1193))</f>
        <v/>
      </c>
    </row>
    <row r="1192">
      <c r="A1192" s="47">
        <f>IF(_imp!$C$1194="","",INDEX(_imp!$D$4:$D$1503,_imp!$C$1194))</f>
        <v/>
      </c>
      <c r="B1192" s="47">
        <f>IF(_imp!$C$1194="","",INDEX(_imp!$E$4:$E$1503,_imp!$C$1194))</f>
        <v/>
      </c>
      <c r="C1192" s="47">
        <f>IF(_imp!$C$1194="","",INDEX(_imp!$F$4:$F$1503,_imp!$C$1194))</f>
        <v/>
      </c>
      <c r="E1192" s="47">
        <f>IF(_imp!$C$1194="","",INDEX(_imp!$G$4:$G$1503,_imp!$C$1194))</f>
        <v/>
      </c>
      <c r="F1192" s="47">
        <f>IF(_imp!$C$1194="","",INDEX(_imp!$H$4:$H$1503,_imp!$C$1194))</f>
        <v/>
      </c>
      <c r="G1192" s="47">
        <f>IF(_imp!$C$1194="","",INDEX(_imp!$I$4:$I$1503,_imp!$C$1194))</f>
        <v/>
      </c>
      <c r="K1192" s="47">
        <f>IF(_imp!$C$1194="","",INDEX(_imp!$J$4:$J$1503,_imp!$C$1194))</f>
        <v/>
      </c>
    </row>
    <row r="1193">
      <c r="A1193" s="47">
        <f>IF(_imp!$C$1195="","",INDEX(_imp!$D$4:$D$1503,_imp!$C$1195))</f>
        <v/>
      </c>
      <c r="B1193" s="47">
        <f>IF(_imp!$C$1195="","",INDEX(_imp!$E$4:$E$1503,_imp!$C$1195))</f>
        <v/>
      </c>
      <c r="C1193" s="47">
        <f>IF(_imp!$C$1195="","",INDEX(_imp!$F$4:$F$1503,_imp!$C$1195))</f>
        <v/>
      </c>
      <c r="E1193" s="47">
        <f>IF(_imp!$C$1195="","",INDEX(_imp!$G$4:$G$1503,_imp!$C$1195))</f>
        <v/>
      </c>
      <c r="F1193" s="47">
        <f>IF(_imp!$C$1195="","",INDEX(_imp!$H$4:$H$1503,_imp!$C$1195))</f>
        <v/>
      </c>
      <c r="G1193" s="47">
        <f>IF(_imp!$C$1195="","",INDEX(_imp!$I$4:$I$1503,_imp!$C$1195))</f>
        <v/>
      </c>
      <c r="K1193" s="47">
        <f>IF(_imp!$C$1195="","",INDEX(_imp!$J$4:$J$1503,_imp!$C$1195))</f>
        <v/>
      </c>
    </row>
    <row r="1194">
      <c r="A1194" s="47">
        <f>IF(_imp!$C$1196="","",INDEX(_imp!$D$4:$D$1503,_imp!$C$1196))</f>
        <v/>
      </c>
      <c r="B1194" s="47">
        <f>IF(_imp!$C$1196="","",INDEX(_imp!$E$4:$E$1503,_imp!$C$1196))</f>
        <v/>
      </c>
      <c r="C1194" s="47">
        <f>IF(_imp!$C$1196="","",INDEX(_imp!$F$4:$F$1503,_imp!$C$1196))</f>
        <v/>
      </c>
      <c r="E1194" s="47">
        <f>IF(_imp!$C$1196="","",INDEX(_imp!$G$4:$G$1503,_imp!$C$1196))</f>
        <v/>
      </c>
      <c r="F1194" s="47">
        <f>IF(_imp!$C$1196="","",INDEX(_imp!$H$4:$H$1503,_imp!$C$1196))</f>
        <v/>
      </c>
      <c r="G1194" s="47">
        <f>IF(_imp!$C$1196="","",INDEX(_imp!$I$4:$I$1503,_imp!$C$1196))</f>
        <v/>
      </c>
      <c r="K1194" s="47">
        <f>IF(_imp!$C$1196="","",INDEX(_imp!$J$4:$J$1503,_imp!$C$1196))</f>
        <v/>
      </c>
    </row>
    <row r="1195">
      <c r="A1195" s="47">
        <f>IF(_imp!$C$1197="","",INDEX(_imp!$D$4:$D$1503,_imp!$C$1197))</f>
        <v/>
      </c>
      <c r="B1195" s="47">
        <f>IF(_imp!$C$1197="","",INDEX(_imp!$E$4:$E$1503,_imp!$C$1197))</f>
        <v/>
      </c>
      <c r="C1195" s="47">
        <f>IF(_imp!$C$1197="","",INDEX(_imp!$F$4:$F$1503,_imp!$C$1197))</f>
        <v/>
      </c>
      <c r="E1195" s="47">
        <f>IF(_imp!$C$1197="","",INDEX(_imp!$G$4:$G$1503,_imp!$C$1197))</f>
        <v/>
      </c>
      <c r="F1195" s="47">
        <f>IF(_imp!$C$1197="","",INDEX(_imp!$H$4:$H$1503,_imp!$C$1197))</f>
        <v/>
      </c>
      <c r="G1195" s="47">
        <f>IF(_imp!$C$1197="","",INDEX(_imp!$I$4:$I$1503,_imp!$C$1197))</f>
        <v/>
      </c>
      <c r="K1195" s="47">
        <f>IF(_imp!$C$1197="","",INDEX(_imp!$J$4:$J$1503,_imp!$C$1197))</f>
        <v/>
      </c>
    </row>
    <row r="1196">
      <c r="A1196" s="47">
        <f>IF(_imp!$C$1198="","",INDEX(_imp!$D$4:$D$1503,_imp!$C$1198))</f>
        <v/>
      </c>
      <c r="B1196" s="47">
        <f>IF(_imp!$C$1198="","",INDEX(_imp!$E$4:$E$1503,_imp!$C$1198))</f>
        <v/>
      </c>
      <c r="C1196" s="47">
        <f>IF(_imp!$C$1198="","",INDEX(_imp!$F$4:$F$1503,_imp!$C$1198))</f>
        <v/>
      </c>
      <c r="E1196" s="47">
        <f>IF(_imp!$C$1198="","",INDEX(_imp!$G$4:$G$1503,_imp!$C$1198))</f>
        <v/>
      </c>
      <c r="F1196" s="47">
        <f>IF(_imp!$C$1198="","",INDEX(_imp!$H$4:$H$1503,_imp!$C$1198))</f>
        <v/>
      </c>
      <c r="G1196" s="47">
        <f>IF(_imp!$C$1198="","",INDEX(_imp!$I$4:$I$1503,_imp!$C$1198))</f>
        <v/>
      </c>
      <c r="K1196" s="47">
        <f>IF(_imp!$C$1198="","",INDEX(_imp!$J$4:$J$1503,_imp!$C$1198))</f>
        <v/>
      </c>
    </row>
    <row r="1197">
      <c r="A1197" s="47">
        <f>IF(_imp!$C$1199="","",INDEX(_imp!$D$4:$D$1503,_imp!$C$1199))</f>
        <v/>
      </c>
      <c r="B1197" s="47">
        <f>IF(_imp!$C$1199="","",INDEX(_imp!$E$4:$E$1503,_imp!$C$1199))</f>
        <v/>
      </c>
      <c r="C1197" s="47">
        <f>IF(_imp!$C$1199="","",INDEX(_imp!$F$4:$F$1503,_imp!$C$1199))</f>
        <v/>
      </c>
      <c r="E1197" s="47">
        <f>IF(_imp!$C$1199="","",INDEX(_imp!$G$4:$G$1503,_imp!$C$1199))</f>
        <v/>
      </c>
      <c r="F1197" s="47">
        <f>IF(_imp!$C$1199="","",INDEX(_imp!$H$4:$H$1503,_imp!$C$1199))</f>
        <v/>
      </c>
      <c r="G1197" s="47">
        <f>IF(_imp!$C$1199="","",INDEX(_imp!$I$4:$I$1503,_imp!$C$1199))</f>
        <v/>
      </c>
      <c r="K1197" s="47">
        <f>IF(_imp!$C$1199="","",INDEX(_imp!$J$4:$J$1503,_imp!$C$1199))</f>
        <v/>
      </c>
    </row>
    <row r="1198">
      <c r="A1198" s="47">
        <f>IF(_imp!$C$1200="","",INDEX(_imp!$D$4:$D$1503,_imp!$C$1200))</f>
        <v/>
      </c>
      <c r="B1198" s="47">
        <f>IF(_imp!$C$1200="","",INDEX(_imp!$E$4:$E$1503,_imp!$C$1200))</f>
        <v/>
      </c>
      <c r="C1198" s="47">
        <f>IF(_imp!$C$1200="","",INDEX(_imp!$F$4:$F$1503,_imp!$C$1200))</f>
        <v/>
      </c>
      <c r="E1198" s="47">
        <f>IF(_imp!$C$1200="","",INDEX(_imp!$G$4:$G$1503,_imp!$C$1200))</f>
        <v/>
      </c>
      <c r="F1198" s="47">
        <f>IF(_imp!$C$1200="","",INDEX(_imp!$H$4:$H$1503,_imp!$C$1200))</f>
        <v/>
      </c>
      <c r="G1198" s="47">
        <f>IF(_imp!$C$1200="","",INDEX(_imp!$I$4:$I$1503,_imp!$C$1200))</f>
        <v/>
      </c>
      <c r="K1198" s="47">
        <f>IF(_imp!$C$1200="","",INDEX(_imp!$J$4:$J$1503,_imp!$C$1200))</f>
        <v/>
      </c>
    </row>
    <row r="1199">
      <c r="A1199" s="47">
        <f>IF(_imp!$C$1201="","",INDEX(_imp!$D$4:$D$1503,_imp!$C$1201))</f>
        <v/>
      </c>
      <c r="B1199" s="47">
        <f>IF(_imp!$C$1201="","",INDEX(_imp!$E$4:$E$1503,_imp!$C$1201))</f>
        <v/>
      </c>
      <c r="C1199" s="47">
        <f>IF(_imp!$C$1201="","",INDEX(_imp!$F$4:$F$1503,_imp!$C$1201))</f>
        <v/>
      </c>
      <c r="E1199" s="47">
        <f>IF(_imp!$C$1201="","",INDEX(_imp!$G$4:$G$1503,_imp!$C$1201))</f>
        <v/>
      </c>
      <c r="F1199" s="47">
        <f>IF(_imp!$C$1201="","",INDEX(_imp!$H$4:$H$1503,_imp!$C$1201))</f>
        <v/>
      </c>
      <c r="G1199" s="47">
        <f>IF(_imp!$C$1201="","",INDEX(_imp!$I$4:$I$1503,_imp!$C$1201))</f>
        <v/>
      </c>
      <c r="K1199" s="47">
        <f>IF(_imp!$C$1201="","",INDEX(_imp!$J$4:$J$1503,_imp!$C$1201))</f>
        <v/>
      </c>
    </row>
    <row r="1200">
      <c r="A1200" s="47">
        <f>IF(_imp!$C$1202="","",INDEX(_imp!$D$4:$D$1503,_imp!$C$1202))</f>
        <v/>
      </c>
      <c r="B1200" s="47">
        <f>IF(_imp!$C$1202="","",INDEX(_imp!$E$4:$E$1503,_imp!$C$1202))</f>
        <v/>
      </c>
      <c r="C1200" s="47">
        <f>IF(_imp!$C$1202="","",INDEX(_imp!$F$4:$F$1503,_imp!$C$1202))</f>
        <v/>
      </c>
      <c r="E1200" s="47">
        <f>IF(_imp!$C$1202="","",INDEX(_imp!$G$4:$G$1503,_imp!$C$1202))</f>
        <v/>
      </c>
      <c r="F1200" s="47">
        <f>IF(_imp!$C$1202="","",INDEX(_imp!$H$4:$H$1503,_imp!$C$1202))</f>
        <v/>
      </c>
      <c r="G1200" s="47">
        <f>IF(_imp!$C$1202="","",INDEX(_imp!$I$4:$I$1503,_imp!$C$1202))</f>
        <v/>
      </c>
      <c r="K1200" s="47">
        <f>IF(_imp!$C$1202="","",INDEX(_imp!$J$4:$J$1503,_imp!$C$1202))</f>
        <v/>
      </c>
    </row>
    <row r="1201">
      <c r="A1201" s="47">
        <f>IF(_imp!$C$1203="","",INDEX(_imp!$D$4:$D$1503,_imp!$C$1203))</f>
        <v/>
      </c>
      <c r="B1201" s="47">
        <f>IF(_imp!$C$1203="","",INDEX(_imp!$E$4:$E$1503,_imp!$C$1203))</f>
        <v/>
      </c>
      <c r="C1201" s="47">
        <f>IF(_imp!$C$1203="","",INDEX(_imp!$F$4:$F$1503,_imp!$C$1203))</f>
        <v/>
      </c>
      <c r="E1201" s="47">
        <f>IF(_imp!$C$1203="","",INDEX(_imp!$G$4:$G$1503,_imp!$C$1203))</f>
        <v/>
      </c>
      <c r="F1201" s="47">
        <f>IF(_imp!$C$1203="","",INDEX(_imp!$H$4:$H$1503,_imp!$C$1203))</f>
        <v/>
      </c>
      <c r="G1201" s="47">
        <f>IF(_imp!$C$1203="","",INDEX(_imp!$I$4:$I$1503,_imp!$C$1203))</f>
        <v/>
      </c>
      <c r="K1201" s="47">
        <f>IF(_imp!$C$1203="","",INDEX(_imp!$J$4:$J$1503,_imp!$C$1203))</f>
        <v/>
      </c>
    </row>
    <row r="1202">
      <c r="A1202" s="47">
        <f>IF(_imp!$C$1204="","",INDEX(_imp!$D$4:$D$1503,_imp!$C$1204))</f>
        <v/>
      </c>
      <c r="B1202" s="47">
        <f>IF(_imp!$C$1204="","",INDEX(_imp!$E$4:$E$1503,_imp!$C$1204))</f>
        <v/>
      </c>
      <c r="C1202" s="47">
        <f>IF(_imp!$C$1204="","",INDEX(_imp!$F$4:$F$1503,_imp!$C$1204))</f>
        <v/>
      </c>
      <c r="E1202" s="47">
        <f>IF(_imp!$C$1204="","",INDEX(_imp!$G$4:$G$1503,_imp!$C$1204))</f>
        <v/>
      </c>
      <c r="F1202" s="47">
        <f>IF(_imp!$C$1204="","",INDEX(_imp!$H$4:$H$1503,_imp!$C$1204))</f>
        <v/>
      </c>
      <c r="G1202" s="47">
        <f>IF(_imp!$C$1204="","",INDEX(_imp!$I$4:$I$1503,_imp!$C$1204))</f>
        <v/>
      </c>
      <c r="K1202" s="47">
        <f>IF(_imp!$C$1204="","",INDEX(_imp!$J$4:$J$1503,_imp!$C$1204))</f>
        <v/>
      </c>
    </row>
    <row r="1203">
      <c r="A1203" s="47">
        <f>IF(_imp!$C$1205="","",INDEX(_imp!$D$4:$D$1503,_imp!$C$1205))</f>
        <v/>
      </c>
      <c r="B1203" s="47">
        <f>IF(_imp!$C$1205="","",INDEX(_imp!$E$4:$E$1503,_imp!$C$1205))</f>
        <v/>
      </c>
      <c r="C1203" s="47">
        <f>IF(_imp!$C$1205="","",INDEX(_imp!$F$4:$F$1503,_imp!$C$1205))</f>
        <v/>
      </c>
      <c r="E1203" s="47">
        <f>IF(_imp!$C$1205="","",INDEX(_imp!$G$4:$G$1503,_imp!$C$1205))</f>
        <v/>
      </c>
      <c r="F1203" s="47">
        <f>IF(_imp!$C$1205="","",INDEX(_imp!$H$4:$H$1503,_imp!$C$1205))</f>
        <v/>
      </c>
      <c r="G1203" s="47">
        <f>IF(_imp!$C$1205="","",INDEX(_imp!$I$4:$I$1503,_imp!$C$1205))</f>
        <v/>
      </c>
      <c r="K1203" s="47">
        <f>IF(_imp!$C$1205="","",INDEX(_imp!$J$4:$J$1503,_imp!$C$1205))</f>
        <v/>
      </c>
    </row>
    <row r="1204">
      <c r="A1204" s="47">
        <f>IF(_imp!$C$1206="","",INDEX(_imp!$D$4:$D$1503,_imp!$C$1206))</f>
        <v/>
      </c>
      <c r="B1204" s="47">
        <f>IF(_imp!$C$1206="","",INDEX(_imp!$E$4:$E$1503,_imp!$C$1206))</f>
        <v/>
      </c>
      <c r="C1204" s="47">
        <f>IF(_imp!$C$1206="","",INDEX(_imp!$F$4:$F$1503,_imp!$C$1206))</f>
        <v/>
      </c>
      <c r="E1204" s="47">
        <f>IF(_imp!$C$1206="","",INDEX(_imp!$G$4:$G$1503,_imp!$C$1206))</f>
        <v/>
      </c>
      <c r="F1204" s="47">
        <f>IF(_imp!$C$1206="","",INDEX(_imp!$H$4:$H$1503,_imp!$C$1206))</f>
        <v/>
      </c>
      <c r="G1204" s="47">
        <f>IF(_imp!$C$1206="","",INDEX(_imp!$I$4:$I$1503,_imp!$C$1206))</f>
        <v/>
      </c>
      <c r="K1204" s="47">
        <f>IF(_imp!$C$1206="","",INDEX(_imp!$J$4:$J$1503,_imp!$C$1206))</f>
        <v/>
      </c>
    </row>
    <row r="1205">
      <c r="A1205" s="47">
        <f>IF(_imp!$C$1207="","",INDEX(_imp!$D$4:$D$1503,_imp!$C$1207))</f>
        <v/>
      </c>
      <c r="B1205" s="47">
        <f>IF(_imp!$C$1207="","",INDEX(_imp!$E$4:$E$1503,_imp!$C$1207))</f>
        <v/>
      </c>
      <c r="C1205" s="47">
        <f>IF(_imp!$C$1207="","",INDEX(_imp!$F$4:$F$1503,_imp!$C$1207))</f>
        <v/>
      </c>
      <c r="E1205" s="47">
        <f>IF(_imp!$C$1207="","",INDEX(_imp!$G$4:$G$1503,_imp!$C$1207))</f>
        <v/>
      </c>
      <c r="F1205" s="47">
        <f>IF(_imp!$C$1207="","",INDEX(_imp!$H$4:$H$1503,_imp!$C$1207))</f>
        <v/>
      </c>
      <c r="G1205" s="47">
        <f>IF(_imp!$C$1207="","",INDEX(_imp!$I$4:$I$1503,_imp!$C$1207))</f>
        <v/>
      </c>
      <c r="K1205" s="47">
        <f>IF(_imp!$C$1207="","",INDEX(_imp!$J$4:$J$1503,_imp!$C$1207))</f>
        <v/>
      </c>
    </row>
    <row r="1206">
      <c r="A1206" s="47">
        <f>IF(_imp!$C$1208="","",INDEX(_imp!$D$4:$D$1503,_imp!$C$1208))</f>
        <v/>
      </c>
      <c r="B1206" s="47">
        <f>IF(_imp!$C$1208="","",INDEX(_imp!$E$4:$E$1503,_imp!$C$1208))</f>
        <v/>
      </c>
      <c r="C1206" s="47">
        <f>IF(_imp!$C$1208="","",INDEX(_imp!$F$4:$F$1503,_imp!$C$1208))</f>
        <v/>
      </c>
      <c r="E1206" s="47">
        <f>IF(_imp!$C$1208="","",INDEX(_imp!$G$4:$G$1503,_imp!$C$1208))</f>
        <v/>
      </c>
      <c r="F1206" s="47">
        <f>IF(_imp!$C$1208="","",INDEX(_imp!$H$4:$H$1503,_imp!$C$1208))</f>
        <v/>
      </c>
      <c r="G1206" s="47">
        <f>IF(_imp!$C$1208="","",INDEX(_imp!$I$4:$I$1503,_imp!$C$1208))</f>
        <v/>
      </c>
      <c r="K1206" s="47">
        <f>IF(_imp!$C$1208="","",INDEX(_imp!$J$4:$J$1503,_imp!$C$1208))</f>
        <v/>
      </c>
    </row>
    <row r="1207">
      <c r="A1207" s="47">
        <f>IF(_imp!$C$1209="","",INDEX(_imp!$D$4:$D$1503,_imp!$C$1209))</f>
        <v/>
      </c>
      <c r="B1207" s="47">
        <f>IF(_imp!$C$1209="","",INDEX(_imp!$E$4:$E$1503,_imp!$C$1209))</f>
        <v/>
      </c>
      <c r="C1207" s="47">
        <f>IF(_imp!$C$1209="","",INDEX(_imp!$F$4:$F$1503,_imp!$C$1209))</f>
        <v/>
      </c>
      <c r="E1207" s="47">
        <f>IF(_imp!$C$1209="","",INDEX(_imp!$G$4:$G$1503,_imp!$C$1209))</f>
        <v/>
      </c>
      <c r="F1207" s="47">
        <f>IF(_imp!$C$1209="","",INDEX(_imp!$H$4:$H$1503,_imp!$C$1209))</f>
        <v/>
      </c>
      <c r="G1207" s="47">
        <f>IF(_imp!$C$1209="","",INDEX(_imp!$I$4:$I$1503,_imp!$C$1209))</f>
        <v/>
      </c>
      <c r="K1207" s="47">
        <f>IF(_imp!$C$1209="","",INDEX(_imp!$J$4:$J$1503,_imp!$C$1209))</f>
        <v/>
      </c>
    </row>
    <row r="1208">
      <c r="A1208" s="47">
        <f>IF(_imp!$C$1210="","",INDEX(_imp!$D$4:$D$1503,_imp!$C$1210))</f>
        <v/>
      </c>
      <c r="B1208" s="47">
        <f>IF(_imp!$C$1210="","",INDEX(_imp!$E$4:$E$1503,_imp!$C$1210))</f>
        <v/>
      </c>
      <c r="C1208" s="47">
        <f>IF(_imp!$C$1210="","",INDEX(_imp!$F$4:$F$1503,_imp!$C$1210))</f>
        <v/>
      </c>
      <c r="E1208" s="47">
        <f>IF(_imp!$C$1210="","",INDEX(_imp!$G$4:$G$1503,_imp!$C$1210))</f>
        <v/>
      </c>
      <c r="F1208" s="47">
        <f>IF(_imp!$C$1210="","",INDEX(_imp!$H$4:$H$1503,_imp!$C$1210))</f>
        <v/>
      </c>
      <c r="G1208" s="47">
        <f>IF(_imp!$C$1210="","",INDEX(_imp!$I$4:$I$1503,_imp!$C$1210))</f>
        <v/>
      </c>
      <c r="K1208" s="47">
        <f>IF(_imp!$C$1210="","",INDEX(_imp!$J$4:$J$1503,_imp!$C$1210))</f>
        <v/>
      </c>
    </row>
    <row r="1209">
      <c r="A1209" s="47">
        <f>IF(_imp!$C$1211="","",INDEX(_imp!$D$4:$D$1503,_imp!$C$1211))</f>
        <v/>
      </c>
      <c r="B1209" s="47">
        <f>IF(_imp!$C$1211="","",INDEX(_imp!$E$4:$E$1503,_imp!$C$1211))</f>
        <v/>
      </c>
      <c r="C1209" s="47">
        <f>IF(_imp!$C$1211="","",INDEX(_imp!$F$4:$F$1503,_imp!$C$1211))</f>
        <v/>
      </c>
      <c r="E1209" s="47">
        <f>IF(_imp!$C$1211="","",INDEX(_imp!$G$4:$G$1503,_imp!$C$1211))</f>
        <v/>
      </c>
      <c r="F1209" s="47">
        <f>IF(_imp!$C$1211="","",INDEX(_imp!$H$4:$H$1503,_imp!$C$1211))</f>
        <v/>
      </c>
      <c r="G1209" s="47">
        <f>IF(_imp!$C$1211="","",INDEX(_imp!$I$4:$I$1503,_imp!$C$1211))</f>
        <v/>
      </c>
      <c r="K1209" s="47">
        <f>IF(_imp!$C$1211="","",INDEX(_imp!$J$4:$J$1503,_imp!$C$1211))</f>
        <v/>
      </c>
    </row>
    <row r="1210">
      <c r="A1210" s="47">
        <f>IF(_imp!$C$1212="","",INDEX(_imp!$D$4:$D$1503,_imp!$C$1212))</f>
        <v/>
      </c>
      <c r="B1210" s="47">
        <f>IF(_imp!$C$1212="","",INDEX(_imp!$E$4:$E$1503,_imp!$C$1212))</f>
        <v/>
      </c>
      <c r="C1210" s="47">
        <f>IF(_imp!$C$1212="","",INDEX(_imp!$F$4:$F$1503,_imp!$C$1212))</f>
        <v/>
      </c>
      <c r="E1210" s="47">
        <f>IF(_imp!$C$1212="","",INDEX(_imp!$G$4:$G$1503,_imp!$C$1212))</f>
        <v/>
      </c>
      <c r="F1210" s="47">
        <f>IF(_imp!$C$1212="","",INDEX(_imp!$H$4:$H$1503,_imp!$C$1212))</f>
        <v/>
      </c>
      <c r="G1210" s="47">
        <f>IF(_imp!$C$1212="","",INDEX(_imp!$I$4:$I$1503,_imp!$C$1212))</f>
        <v/>
      </c>
      <c r="K1210" s="47">
        <f>IF(_imp!$C$1212="","",INDEX(_imp!$J$4:$J$1503,_imp!$C$1212))</f>
        <v/>
      </c>
    </row>
    <row r="1211">
      <c r="A1211" s="47">
        <f>IF(_imp!$C$1213="","",INDEX(_imp!$D$4:$D$1503,_imp!$C$1213))</f>
        <v/>
      </c>
      <c r="B1211" s="47">
        <f>IF(_imp!$C$1213="","",INDEX(_imp!$E$4:$E$1503,_imp!$C$1213))</f>
        <v/>
      </c>
      <c r="C1211" s="47">
        <f>IF(_imp!$C$1213="","",INDEX(_imp!$F$4:$F$1503,_imp!$C$1213))</f>
        <v/>
      </c>
      <c r="E1211" s="47">
        <f>IF(_imp!$C$1213="","",INDEX(_imp!$G$4:$G$1503,_imp!$C$1213))</f>
        <v/>
      </c>
      <c r="F1211" s="47">
        <f>IF(_imp!$C$1213="","",INDEX(_imp!$H$4:$H$1503,_imp!$C$1213))</f>
        <v/>
      </c>
      <c r="G1211" s="47">
        <f>IF(_imp!$C$1213="","",INDEX(_imp!$I$4:$I$1503,_imp!$C$1213))</f>
        <v/>
      </c>
      <c r="K1211" s="47">
        <f>IF(_imp!$C$1213="","",INDEX(_imp!$J$4:$J$1503,_imp!$C$1213))</f>
        <v/>
      </c>
    </row>
    <row r="1212">
      <c r="A1212" s="47">
        <f>IF(_imp!$C$1214="","",INDEX(_imp!$D$4:$D$1503,_imp!$C$1214))</f>
        <v/>
      </c>
      <c r="B1212" s="47">
        <f>IF(_imp!$C$1214="","",INDEX(_imp!$E$4:$E$1503,_imp!$C$1214))</f>
        <v/>
      </c>
      <c r="C1212" s="47">
        <f>IF(_imp!$C$1214="","",INDEX(_imp!$F$4:$F$1503,_imp!$C$1214))</f>
        <v/>
      </c>
      <c r="E1212" s="47">
        <f>IF(_imp!$C$1214="","",INDEX(_imp!$G$4:$G$1503,_imp!$C$1214))</f>
        <v/>
      </c>
      <c r="F1212" s="47">
        <f>IF(_imp!$C$1214="","",INDEX(_imp!$H$4:$H$1503,_imp!$C$1214))</f>
        <v/>
      </c>
      <c r="G1212" s="47">
        <f>IF(_imp!$C$1214="","",INDEX(_imp!$I$4:$I$1503,_imp!$C$1214))</f>
        <v/>
      </c>
      <c r="K1212" s="47">
        <f>IF(_imp!$C$1214="","",INDEX(_imp!$J$4:$J$1503,_imp!$C$1214))</f>
        <v/>
      </c>
    </row>
    <row r="1213">
      <c r="A1213" s="47">
        <f>IF(_imp!$C$1215="","",INDEX(_imp!$D$4:$D$1503,_imp!$C$1215))</f>
        <v/>
      </c>
      <c r="B1213" s="47">
        <f>IF(_imp!$C$1215="","",INDEX(_imp!$E$4:$E$1503,_imp!$C$1215))</f>
        <v/>
      </c>
      <c r="C1213" s="47">
        <f>IF(_imp!$C$1215="","",INDEX(_imp!$F$4:$F$1503,_imp!$C$1215))</f>
        <v/>
      </c>
      <c r="E1213" s="47">
        <f>IF(_imp!$C$1215="","",INDEX(_imp!$G$4:$G$1503,_imp!$C$1215))</f>
        <v/>
      </c>
      <c r="F1213" s="47">
        <f>IF(_imp!$C$1215="","",INDEX(_imp!$H$4:$H$1503,_imp!$C$1215))</f>
        <v/>
      </c>
      <c r="G1213" s="47">
        <f>IF(_imp!$C$1215="","",INDEX(_imp!$I$4:$I$1503,_imp!$C$1215))</f>
        <v/>
      </c>
      <c r="K1213" s="47">
        <f>IF(_imp!$C$1215="","",INDEX(_imp!$J$4:$J$1503,_imp!$C$1215))</f>
        <v/>
      </c>
    </row>
    <row r="1214">
      <c r="A1214" s="47">
        <f>IF(_imp!$C$1216="","",INDEX(_imp!$D$4:$D$1503,_imp!$C$1216))</f>
        <v/>
      </c>
      <c r="B1214" s="47">
        <f>IF(_imp!$C$1216="","",INDEX(_imp!$E$4:$E$1503,_imp!$C$1216))</f>
        <v/>
      </c>
      <c r="C1214" s="47">
        <f>IF(_imp!$C$1216="","",INDEX(_imp!$F$4:$F$1503,_imp!$C$1216))</f>
        <v/>
      </c>
      <c r="E1214" s="47">
        <f>IF(_imp!$C$1216="","",INDEX(_imp!$G$4:$G$1503,_imp!$C$1216))</f>
        <v/>
      </c>
      <c r="F1214" s="47">
        <f>IF(_imp!$C$1216="","",INDEX(_imp!$H$4:$H$1503,_imp!$C$1216))</f>
        <v/>
      </c>
      <c r="G1214" s="47">
        <f>IF(_imp!$C$1216="","",INDEX(_imp!$I$4:$I$1503,_imp!$C$1216))</f>
        <v/>
      </c>
      <c r="K1214" s="47">
        <f>IF(_imp!$C$1216="","",INDEX(_imp!$J$4:$J$1503,_imp!$C$1216))</f>
        <v/>
      </c>
    </row>
    <row r="1215">
      <c r="A1215" s="47">
        <f>IF(_imp!$C$1217="","",INDEX(_imp!$D$4:$D$1503,_imp!$C$1217))</f>
        <v/>
      </c>
      <c r="B1215" s="47">
        <f>IF(_imp!$C$1217="","",INDEX(_imp!$E$4:$E$1503,_imp!$C$1217))</f>
        <v/>
      </c>
      <c r="C1215" s="47">
        <f>IF(_imp!$C$1217="","",INDEX(_imp!$F$4:$F$1503,_imp!$C$1217))</f>
        <v/>
      </c>
      <c r="E1215" s="47">
        <f>IF(_imp!$C$1217="","",INDEX(_imp!$G$4:$G$1503,_imp!$C$1217))</f>
        <v/>
      </c>
      <c r="F1215" s="47">
        <f>IF(_imp!$C$1217="","",INDEX(_imp!$H$4:$H$1503,_imp!$C$1217))</f>
        <v/>
      </c>
      <c r="G1215" s="47">
        <f>IF(_imp!$C$1217="","",INDEX(_imp!$I$4:$I$1503,_imp!$C$1217))</f>
        <v/>
      </c>
      <c r="K1215" s="47">
        <f>IF(_imp!$C$1217="","",INDEX(_imp!$J$4:$J$1503,_imp!$C$1217))</f>
        <v/>
      </c>
    </row>
    <row r="1216">
      <c r="A1216" s="47">
        <f>IF(_imp!$C$1218="","",INDEX(_imp!$D$4:$D$1503,_imp!$C$1218))</f>
        <v/>
      </c>
      <c r="B1216" s="47">
        <f>IF(_imp!$C$1218="","",INDEX(_imp!$E$4:$E$1503,_imp!$C$1218))</f>
        <v/>
      </c>
      <c r="C1216" s="47">
        <f>IF(_imp!$C$1218="","",INDEX(_imp!$F$4:$F$1503,_imp!$C$1218))</f>
        <v/>
      </c>
      <c r="E1216" s="47">
        <f>IF(_imp!$C$1218="","",INDEX(_imp!$G$4:$G$1503,_imp!$C$1218))</f>
        <v/>
      </c>
      <c r="F1216" s="47">
        <f>IF(_imp!$C$1218="","",INDEX(_imp!$H$4:$H$1503,_imp!$C$1218))</f>
        <v/>
      </c>
      <c r="G1216" s="47">
        <f>IF(_imp!$C$1218="","",INDEX(_imp!$I$4:$I$1503,_imp!$C$1218))</f>
        <v/>
      </c>
      <c r="K1216" s="47">
        <f>IF(_imp!$C$1218="","",INDEX(_imp!$J$4:$J$1503,_imp!$C$1218))</f>
        <v/>
      </c>
    </row>
    <row r="1217">
      <c r="A1217" s="47">
        <f>IF(_imp!$C$1219="","",INDEX(_imp!$D$4:$D$1503,_imp!$C$1219))</f>
        <v/>
      </c>
      <c r="B1217" s="47">
        <f>IF(_imp!$C$1219="","",INDEX(_imp!$E$4:$E$1503,_imp!$C$1219))</f>
        <v/>
      </c>
      <c r="C1217" s="47">
        <f>IF(_imp!$C$1219="","",INDEX(_imp!$F$4:$F$1503,_imp!$C$1219))</f>
        <v/>
      </c>
      <c r="E1217" s="47">
        <f>IF(_imp!$C$1219="","",INDEX(_imp!$G$4:$G$1503,_imp!$C$1219))</f>
        <v/>
      </c>
      <c r="F1217" s="47">
        <f>IF(_imp!$C$1219="","",INDEX(_imp!$H$4:$H$1503,_imp!$C$1219))</f>
        <v/>
      </c>
      <c r="G1217" s="47">
        <f>IF(_imp!$C$1219="","",INDEX(_imp!$I$4:$I$1503,_imp!$C$1219))</f>
        <v/>
      </c>
      <c r="K1217" s="47">
        <f>IF(_imp!$C$1219="","",INDEX(_imp!$J$4:$J$1503,_imp!$C$1219))</f>
        <v/>
      </c>
    </row>
    <row r="1218">
      <c r="A1218" s="47">
        <f>IF(_imp!$C$1220="","",INDEX(_imp!$D$4:$D$1503,_imp!$C$1220))</f>
        <v/>
      </c>
      <c r="B1218" s="47">
        <f>IF(_imp!$C$1220="","",INDEX(_imp!$E$4:$E$1503,_imp!$C$1220))</f>
        <v/>
      </c>
      <c r="C1218" s="47">
        <f>IF(_imp!$C$1220="","",INDEX(_imp!$F$4:$F$1503,_imp!$C$1220))</f>
        <v/>
      </c>
      <c r="E1218" s="47">
        <f>IF(_imp!$C$1220="","",INDEX(_imp!$G$4:$G$1503,_imp!$C$1220))</f>
        <v/>
      </c>
      <c r="F1218" s="47">
        <f>IF(_imp!$C$1220="","",INDEX(_imp!$H$4:$H$1503,_imp!$C$1220))</f>
        <v/>
      </c>
      <c r="G1218" s="47">
        <f>IF(_imp!$C$1220="","",INDEX(_imp!$I$4:$I$1503,_imp!$C$1220))</f>
        <v/>
      </c>
      <c r="K1218" s="47">
        <f>IF(_imp!$C$1220="","",INDEX(_imp!$J$4:$J$1503,_imp!$C$1220))</f>
        <v/>
      </c>
    </row>
    <row r="1219">
      <c r="A1219" s="47">
        <f>IF(_imp!$C$1221="","",INDEX(_imp!$D$4:$D$1503,_imp!$C$1221))</f>
        <v/>
      </c>
      <c r="B1219" s="47">
        <f>IF(_imp!$C$1221="","",INDEX(_imp!$E$4:$E$1503,_imp!$C$1221))</f>
        <v/>
      </c>
      <c r="C1219" s="47">
        <f>IF(_imp!$C$1221="","",INDEX(_imp!$F$4:$F$1503,_imp!$C$1221))</f>
        <v/>
      </c>
      <c r="E1219" s="47">
        <f>IF(_imp!$C$1221="","",INDEX(_imp!$G$4:$G$1503,_imp!$C$1221))</f>
        <v/>
      </c>
      <c r="F1219" s="47">
        <f>IF(_imp!$C$1221="","",INDEX(_imp!$H$4:$H$1503,_imp!$C$1221))</f>
        <v/>
      </c>
      <c r="G1219" s="47">
        <f>IF(_imp!$C$1221="","",INDEX(_imp!$I$4:$I$1503,_imp!$C$1221))</f>
        <v/>
      </c>
      <c r="K1219" s="47">
        <f>IF(_imp!$C$1221="","",INDEX(_imp!$J$4:$J$1503,_imp!$C$1221))</f>
        <v/>
      </c>
    </row>
    <row r="1220">
      <c r="A1220" s="47">
        <f>IF(_imp!$C$1222="","",INDEX(_imp!$D$4:$D$1503,_imp!$C$1222))</f>
        <v/>
      </c>
      <c r="B1220" s="47">
        <f>IF(_imp!$C$1222="","",INDEX(_imp!$E$4:$E$1503,_imp!$C$1222))</f>
        <v/>
      </c>
      <c r="C1220" s="47">
        <f>IF(_imp!$C$1222="","",INDEX(_imp!$F$4:$F$1503,_imp!$C$1222))</f>
        <v/>
      </c>
      <c r="E1220" s="47">
        <f>IF(_imp!$C$1222="","",INDEX(_imp!$G$4:$G$1503,_imp!$C$1222))</f>
        <v/>
      </c>
      <c r="F1220" s="47">
        <f>IF(_imp!$C$1222="","",INDEX(_imp!$H$4:$H$1503,_imp!$C$1222))</f>
        <v/>
      </c>
      <c r="G1220" s="47">
        <f>IF(_imp!$C$1222="","",INDEX(_imp!$I$4:$I$1503,_imp!$C$1222))</f>
        <v/>
      </c>
      <c r="K1220" s="47">
        <f>IF(_imp!$C$1222="","",INDEX(_imp!$J$4:$J$1503,_imp!$C$1222))</f>
        <v/>
      </c>
    </row>
    <row r="1221">
      <c r="A1221" s="47">
        <f>IF(_imp!$C$1223="","",INDEX(_imp!$D$4:$D$1503,_imp!$C$1223))</f>
        <v/>
      </c>
      <c r="B1221" s="47">
        <f>IF(_imp!$C$1223="","",INDEX(_imp!$E$4:$E$1503,_imp!$C$1223))</f>
        <v/>
      </c>
      <c r="C1221" s="47">
        <f>IF(_imp!$C$1223="","",INDEX(_imp!$F$4:$F$1503,_imp!$C$1223))</f>
        <v/>
      </c>
      <c r="E1221" s="47">
        <f>IF(_imp!$C$1223="","",INDEX(_imp!$G$4:$G$1503,_imp!$C$1223))</f>
        <v/>
      </c>
      <c r="F1221" s="47">
        <f>IF(_imp!$C$1223="","",INDEX(_imp!$H$4:$H$1503,_imp!$C$1223))</f>
        <v/>
      </c>
      <c r="G1221" s="47">
        <f>IF(_imp!$C$1223="","",INDEX(_imp!$I$4:$I$1503,_imp!$C$1223))</f>
        <v/>
      </c>
      <c r="K1221" s="47">
        <f>IF(_imp!$C$1223="","",INDEX(_imp!$J$4:$J$1503,_imp!$C$1223))</f>
        <v/>
      </c>
    </row>
    <row r="1222">
      <c r="A1222" s="47">
        <f>IF(_imp!$C$1224="","",INDEX(_imp!$D$4:$D$1503,_imp!$C$1224))</f>
        <v/>
      </c>
      <c r="B1222" s="47">
        <f>IF(_imp!$C$1224="","",INDEX(_imp!$E$4:$E$1503,_imp!$C$1224))</f>
        <v/>
      </c>
      <c r="C1222" s="47">
        <f>IF(_imp!$C$1224="","",INDEX(_imp!$F$4:$F$1503,_imp!$C$1224))</f>
        <v/>
      </c>
      <c r="E1222" s="47">
        <f>IF(_imp!$C$1224="","",INDEX(_imp!$G$4:$G$1503,_imp!$C$1224))</f>
        <v/>
      </c>
      <c r="F1222" s="47">
        <f>IF(_imp!$C$1224="","",INDEX(_imp!$H$4:$H$1503,_imp!$C$1224))</f>
        <v/>
      </c>
      <c r="G1222" s="47">
        <f>IF(_imp!$C$1224="","",INDEX(_imp!$I$4:$I$1503,_imp!$C$1224))</f>
        <v/>
      </c>
      <c r="K1222" s="47">
        <f>IF(_imp!$C$1224="","",INDEX(_imp!$J$4:$J$1503,_imp!$C$1224))</f>
        <v/>
      </c>
    </row>
    <row r="1223">
      <c r="A1223" s="47">
        <f>IF(_imp!$C$1225="","",INDEX(_imp!$D$4:$D$1503,_imp!$C$1225))</f>
        <v/>
      </c>
      <c r="B1223" s="47">
        <f>IF(_imp!$C$1225="","",INDEX(_imp!$E$4:$E$1503,_imp!$C$1225))</f>
        <v/>
      </c>
      <c r="C1223" s="47">
        <f>IF(_imp!$C$1225="","",INDEX(_imp!$F$4:$F$1503,_imp!$C$1225))</f>
        <v/>
      </c>
      <c r="E1223" s="47">
        <f>IF(_imp!$C$1225="","",INDEX(_imp!$G$4:$G$1503,_imp!$C$1225))</f>
        <v/>
      </c>
      <c r="F1223" s="47">
        <f>IF(_imp!$C$1225="","",INDEX(_imp!$H$4:$H$1503,_imp!$C$1225))</f>
        <v/>
      </c>
      <c r="G1223" s="47">
        <f>IF(_imp!$C$1225="","",INDEX(_imp!$I$4:$I$1503,_imp!$C$1225))</f>
        <v/>
      </c>
      <c r="K1223" s="47">
        <f>IF(_imp!$C$1225="","",INDEX(_imp!$J$4:$J$1503,_imp!$C$1225))</f>
        <v/>
      </c>
    </row>
    <row r="1224">
      <c r="A1224" s="47">
        <f>IF(_imp!$C$1226="","",INDEX(_imp!$D$4:$D$1503,_imp!$C$1226))</f>
        <v/>
      </c>
      <c r="B1224" s="47">
        <f>IF(_imp!$C$1226="","",INDEX(_imp!$E$4:$E$1503,_imp!$C$1226))</f>
        <v/>
      </c>
      <c r="C1224" s="47">
        <f>IF(_imp!$C$1226="","",INDEX(_imp!$F$4:$F$1503,_imp!$C$1226))</f>
        <v/>
      </c>
      <c r="E1224" s="47">
        <f>IF(_imp!$C$1226="","",INDEX(_imp!$G$4:$G$1503,_imp!$C$1226))</f>
        <v/>
      </c>
      <c r="F1224" s="47">
        <f>IF(_imp!$C$1226="","",INDEX(_imp!$H$4:$H$1503,_imp!$C$1226))</f>
        <v/>
      </c>
      <c r="G1224" s="47">
        <f>IF(_imp!$C$1226="","",INDEX(_imp!$I$4:$I$1503,_imp!$C$1226))</f>
        <v/>
      </c>
      <c r="K1224" s="47">
        <f>IF(_imp!$C$1226="","",INDEX(_imp!$J$4:$J$1503,_imp!$C$1226))</f>
        <v/>
      </c>
    </row>
    <row r="1225">
      <c r="A1225" s="47">
        <f>IF(_imp!$C$1227="","",INDEX(_imp!$D$4:$D$1503,_imp!$C$1227))</f>
        <v/>
      </c>
      <c r="B1225" s="47">
        <f>IF(_imp!$C$1227="","",INDEX(_imp!$E$4:$E$1503,_imp!$C$1227))</f>
        <v/>
      </c>
      <c r="C1225" s="47">
        <f>IF(_imp!$C$1227="","",INDEX(_imp!$F$4:$F$1503,_imp!$C$1227))</f>
        <v/>
      </c>
      <c r="E1225" s="47">
        <f>IF(_imp!$C$1227="","",INDEX(_imp!$G$4:$G$1503,_imp!$C$1227))</f>
        <v/>
      </c>
      <c r="F1225" s="47">
        <f>IF(_imp!$C$1227="","",INDEX(_imp!$H$4:$H$1503,_imp!$C$1227))</f>
        <v/>
      </c>
      <c r="G1225" s="47">
        <f>IF(_imp!$C$1227="","",INDEX(_imp!$I$4:$I$1503,_imp!$C$1227))</f>
        <v/>
      </c>
      <c r="K1225" s="47">
        <f>IF(_imp!$C$1227="","",INDEX(_imp!$J$4:$J$1503,_imp!$C$1227))</f>
        <v/>
      </c>
    </row>
    <row r="1226">
      <c r="A1226" s="47">
        <f>IF(_imp!$C$1228="","",INDEX(_imp!$D$4:$D$1503,_imp!$C$1228))</f>
        <v/>
      </c>
      <c r="B1226" s="47">
        <f>IF(_imp!$C$1228="","",INDEX(_imp!$E$4:$E$1503,_imp!$C$1228))</f>
        <v/>
      </c>
      <c r="C1226" s="47">
        <f>IF(_imp!$C$1228="","",INDEX(_imp!$F$4:$F$1503,_imp!$C$1228))</f>
        <v/>
      </c>
      <c r="E1226" s="47">
        <f>IF(_imp!$C$1228="","",INDEX(_imp!$G$4:$G$1503,_imp!$C$1228))</f>
        <v/>
      </c>
      <c r="F1226" s="47">
        <f>IF(_imp!$C$1228="","",INDEX(_imp!$H$4:$H$1503,_imp!$C$1228))</f>
        <v/>
      </c>
      <c r="G1226" s="47">
        <f>IF(_imp!$C$1228="","",INDEX(_imp!$I$4:$I$1503,_imp!$C$1228))</f>
        <v/>
      </c>
      <c r="K1226" s="47">
        <f>IF(_imp!$C$1228="","",INDEX(_imp!$J$4:$J$1503,_imp!$C$1228))</f>
        <v/>
      </c>
    </row>
    <row r="1227">
      <c r="A1227" s="47">
        <f>IF(_imp!$C$1229="","",INDEX(_imp!$D$4:$D$1503,_imp!$C$1229))</f>
        <v/>
      </c>
      <c r="B1227" s="47">
        <f>IF(_imp!$C$1229="","",INDEX(_imp!$E$4:$E$1503,_imp!$C$1229))</f>
        <v/>
      </c>
      <c r="C1227" s="47">
        <f>IF(_imp!$C$1229="","",INDEX(_imp!$F$4:$F$1503,_imp!$C$1229))</f>
        <v/>
      </c>
      <c r="E1227" s="47">
        <f>IF(_imp!$C$1229="","",INDEX(_imp!$G$4:$G$1503,_imp!$C$1229))</f>
        <v/>
      </c>
      <c r="F1227" s="47">
        <f>IF(_imp!$C$1229="","",INDEX(_imp!$H$4:$H$1503,_imp!$C$1229))</f>
        <v/>
      </c>
      <c r="G1227" s="47">
        <f>IF(_imp!$C$1229="","",INDEX(_imp!$I$4:$I$1503,_imp!$C$1229))</f>
        <v/>
      </c>
      <c r="K1227" s="47">
        <f>IF(_imp!$C$1229="","",INDEX(_imp!$J$4:$J$1503,_imp!$C$1229))</f>
        <v/>
      </c>
    </row>
    <row r="1228">
      <c r="A1228" s="47">
        <f>IF(_imp!$C$1230="","",INDEX(_imp!$D$4:$D$1503,_imp!$C$1230))</f>
        <v/>
      </c>
      <c r="B1228" s="47">
        <f>IF(_imp!$C$1230="","",INDEX(_imp!$E$4:$E$1503,_imp!$C$1230))</f>
        <v/>
      </c>
      <c r="C1228" s="47">
        <f>IF(_imp!$C$1230="","",INDEX(_imp!$F$4:$F$1503,_imp!$C$1230))</f>
        <v/>
      </c>
      <c r="E1228" s="47">
        <f>IF(_imp!$C$1230="","",INDEX(_imp!$G$4:$G$1503,_imp!$C$1230))</f>
        <v/>
      </c>
      <c r="F1228" s="47">
        <f>IF(_imp!$C$1230="","",INDEX(_imp!$H$4:$H$1503,_imp!$C$1230))</f>
        <v/>
      </c>
      <c r="G1228" s="47">
        <f>IF(_imp!$C$1230="","",INDEX(_imp!$I$4:$I$1503,_imp!$C$1230))</f>
        <v/>
      </c>
      <c r="K1228" s="47">
        <f>IF(_imp!$C$1230="","",INDEX(_imp!$J$4:$J$1503,_imp!$C$1230))</f>
        <v/>
      </c>
    </row>
    <row r="1229">
      <c r="A1229" s="47">
        <f>IF(_imp!$C$1231="","",INDEX(_imp!$D$4:$D$1503,_imp!$C$1231))</f>
        <v/>
      </c>
      <c r="B1229" s="47">
        <f>IF(_imp!$C$1231="","",INDEX(_imp!$E$4:$E$1503,_imp!$C$1231))</f>
        <v/>
      </c>
      <c r="C1229" s="47">
        <f>IF(_imp!$C$1231="","",INDEX(_imp!$F$4:$F$1503,_imp!$C$1231))</f>
        <v/>
      </c>
      <c r="E1229" s="47">
        <f>IF(_imp!$C$1231="","",INDEX(_imp!$G$4:$G$1503,_imp!$C$1231))</f>
        <v/>
      </c>
      <c r="F1229" s="47">
        <f>IF(_imp!$C$1231="","",INDEX(_imp!$H$4:$H$1503,_imp!$C$1231))</f>
        <v/>
      </c>
      <c r="G1229" s="47">
        <f>IF(_imp!$C$1231="","",INDEX(_imp!$I$4:$I$1503,_imp!$C$1231))</f>
        <v/>
      </c>
      <c r="K1229" s="47">
        <f>IF(_imp!$C$1231="","",INDEX(_imp!$J$4:$J$1503,_imp!$C$1231))</f>
        <v/>
      </c>
    </row>
    <row r="1230">
      <c r="A1230" s="47">
        <f>IF(_imp!$C$1232="","",INDEX(_imp!$D$4:$D$1503,_imp!$C$1232))</f>
        <v/>
      </c>
      <c r="B1230" s="47">
        <f>IF(_imp!$C$1232="","",INDEX(_imp!$E$4:$E$1503,_imp!$C$1232))</f>
        <v/>
      </c>
      <c r="C1230" s="47">
        <f>IF(_imp!$C$1232="","",INDEX(_imp!$F$4:$F$1503,_imp!$C$1232))</f>
        <v/>
      </c>
      <c r="E1230" s="47">
        <f>IF(_imp!$C$1232="","",INDEX(_imp!$G$4:$G$1503,_imp!$C$1232))</f>
        <v/>
      </c>
      <c r="F1230" s="47">
        <f>IF(_imp!$C$1232="","",INDEX(_imp!$H$4:$H$1503,_imp!$C$1232))</f>
        <v/>
      </c>
      <c r="G1230" s="47">
        <f>IF(_imp!$C$1232="","",INDEX(_imp!$I$4:$I$1503,_imp!$C$1232))</f>
        <v/>
      </c>
      <c r="K1230" s="47">
        <f>IF(_imp!$C$1232="","",INDEX(_imp!$J$4:$J$1503,_imp!$C$1232))</f>
        <v/>
      </c>
    </row>
    <row r="1231">
      <c r="A1231" s="47">
        <f>IF(_imp!$C$1233="","",INDEX(_imp!$D$4:$D$1503,_imp!$C$1233))</f>
        <v/>
      </c>
      <c r="B1231" s="47">
        <f>IF(_imp!$C$1233="","",INDEX(_imp!$E$4:$E$1503,_imp!$C$1233))</f>
        <v/>
      </c>
      <c r="C1231" s="47">
        <f>IF(_imp!$C$1233="","",INDEX(_imp!$F$4:$F$1503,_imp!$C$1233))</f>
        <v/>
      </c>
      <c r="E1231" s="47">
        <f>IF(_imp!$C$1233="","",INDEX(_imp!$G$4:$G$1503,_imp!$C$1233))</f>
        <v/>
      </c>
      <c r="F1231" s="47">
        <f>IF(_imp!$C$1233="","",INDEX(_imp!$H$4:$H$1503,_imp!$C$1233))</f>
        <v/>
      </c>
      <c r="G1231" s="47">
        <f>IF(_imp!$C$1233="","",INDEX(_imp!$I$4:$I$1503,_imp!$C$1233))</f>
        <v/>
      </c>
      <c r="K1231" s="47">
        <f>IF(_imp!$C$1233="","",INDEX(_imp!$J$4:$J$1503,_imp!$C$1233))</f>
        <v/>
      </c>
    </row>
    <row r="1232">
      <c r="A1232" s="47">
        <f>IF(_imp!$C$1234="","",INDEX(_imp!$D$4:$D$1503,_imp!$C$1234))</f>
        <v/>
      </c>
      <c r="B1232" s="47">
        <f>IF(_imp!$C$1234="","",INDEX(_imp!$E$4:$E$1503,_imp!$C$1234))</f>
        <v/>
      </c>
      <c r="C1232" s="47">
        <f>IF(_imp!$C$1234="","",INDEX(_imp!$F$4:$F$1503,_imp!$C$1234))</f>
        <v/>
      </c>
      <c r="E1232" s="47">
        <f>IF(_imp!$C$1234="","",INDEX(_imp!$G$4:$G$1503,_imp!$C$1234))</f>
        <v/>
      </c>
      <c r="F1232" s="47">
        <f>IF(_imp!$C$1234="","",INDEX(_imp!$H$4:$H$1503,_imp!$C$1234))</f>
        <v/>
      </c>
      <c r="G1232" s="47">
        <f>IF(_imp!$C$1234="","",INDEX(_imp!$I$4:$I$1503,_imp!$C$1234))</f>
        <v/>
      </c>
      <c r="K1232" s="47">
        <f>IF(_imp!$C$1234="","",INDEX(_imp!$J$4:$J$1503,_imp!$C$1234))</f>
        <v/>
      </c>
    </row>
    <row r="1233">
      <c r="A1233" s="47">
        <f>IF(_imp!$C$1235="","",INDEX(_imp!$D$4:$D$1503,_imp!$C$1235))</f>
        <v/>
      </c>
      <c r="B1233" s="47">
        <f>IF(_imp!$C$1235="","",INDEX(_imp!$E$4:$E$1503,_imp!$C$1235))</f>
        <v/>
      </c>
      <c r="C1233" s="47">
        <f>IF(_imp!$C$1235="","",INDEX(_imp!$F$4:$F$1503,_imp!$C$1235))</f>
        <v/>
      </c>
      <c r="E1233" s="47">
        <f>IF(_imp!$C$1235="","",INDEX(_imp!$G$4:$G$1503,_imp!$C$1235))</f>
        <v/>
      </c>
      <c r="F1233" s="47">
        <f>IF(_imp!$C$1235="","",INDEX(_imp!$H$4:$H$1503,_imp!$C$1235))</f>
        <v/>
      </c>
      <c r="G1233" s="47">
        <f>IF(_imp!$C$1235="","",INDEX(_imp!$I$4:$I$1503,_imp!$C$1235))</f>
        <v/>
      </c>
      <c r="K1233" s="47">
        <f>IF(_imp!$C$1235="","",INDEX(_imp!$J$4:$J$1503,_imp!$C$1235))</f>
        <v/>
      </c>
    </row>
    <row r="1234">
      <c r="A1234" s="47">
        <f>IF(_imp!$C$1236="","",INDEX(_imp!$D$4:$D$1503,_imp!$C$1236))</f>
        <v/>
      </c>
      <c r="B1234" s="47">
        <f>IF(_imp!$C$1236="","",INDEX(_imp!$E$4:$E$1503,_imp!$C$1236))</f>
        <v/>
      </c>
      <c r="C1234" s="47">
        <f>IF(_imp!$C$1236="","",INDEX(_imp!$F$4:$F$1503,_imp!$C$1236))</f>
        <v/>
      </c>
      <c r="E1234" s="47">
        <f>IF(_imp!$C$1236="","",INDEX(_imp!$G$4:$G$1503,_imp!$C$1236))</f>
        <v/>
      </c>
      <c r="F1234" s="47">
        <f>IF(_imp!$C$1236="","",INDEX(_imp!$H$4:$H$1503,_imp!$C$1236))</f>
        <v/>
      </c>
      <c r="G1234" s="47">
        <f>IF(_imp!$C$1236="","",INDEX(_imp!$I$4:$I$1503,_imp!$C$1236))</f>
        <v/>
      </c>
      <c r="K1234" s="47">
        <f>IF(_imp!$C$1236="","",INDEX(_imp!$J$4:$J$1503,_imp!$C$1236))</f>
        <v/>
      </c>
    </row>
    <row r="1235">
      <c r="A1235" s="47">
        <f>IF(_imp!$C$1237="","",INDEX(_imp!$D$4:$D$1503,_imp!$C$1237))</f>
        <v/>
      </c>
      <c r="B1235" s="47">
        <f>IF(_imp!$C$1237="","",INDEX(_imp!$E$4:$E$1503,_imp!$C$1237))</f>
        <v/>
      </c>
      <c r="C1235" s="47">
        <f>IF(_imp!$C$1237="","",INDEX(_imp!$F$4:$F$1503,_imp!$C$1237))</f>
        <v/>
      </c>
      <c r="E1235" s="47">
        <f>IF(_imp!$C$1237="","",INDEX(_imp!$G$4:$G$1503,_imp!$C$1237))</f>
        <v/>
      </c>
      <c r="F1235" s="47">
        <f>IF(_imp!$C$1237="","",INDEX(_imp!$H$4:$H$1503,_imp!$C$1237))</f>
        <v/>
      </c>
      <c r="G1235" s="47">
        <f>IF(_imp!$C$1237="","",INDEX(_imp!$I$4:$I$1503,_imp!$C$1237))</f>
        <v/>
      </c>
      <c r="K1235" s="47">
        <f>IF(_imp!$C$1237="","",INDEX(_imp!$J$4:$J$1503,_imp!$C$1237))</f>
        <v/>
      </c>
    </row>
    <row r="1236">
      <c r="A1236" s="47">
        <f>IF(_imp!$C$1238="","",INDEX(_imp!$D$4:$D$1503,_imp!$C$1238))</f>
        <v/>
      </c>
      <c r="B1236" s="47">
        <f>IF(_imp!$C$1238="","",INDEX(_imp!$E$4:$E$1503,_imp!$C$1238))</f>
        <v/>
      </c>
      <c r="C1236" s="47">
        <f>IF(_imp!$C$1238="","",INDEX(_imp!$F$4:$F$1503,_imp!$C$1238))</f>
        <v/>
      </c>
      <c r="E1236" s="47">
        <f>IF(_imp!$C$1238="","",INDEX(_imp!$G$4:$G$1503,_imp!$C$1238))</f>
        <v/>
      </c>
      <c r="F1236" s="47">
        <f>IF(_imp!$C$1238="","",INDEX(_imp!$H$4:$H$1503,_imp!$C$1238))</f>
        <v/>
      </c>
      <c r="G1236" s="47">
        <f>IF(_imp!$C$1238="","",INDEX(_imp!$I$4:$I$1503,_imp!$C$1238))</f>
        <v/>
      </c>
      <c r="K1236" s="47">
        <f>IF(_imp!$C$1238="","",INDEX(_imp!$J$4:$J$1503,_imp!$C$1238))</f>
        <v/>
      </c>
    </row>
    <row r="1237">
      <c r="A1237" s="47">
        <f>IF(_imp!$C$1239="","",INDEX(_imp!$D$4:$D$1503,_imp!$C$1239))</f>
        <v/>
      </c>
      <c r="B1237" s="47">
        <f>IF(_imp!$C$1239="","",INDEX(_imp!$E$4:$E$1503,_imp!$C$1239))</f>
        <v/>
      </c>
      <c r="C1237" s="47">
        <f>IF(_imp!$C$1239="","",INDEX(_imp!$F$4:$F$1503,_imp!$C$1239))</f>
        <v/>
      </c>
      <c r="E1237" s="47">
        <f>IF(_imp!$C$1239="","",INDEX(_imp!$G$4:$G$1503,_imp!$C$1239))</f>
        <v/>
      </c>
      <c r="F1237" s="47">
        <f>IF(_imp!$C$1239="","",INDEX(_imp!$H$4:$H$1503,_imp!$C$1239))</f>
        <v/>
      </c>
      <c r="G1237" s="47">
        <f>IF(_imp!$C$1239="","",INDEX(_imp!$I$4:$I$1503,_imp!$C$1239))</f>
        <v/>
      </c>
      <c r="K1237" s="47">
        <f>IF(_imp!$C$1239="","",INDEX(_imp!$J$4:$J$1503,_imp!$C$1239))</f>
        <v/>
      </c>
    </row>
    <row r="1238">
      <c r="A1238" s="47">
        <f>IF(_imp!$C$1240="","",INDEX(_imp!$D$4:$D$1503,_imp!$C$1240))</f>
        <v/>
      </c>
      <c r="B1238" s="47">
        <f>IF(_imp!$C$1240="","",INDEX(_imp!$E$4:$E$1503,_imp!$C$1240))</f>
        <v/>
      </c>
      <c r="C1238" s="47">
        <f>IF(_imp!$C$1240="","",INDEX(_imp!$F$4:$F$1503,_imp!$C$1240))</f>
        <v/>
      </c>
      <c r="E1238" s="47">
        <f>IF(_imp!$C$1240="","",INDEX(_imp!$G$4:$G$1503,_imp!$C$1240))</f>
        <v/>
      </c>
      <c r="F1238" s="47">
        <f>IF(_imp!$C$1240="","",INDEX(_imp!$H$4:$H$1503,_imp!$C$1240))</f>
        <v/>
      </c>
      <c r="G1238" s="47">
        <f>IF(_imp!$C$1240="","",INDEX(_imp!$I$4:$I$1503,_imp!$C$1240))</f>
        <v/>
      </c>
      <c r="K1238" s="47">
        <f>IF(_imp!$C$1240="","",INDEX(_imp!$J$4:$J$1503,_imp!$C$1240))</f>
        <v/>
      </c>
    </row>
    <row r="1239">
      <c r="A1239" s="47">
        <f>IF(_imp!$C$1241="","",INDEX(_imp!$D$4:$D$1503,_imp!$C$1241))</f>
        <v/>
      </c>
      <c r="B1239" s="47">
        <f>IF(_imp!$C$1241="","",INDEX(_imp!$E$4:$E$1503,_imp!$C$1241))</f>
        <v/>
      </c>
      <c r="C1239" s="47">
        <f>IF(_imp!$C$1241="","",INDEX(_imp!$F$4:$F$1503,_imp!$C$1241))</f>
        <v/>
      </c>
      <c r="E1239" s="47">
        <f>IF(_imp!$C$1241="","",INDEX(_imp!$G$4:$G$1503,_imp!$C$1241))</f>
        <v/>
      </c>
      <c r="F1239" s="47">
        <f>IF(_imp!$C$1241="","",INDEX(_imp!$H$4:$H$1503,_imp!$C$1241))</f>
        <v/>
      </c>
      <c r="G1239" s="47">
        <f>IF(_imp!$C$1241="","",INDEX(_imp!$I$4:$I$1503,_imp!$C$1241))</f>
        <v/>
      </c>
      <c r="K1239" s="47">
        <f>IF(_imp!$C$1241="","",INDEX(_imp!$J$4:$J$1503,_imp!$C$1241))</f>
        <v/>
      </c>
    </row>
    <row r="1240">
      <c r="A1240" s="47">
        <f>IF(_imp!$C$1242="","",INDEX(_imp!$D$4:$D$1503,_imp!$C$1242))</f>
        <v/>
      </c>
      <c r="B1240" s="47">
        <f>IF(_imp!$C$1242="","",INDEX(_imp!$E$4:$E$1503,_imp!$C$1242))</f>
        <v/>
      </c>
      <c r="C1240" s="47">
        <f>IF(_imp!$C$1242="","",INDEX(_imp!$F$4:$F$1503,_imp!$C$1242))</f>
        <v/>
      </c>
      <c r="E1240" s="47">
        <f>IF(_imp!$C$1242="","",INDEX(_imp!$G$4:$G$1503,_imp!$C$1242))</f>
        <v/>
      </c>
      <c r="F1240" s="47">
        <f>IF(_imp!$C$1242="","",INDEX(_imp!$H$4:$H$1503,_imp!$C$1242))</f>
        <v/>
      </c>
      <c r="G1240" s="47">
        <f>IF(_imp!$C$1242="","",INDEX(_imp!$I$4:$I$1503,_imp!$C$1242))</f>
        <v/>
      </c>
      <c r="K1240" s="47">
        <f>IF(_imp!$C$1242="","",INDEX(_imp!$J$4:$J$1503,_imp!$C$1242))</f>
        <v/>
      </c>
    </row>
    <row r="1241">
      <c r="A1241" s="47">
        <f>IF(_imp!$C$1243="","",INDEX(_imp!$D$4:$D$1503,_imp!$C$1243))</f>
        <v/>
      </c>
      <c r="B1241" s="47">
        <f>IF(_imp!$C$1243="","",INDEX(_imp!$E$4:$E$1503,_imp!$C$1243))</f>
        <v/>
      </c>
      <c r="C1241" s="47">
        <f>IF(_imp!$C$1243="","",INDEX(_imp!$F$4:$F$1503,_imp!$C$1243))</f>
        <v/>
      </c>
      <c r="E1241" s="47">
        <f>IF(_imp!$C$1243="","",INDEX(_imp!$G$4:$G$1503,_imp!$C$1243))</f>
        <v/>
      </c>
      <c r="F1241" s="47">
        <f>IF(_imp!$C$1243="","",INDEX(_imp!$H$4:$H$1503,_imp!$C$1243))</f>
        <v/>
      </c>
      <c r="G1241" s="47">
        <f>IF(_imp!$C$1243="","",INDEX(_imp!$I$4:$I$1503,_imp!$C$1243))</f>
        <v/>
      </c>
      <c r="K1241" s="47">
        <f>IF(_imp!$C$1243="","",INDEX(_imp!$J$4:$J$1503,_imp!$C$1243))</f>
        <v/>
      </c>
    </row>
    <row r="1242">
      <c r="A1242" s="47">
        <f>IF(_imp!$C$1244="","",INDEX(_imp!$D$4:$D$1503,_imp!$C$1244))</f>
        <v/>
      </c>
      <c r="B1242" s="47">
        <f>IF(_imp!$C$1244="","",INDEX(_imp!$E$4:$E$1503,_imp!$C$1244))</f>
        <v/>
      </c>
      <c r="C1242" s="47">
        <f>IF(_imp!$C$1244="","",INDEX(_imp!$F$4:$F$1503,_imp!$C$1244))</f>
        <v/>
      </c>
      <c r="E1242" s="47">
        <f>IF(_imp!$C$1244="","",INDEX(_imp!$G$4:$G$1503,_imp!$C$1244))</f>
        <v/>
      </c>
      <c r="F1242" s="47">
        <f>IF(_imp!$C$1244="","",INDEX(_imp!$H$4:$H$1503,_imp!$C$1244))</f>
        <v/>
      </c>
      <c r="G1242" s="47">
        <f>IF(_imp!$C$1244="","",INDEX(_imp!$I$4:$I$1503,_imp!$C$1244))</f>
        <v/>
      </c>
      <c r="K1242" s="47">
        <f>IF(_imp!$C$1244="","",INDEX(_imp!$J$4:$J$1503,_imp!$C$1244))</f>
        <v/>
      </c>
    </row>
    <row r="1243">
      <c r="A1243" s="47">
        <f>IF(_imp!$C$1245="","",INDEX(_imp!$D$4:$D$1503,_imp!$C$1245))</f>
        <v/>
      </c>
      <c r="B1243" s="47">
        <f>IF(_imp!$C$1245="","",INDEX(_imp!$E$4:$E$1503,_imp!$C$1245))</f>
        <v/>
      </c>
      <c r="C1243" s="47">
        <f>IF(_imp!$C$1245="","",INDEX(_imp!$F$4:$F$1503,_imp!$C$1245))</f>
        <v/>
      </c>
      <c r="E1243" s="47">
        <f>IF(_imp!$C$1245="","",INDEX(_imp!$G$4:$G$1503,_imp!$C$1245))</f>
        <v/>
      </c>
      <c r="F1243" s="47">
        <f>IF(_imp!$C$1245="","",INDEX(_imp!$H$4:$H$1503,_imp!$C$1245))</f>
        <v/>
      </c>
      <c r="G1243" s="47">
        <f>IF(_imp!$C$1245="","",INDEX(_imp!$I$4:$I$1503,_imp!$C$1245))</f>
        <v/>
      </c>
      <c r="K1243" s="47">
        <f>IF(_imp!$C$1245="","",INDEX(_imp!$J$4:$J$1503,_imp!$C$1245))</f>
        <v/>
      </c>
    </row>
    <row r="1244">
      <c r="A1244" s="47">
        <f>IF(_imp!$C$1246="","",INDEX(_imp!$D$4:$D$1503,_imp!$C$1246))</f>
        <v/>
      </c>
      <c r="B1244" s="47">
        <f>IF(_imp!$C$1246="","",INDEX(_imp!$E$4:$E$1503,_imp!$C$1246))</f>
        <v/>
      </c>
      <c r="C1244" s="47">
        <f>IF(_imp!$C$1246="","",INDEX(_imp!$F$4:$F$1503,_imp!$C$1246))</f>
        <v/>
      </c>
      <c r="E1244" s="47">
        <f>IF(_imp!$C$1246="","",INDEX(_imp!$G$4:$G$1503,_imp!$C$1246))</f>
        <v/>
      </c>
      <c r="F1244" s="47">
        <f>IF(_imp!$C$1246="","",INDEX(_imp!$H$4:$H$1503,_imp!$C$1246))</f>
        <v/>
      </c>
      <c r="G1244" s="47">
        <f>IF(_imp!$C$1246="","",INDEX(_imp!$I$4:$I$1503,_imp!$C$1246))</f>
        <v/>
      </c>
      <c r="K1244" s="47">
        <f>IF(_imp!$C$1246="","",INDEX(_imp!$J$4:$J$1503,_imp!$C$1246))</f>
        <v/>
      </c>
    </row>
    <row r="1245">
      <c r="A1245" s="47">
        <f>IF(_imp!$C$1247="","",INDEX(_imp!$D$4:$D$1503,_imp!$C$1247))</f>
        <v/>
      </c>
      <c r="B1245" s="47">
        <f>IF(_imp!$C$1247="","",INDEX(_imp!$E$4:$E$1503,_imp!$C$1247))</f>
        <v/>
      </c>
      <c r="C1245" s="47">
        <f>IF(_imp!$C$1247="","",INDEX(_imp!$F$4:$F$1503,_imp!$C$1247))</f>
        <v/>
      </c>
      <c r="E1245" s="47">
        <f>IF(_imp!$C$1247="","",INDEX(_imp!$G$4:$G$1503,_imp!$C$1247))</f>
        <v/>
      </c>
      <c r="F1245" s="47">
        <f>IF(_imp!$C$1247="","",INDEX(_imp!$H$4:$H$1503,_imp!$C$1247))</f>
        <v/>
      </c>
      <c r="G1245" s="47">
        <f>IF(_imp!$C$1247="","",INDEX(_imp!$I$4:$I$1503,_imp!$C$1247))</f>
        <v/>
      </c>
      <c r="K1245" s="47">
        <f>IF(_imp!$C$1247="","",INDEX(_imp!$J$4:$J$1503,_imp!$C$1247))</f>
        <v/>
      </c>
    </row>
    <row r="1246">
      <c r="A1246" s="47">
        <f>IF(_imp!$C$1248="","",INDEX(_imp!$D$4:$D$1503,_imp!$C$1248))</f>
        <v/>
      </c>
      <c r="B1246" s="47">
        <f>IF(_imp!$C$1248="","",INDEX(_imp!$E$4:$E$1503,_imp!$C$1248))</f>
        <v/>
      </c>
      <c r="C1246" s="47">
        <f>IF(_imp!$C$1248="","",INDEX(_imp!$F$4:$F$1503,_imp!$C$1248))</f>
        <v/>
      </c>
      <c r="E1246" s="47">
        <f>IF(_imp!$C$1248="","",INDEX(_imp!$G$4:$G$1503,_imp!$C$1248))</f>
        <v/>
      </c>
      <c r="F1246" s="47">
        <f>IF(_imp!$C$1248="","",INDEX(_imp!$H$4:$H$1503,_imp!$C$1248))</f>
        <v/>
      </c>
      <c r="G1246" s="47">
        <f>IF(_imp!$C$1248="","",INDEX(_imp!$I$4:$I$1503,_imp!$C$1248))</f>
        <v/>
      </c>
      <c r="K1246" s="47">
        <f>IF(_imp!$C$1248="","",INDEX(_imp!$J$4:$J$1503,_imp!$C$1248))</f>
        <v/>
      </c>
    </row>
    <row r="1247">
      <c r="A1247" s="47">
        <f>IF(_imp!$C$1249="","",INDEX(_imp!$D$4:$D$1503,_imp!$C$1249))</f>
        <v/>
      </c>
      <c r="B1247" s="47">
        <f>IF(_imp!$C$1249="","",INDEX(_imp!$E$4:$E$1503,_imp!$C$1249))</f>
        <v/>
      </c>
      <c r="C1247" s="47">
        <f>IF(_imp!$C$1249="","",INDEX(_imp!$F$4:$F$1503,_imp!$C$1249))</f>
        <v/>
      </c>
      <c r="E1247" s="47">
        <f>IF(_imp!$C$1249="","",INDEX(_imp!$G$4:$G$1503,_imp!$C$1249))</f>
        <v/>
      </c>
      <c r="F1247" s="47">
        <f>IF(_imp!$C$1249="","",INDEX(_imp!$H$4:$H$1503,_imp!$C$1249))</f>
        <v/>
      </c>
      <c r="G1247" s="47">
        <f>IF(_imp!$C$1249="","",INDEX(_imp!$I$4:$I$1503,_imp!$C$1249))</f>
        <v/>
      </c>
      <c r="K1247" s="47">
        <f>IF(_imp!$C$1249="","",INDEX(_imp!$J$4:$J$1503,_imp!$C$1249))</f>
        <v/>
      </c>
    </row>
    <row r="1248">
      <c r="A1248" s="47">
        <f>IF(_imp!$C$1250="","",INDEX(_imp!$D$4:$D$1503,_imp!$C$1250))</f>
        <v/>
      </c>
      <c r="B1248" s="47">
        <f>IF(_imp!$C$1250="","",INDEX(_imp!$E$4:$E$1503,_imp!$C$1250))</f>
        <v/>
      </c>
      <c r="C1248" s="47">
        <f>IF(_imp!$C$1250="","",INDEX(_imp!$F$4:$F$1503,_imp!$C$1250))</f>
        <v/>
      </c>
      <c r="E1248" s="47">
        <f>IF(_imp!$C$1250="","",INDEX(_imp!$G$4:$G$1503,_imp!$C$1250))</f>
        <v/>
      </c>
      <c r="F1248" s="47">
        <f>IF(_imp!$C$1250="","",INDEX(_imp!$H$4:$H$1503,_imp!$C$1250))</f>
        <v/>
      </c>
      <c r="G1248" s="47">
        <f>IF(_imp!$C$1250="","",INDEX(_imp!$I$4:$I$1503,_imp!$C$1250))</f>
        <v/>
      </c>
      <c r="K1248" s="47">
        <f>IF(_imp!$C$1250="","",INDEX(_imp!$J$4:$J$1503,_imp!$C$1250))</f>
        <v/>
      </c>
    </row>
    <row r="1249">
      <c r="A1249" s="47">
        <f>IF(_imp!$C$1251="","",INDEX(_imp!$D$4:$D$1503,_imp!$C$1251))</f>
        <v/>
      </c>
      <c r="B1249" s="47">
        <f>IF(_imp!$C$1251="","",INDEX(_imp!$E$4:$E$1503,_imp!$C$1251))</f>
        <v/>
      </c>
      <c r="C1249" s="47">
        <f>IF(_imp!$C$1251="","",INDEX(_imp!$F$4:$F$1503,_imp!$C$1251))</f>
        <v/>
      </c>
      <c r="E1249" s="47">
        <f>IF(_imp!$C$1251="","",INDEX(_imp!$G$4:$G$1503,_imp!$C$1251))</f>
        <v/>
      </c>
      <c r="F1249" s="47">
        <f>IF(_imp!$C$1251="","",INDEX(_imp!$H$4:$H$1503,_imp!$C$1251))</f>
        <v/>
      </c>
      <c r="G1249" s="47">
        <f>IF(_imp!$C$1251="","",INDEX(_imp!$I$4:$I$1503,_imp!$C$1251))</f>
        <v/>
      </c>
      <c r="K1249" s="47">
        <f>IF(_imp!$C$1251="","",INDEX(_imp!$J$4:$J$1503,_imp!$C$1251))</f>
        <v/>
      </c>
    </row>
    <row r="1250">
      <c r="A1250" s="47">
        <f>IF(_imp!$C$1252="","",INDEX(_imp!$D$4:$D$1503,_imp!$C$1252))</f>
        <v/>
      </c>
      <c r="B1250" s="47">
        <f>IF(_imp!$C$1252="","",INDEX(_imp!$E$4:$E$1503,_imp!$C$1252))</f>
        <v/>
      </c>
      <c r="C1250" s="47">
        <f>IF(_imp!$C$1252="","",INDEX(_imp!$F$4:$F$1503,_imp!$C$1252))</f>
        <v/>
      </c>
      <c r="E1250" s="47">
        <f>IF(_imp!$C$1252="","",INDEX(_imp!$G$4:$G$1503,_imp!$C$1252))</f>
        <v/>
      </c>
      <c r="F1250" s="47">
        <f>IF(_imp!$C$1252="","",INDEX(_imp!$H$4:$H$1503,_imp!$C$1252))</f>
        <v/>
      </c>
      <c r="G1250" s="47">
        <f>IF(_imp!$C$1252="","",INDEX(_imp!$I$4:$I$1503,_imp!$C$1252))</f>
        <v/>
      </c>
      <c r="K1250" s="47">
        <f>IF(_imp!$C$1252="","",INDEX(_imp!$J$4:$J$1503,_imp!$C$1252))</f>
        <v/>
      </c>
    </row>
    <row r="1251">
      <c r="A1251" s="47">
        <f>IF(_imp!$C$1253="","",INDEX(_imp!$D$4:$D$1503,_imp!$C$1253))</f>
        <v/>
      </c>
      <c r="B1251" s="47">
        <f>IF(_imp!$C$1253="","",INDEX(_imp!$E$4:$E$1503,_imp!$C$1253))</f>
        <v/>
      </c>
      <c r="C1251" s="47">
        <f>IF(_imp!$C$1253="","",INDEX(_imp!$F$4:$F$1503,_imp!$C$1253))</f>
        <v/>
      </c>
      <c r="E1251" s="47">
        <f>IF(_imp!$C$1253="","",INDEX(_imp!$G$4:$G$1503,_imp!$C$1253))</f>
        <v/>
      </c>
      <c r="F1251" s="47">
        <f>IF(_imp!$C$1253="","",INDEX(_imp!$H$4:$H$1503,_imp!$C$1253))</f>
        <v/>
      </c>
      <c r="G1251" s="47">
        <f>IF(_imp!$C$1253="","",INDEX(_imp!$I$4:$I$1503,_imp!$C$1253))</f>
        <v/>
      </c>
      <c r="K1251" s="47">
        <f>IF(_imp!$C$1253="","",INDEX(_imp!$J$4:$J$1503,_imp!$C$1253))</f>
        <v/>
      </c>
    </row>
    <row r="1252">
      <c r="A1252" s="47">
        <f>IF(_imp!$C$1254="","",INDEX(_imp!$D$4:$D$1503,_imp!$C$1254))</f>
        <v/>
      </c>
      <c r="B1252" s="47">
        <f>IF(_imp!$C$1254="","",INDEX(_imp!$E$4:$E$1503,_imp!$C$1254))</f>
        <v/>
      </c>
      <c r="C1252" s="47">
        <f>IF(_imp!$C$1254="","",INDEX(_imp!$F$4:$F$1503,_imp!$C$1254))</f>
        <v/>
      </c>
      <c r="E1252" s="47">
        <f>IF(_imp!$C$1254="","",INDEX(_imp!$G$4:$G$1503,_imp!$C$1254))</f>
        <v/>
      </c>
      <c r="F1252" s="47">
        <f>IF(_imp!$C$1254="","",INDEX(_imp!$H$4:$H$1503,_imp!$C$1254))</f>
        <v/>
      </c>
      <c r="G1252" s="47">
        <f>IF(_imp!$C$1254="","",INDEX(_imp!$I$4:$I$1503,_imp!$C$1254))</f>
        <v/>
      </c>
      <c r="K1252" s="47">
        <f>IF(_imp!$C$1254="","",INDEX(_imp!$J$4:$J$1503,_imp!$C$1254))</f>
        <v/>
      </c>
    </row>
    <row r="1253">
      <c r="A1253" s="47">
        <f>IF(_imp!$C$1255="","",INDEX(_imp!$D$4:$D$1503,_imp!$C$1255))</f>
        <v/>
      </c>
      <c r="B1253" s="47">
        <f>IF(_imp!$C$1255="","",INDEX(_imp!$E$4:$E$1503,_imp!$C$1255))</f>
        <v/>
      </c>
      <c r="C1253" s="47">
        <f>IF(_imp!$C$1255="","",INDEX(_imp!$F$4:$F$1503,_imp!$C$1255))</f>
        <v/>
      </c>
      <c r="E1253" s="47">
        <f>IF(_imp!$C$1255="","",INDEX(_imp!$G$4:$G$1503,_imp!$C$1255))</f>
        <v/>
      </c>
      <c r="F1253" s="47">
        <f>IF(_imp!$C$1255="","",INDEX(_imp!$H$4:$H$1503,_imp!$C$1255))</f>
        <v/>
      </c>
      <c r="G1253" s="47">
        <f>IF(_imp!$C$1255="","",INDEX(_imp!$I$4:$I$1503,_imp!$C$1255))</f>
        <v/>
      </c>
      <c r="K1253" s="47">
        <f>IF(_imp!$C$1255="","",INDEX(_imp!$J$4:$J$1503,_imp!$C$1255))</f>
        <v/>
      </c>
    </row>
    <row r="1254">
      <c r="A1254" s="47">
        <f>IF(_imp!$C$1256="","",INDEX(_imp!$D$4:$D$1503,_imp!$C$1256))</f>
        <v/>
      </c>
      <c r="B1254" s="47">
        <f>IF(_imp!$C$1256="","",INDEX(_imp!$E$4:$E$1503,_imp!$C$1256))</f>
        <v/>
      </c>
      <c r="C1254" s="47">
        <f>IF(_imp!$C$1256="","",INDEX(_imp!$F$4:$F$1503,_imp!$C$1256))</f>
        <v/>
      </c>
      <c r="E1254" s="47">
        <f>IF(_imp!$C$1256="","",INDEX(_imp!$G$4:$G$1503,_imp!$C$1256))</f>
        <v/>
      </c>
      <c r="F1254" s="47">
        <f>IF(_imp!$C$1256="","",INDEX(_imp!$H$4:$H$1503,_imp!$C$1256))</f>
        <v/>
      </c>
      <c r="G1254" s="47">
        <f>IF(_imp!$C$1256="","",INDEX(_imp!$I$4:$I$1503,_imp!$C$1256))</f>
        <v/>
      </c>
      <c r="K1254" s="47">
        <f>IF(_imp!$C$1256="","",INDEX(_imp!$J$4:$J$1503,_imp!$C$1256))</f>
        <v/>
      </c>
    </row>
    <row r="1255">
      <c r="A1255" s="47">
        <f>IF(_imp!$C$1257="","",INDEX(_imp!$D$4:$D$1503,_imp!$C$1257))</f>
        <v/>
      </c>
      <c r="B1255" s="47">
        <f>IF(_imp!$C$1257="","",INDEX(_imp!$E$4:$E$1503,_imp!$C$1257))</f>
        <v/>
      </c>
      <c r="C1255" s="47">
        <f>IF(_imp!$C$1257="","",INDEX(_imp!$F$4:$F$1503,_imp!$C$1257))</f>
        <v/>
      </c>
      <c r="E1255" s="47">
        <f>IF(_imp!$C$1257="","",INDEX(_imp!$G$4:$G$1503,_imp!$C$1257))</f>
        <v/>
      </c>
      <c r="F1255" s="47">
        <f>IF(_imp!$C$1257="","",INDEX(_imp!$H$4:$H$1503,_imp!$C$1257))</f>
        <v/>
      </c>
      <c r="G1255" s="47">
        <f>IF(_imp!$C$1257="","",INDEX(_imp!$I$4:$I$1503,_imp!$C$1257))</f>
        <v/>
      </c>
      <c r="K1255" s="47">
        <f>IF(_imp!$C$1257="","",INDEX(_imp!$J$4:$J$1503,_imp!$C$1257))</f>
        <v/>
      </c>
    </row>
    <row r="1256">
      <c r="A1256" s="47">
        <f>IF(_imp!$C$1258="","",INDEX(_imp!$D$4:$D$1503,_imp!$C$1258))</f>
        <v/>
      </c>
      <c r="B1256" s="47">
        <f>IF(_imp!$C$1258="","",INDEX(_imp!$E$4:$E$1503,_imp!$C$1258))</f>
        <v/>
      </c>
      <c r="C1256" s="47">
        <f>IF(_imp!$C$1258="","",INDEX(_imp!$F$4:$F$1503,_imp!$C$1258))</f>
        <v/>
      </c>
      <c r="E1256" s="47">
        <f>IF(_imp!$C$1258="","",INDEX(_imp!$G$4:$G$1503,_imp!$C$1258))</f>
        <v/>
      </c>
      <c r="F1256" s="47">
        <f>IF(_imp!$C$1258="","",INDEX(_imp!$H$4:$H$1503,_imp!$C$1258))</f>
        <v/>
      </c>
      <c r="G1256" s="47">
        <f>IF(_imp!$C$1258="","",INDEX(_imp!$I$4:$I$1503,_imp!$C$1258))</f>
        <v/>
      </c>
      <c r="K1256" s="47">
        <f>IF(_imp!$C$1258="","",INDEX(_imp!$J$4:$J$1503,_imp!$C$1258))</f>
        <v/>
      </c>
    </row>
    <row r="1257">
      <c r="A1257" s="47">
        <f>IF(_imp!$C$1259="","",INDEX(_imp!$D$4:$D$1503,_imp!$C$1259))</f>
        <v/>
      </c>
      <c r="B1257" s="47">
        <f>IF(_imp!$C$1259="","",INDEX(_imp!$E$4:$E$1503,_imp!$C$1259))</f>
        <v/>
      </c>
      <c r="C1257" s="47">
        <f>IF(_imp!$C$1259="","",INDEX(_imp!$F$4:$F$1503,_imp!$C$1259))</f>
        <v/>
      </c>
      <c r="E1257" s="47">
        <f>IF(_imp!$C$1259="","",INDEX(_imp!$G$4:$G$1503,_imp!$C$1259))</f>
        <v/>
      </c>
      <c r="F1257" s="47">
        <f>IF(_imp!$C$1259="","",INDEX(_imp!$H$4:$H$1503,_imp!$C$1259))</f>
        <v/>
      </c>
      <c r="G1257" s="47">
        <f>IF(_imp!$C$1259="","",INDEX(_imp!$I$4:$I$1503,_imp!$C$1259))</f>
        <v/>
      </c>
      <c r="K1257" s="47">
        <f>IF(_imp!$C$1259="","",INDEX(_imp!$J$4:$J$1503,_imp!$C$1259))</f>
        <v/>
      </c>
    </row>
    <row r="1258">
      <c r="A1258" s="47">
        <f>IF(_imp!$C$1260="","",INDEX(_imp!$D$4:$D$1503,_imp!$C$1260))</f>
        <v/>
      </c>
      <c r="B1258" s="47">
        <f>IF(_imp!$C$1260="","",INDEX(_imp!$E$4:$E$1503,_imp!$C$1260))</f>
        <v/>
      </c>
      <c r="C1258" s="47">
        <f>IF(_imp!$C$1260="","",INDEX(_imp!$F$4:$F$1503,_imp!$C$1260))</f>
        <v/>
      </c>
      <c r="E1258" s="47">
        <f>IF(_imp!$C$1260="","",INDEX(_imp!$G$4:$G$1503,_imp!$C$1260))</f>
        <v/>
      </c>
      <c r="F1258" s="47">
        <f>IF(_imp!$C$1260="","",INDEX(_imp!$H$4:$H$1503,_imp!$C$1260))</f>
        <v/>
      </c>
      <c r="G1258" s="47">
        <f>IF(_imp!$C$1260="","",INDEX(_imp!$I$4:$I$1503,_imp!$C$1260))</f>
        <v/>
      </c>
      <c r="K1258" s="47">
        <f>IF(_imp!$C$1260="","",INDEX(_imp!$J$4:$J$1503,_imp!$C$1260))</f>
        <v/>
      </c>
    </row>
    <row r="1259">
      <c r="A1259" s="47">
        <f>IF(_imp!$C$1261="","",INDEX(_imp!$D$4:$D$1503,_imp!$C$1261))</f>
        <v/>
      </c>
      <c r="B1259" s="47">
        <f>IF(_imp!$C$1261="","",INDEX(_imp!$E$4:$E$1503,_imp!$C$1261))</f>
        <v/>
      </c>
      <c r="C1259" s="47">
        <f>IF(_imp!$C$1261="","",INDEX(_imp!$F$4:$F$1503,_imp!$C$1261))</f>
        <v/>
      </c>
      <c r="E1259" s="47">
        <f>IF(_imp!$C$1261="","",INDEX(_imp!$G$4:$G$1503,_imp!$C$1261))</f>
        <v/>
      </c>
      <c r="F1259" s="47">
        <f>IF(_imp!$C$1261="","",INDEX(_imp!$H$4:$H$1503,_imp!$C$1261))</f>
        <v/>
      </c>
      <c r="G1259" s="47">
        <f>IF(_imp!$C$1261="","",INDEX(_imp!$I$4:$I$1503,_imp!$C$1261))</f>
        <v/>
      </c>
      <c r="K1259" s="47">
        <f>IF(_imp!$C$1261="","",INDEX(_imp!$J$4:$J$1503,_imp!$C$1261))</f>
        <v/>
      </c>
    </row>
    <row r="1260">
      <c r="A1260" s="47">
        <f>IF(_imp!$C$1262="","",INDEX(_imp!$D$4:$D$1503,_imp!$C$1262))</f>
        <v/>
      </c>
      <c r="B1260" s="47">
        <f>IF(_imp!$C$1262="","",INDEX(_imp!$E$4:$E$1503,_imp!$C$1262))</f>
        <v/>
      </c>
      <c r="C1260" s="47">
        <f>IF(_imp!$C$1262="","",INDEX(_imp!$F$4:$F$1503,_imp!$C$1262))</f>
        <v/>
      </c>
      <c r="E1260" s="47">
        <f>IF(_imp!$C$1262="","",INDEX(_imp!$G$4:$G$1503,_imp!$C$1262))</f>
        <v/>
      </c>
      <c r="F1260" s="47">
        <f>IF(_imp!$C$1262="","",INDEX(_imp!$H$4:$H$1503,_imp!$C$1262))</f>
        <v/>
      </c>
      <c r="G1260" s="47">
        <f>IF(_imp!$C$1262="","",INDEX(_imp!$I$4:$I$1503,_imp!$C$1262))</f>
        <v/>
      </c>
      <c r="K1260" s="47">
        <f>IF(_imp!$C$1262="","",INDEX(_imp!$J$4:$J$1503,_imp!$C$1262))</f>
        <v/>
      </c>
    </row>
    <row r="1261">
      <c r="A1261" s="47">
        <f>IF(_imp!$C$1263="","",INDEX(_imp!$D$4:$D$1503,_imp!$C$1263))</f>
        <v/>
      </c>
      <c r="B1261" s="47">
        <f>IF(_imp!$C$1263="","",INDEX(_imp!$E$4:$E$1503,_imp!$C$1263))</f>
        <v/>
      </c>
      <c r="C1261" s="47">
        <f>IF(_imp!$C$1263="","",INDEX(_imp!$F$4:$F$1503,_imp!$C$1263))</f>
        <v/>
      </c>
      <c r="E1261" s="47">
        <f>IF(_imp!$C$1263="","",INDEX(_imp!$G$4:$G$1503,_imp!$C$1263))</f>
        <v/>
      </c>
      <c r="F1261" s="47">
        <f>IF(_imp!$C$1263="","",INDEX(_imp!$H$4:$H$1503,_imp!$C$1263))</f>
        <v/>
      </c>
      <c r="G1261" s="47">
        <f>IF(_imp!$C$1263="","",INDEX(_imp!$I$4:$I$1503,_imp!$C$1263))</f>
        <v/>
      </c>
      <c r="K1261" s="47">
        <f>IF(_imp!$C$1263="","",INDEX(_imp!$J$4:$J$1503,_imp!$C$1263))</f>
        <v/>
      </c>
    </row>
    <row r="1262">
      <c r="A1262" s="47">
        <f>IF(_imp!$C$1264="","",INDEX(_imp!$D$4:$D$1503,_imp!$C$1264))</f>
        <v/>
      </c>
      <c r="B1262" s="47">
        <f>IF(_imp!$C$1264="","",INDEX(_imp!$E$4:$E$1503,_imp!$C$1264))</f>
        <v/>
      </c>
      <c r="C1262" s="47">
        <f>IF(_imp!$C$1264="","",INDEX(_imp!$F$4:$F$1503,_imp!$C$1264))</f>
        <v/>
      </c>
      <c r="E1262" s="47">
        <f>IF(_imp!$C$1264="","",INDEX(_imp!$G$4:$G$1503,_imp!$C$1264))</f>
        <v/>
      </c>
      <c r="F1262" s="47">
        <f>IF(_imp!$C$1264="","",INDEX(_imp!$H$4:$H$1503,_imp!$C$1264))</f>
        <v/>
      </c>
      <c r="G1262" s="47">
        <f>IF(_imp!$C$1264="","",INDEX(_imp!$I$4:$I$1503,_imp!$C$1264))</f>
        <v/>
      </c>
      <c r="K1262" s="47">
        <f>IF(_imp!$C$1264="","",INDEX(_imp!$J$4:$J$1503,_imp!$C$1264))</f>
        <v/>
      </c>
    </row>
    <row r="1263">
      <c r="A1263" s="47">
        <f>IF(_imp!$C$1265="","",INDEX(_imp!$D$4:$D$1503,_imp!$C$1265))</f>
        <v/>
      </c>
      <c r="B1263" s="47">
        <f>IF(_imp!$C$1265="","",INDEX(_imp!$E$4:$E$1503,_imp!$C$1265))</f>
        <v/>
      </c>
      <c r="C1263" s="47">
        <f>IF(_imp!$C$1265="","",INDEX(_imp!$F$4:$F$1503,_imp!$C$1265))</f>
        <v/>
      </c>
      <c r="E1263" s="47">
        <f>IF(_imp!$C$1265="","",INDEX(_imp!$G$4:$G$1503,_imp!$C$1265))</f>
        <v/>
      </c>
      <c r="F1263" s="47">
        <f>IF(_imp!$C$1265="","",INDEX(_imp!$H$4:$H$1503,_imp!$C$1265))</f>
        <v/>
      </c>
      <c r="G1263" s="47">
        <f>IF(_imp!$C$1265="","",INDEX(_imp!$I$4:$I$1503,_imp!$C$1265))</f>
        <v/>
      </c>
      <c r="K1263" s="47">
        <f>IF(_imp!$C$1265="","",INDEX(_imp!$J$4:$J$1503,_imp!$C$1265))</f>
        <v/>
      </c>
    </row>
    <row r="1264">
      <c r="A1264" s="47">
        <f>IF(_imp!$C$1266="","",INDEX(_imp!$D$4:$D$1503,_imp!$C$1266))</f>
        <v/>
      </c>
      <c r="B1264" s="47">
        <f>IF(_imp!$C$1266="","",INDEX(_imp!$E$4:$E$1503,_imp!$C$1266))</f>
        <v/>
      </c>
      <c r="C1264" s="47">
        <f>IF(_imp!$C$1266="","",INDEX(_imp!$F$4:$F$1503,_imp!$C$1266))</f>
        <v/>
      </c>
      <c r="E1264" s="47">
        <f>IF(_imp!$C$1266="","",INDEX(_imp!$G$4:$G$1503,_imp!$C$1266))</f>
        <v/>
      </c>
      <c r="F1264" s="47">
        <f>IF(_imp!$C$1266="","",INDEX(_imp!$H$4:$H$1503,_imp!$C$1266))</f>
        <v/>
      </c>
      <c r="G1264" s="47">
        <f>IF(_imp!$C$1266="","",INDEX(_imp!$I$4:$I$1503,_imp!$C$1266))</f>
        <v/>
      </c>
      <c r="K1264" s="47">
        <f>IF(_imp!$C$1266="","",INDEX(_imp!$J$4:$J$1503,_imp!$C$1266))</f>
        <v/>
      </c>
    </row>
    <row r="1265">
      <c r="A1265" s="47">
        <f>IF(_imp!$C$1267="","",INDEX(_imp!$D$4:$D$1503,_imp!$C$1267))</f>
        <v/>
      </c>
      <c r="B1265" s="47">
        <f>IF(_imp!$C$1267="","",INDEX(_imp!$E$4:$E$1503,_imp!$C$1267))</f>
        <v/>
      </c>
      <c r="C1265" s="47">
        <f>IF(_imp!$C$1267="","",INDEX(_imp!$F$4:$F$1503,_imp!$C$1267))</f>
        <v/>
      </c>
      <c r="E1265" s="47">
        <f>IF(_imp!$C$1267="","",INDEX(_imp!$G$4:$G$1503,_imp!$C$1267))</f>
        <v/>
      </c>
      <c r="F1265" s="47">
        <f>IF(_imp!$C$1267="","",INDEX(_imp!$H$4:$H$1503,_imp!$C$1267))</f>
        <v/>
      </c>
      <c r="G1265" s="47">
        <f>IF(_imp!$C$1267="","",INDEX(_imp!$I$4:$I$1503,_imp!$C$1267))</f>
        <v/>
      </c>
      <c r="K1265" s="47">
        <f>IF(_imp!$C$1267="","",INDEX(_imp!$J$4:$J$1503,_imp!$C$1267))</f>
        <v/>
      </c>
    </row>
    <row r="1266">
      <c r="A1266" s="47">
        <f>IF(_imp!$C$1268="","",INDEX(_imp!$D$4:$D$1503,_imp!$C$1268))</f>
        <v/>
      </c>
      <c r="B1266" s="47">
        <f>IF(_imp!$C$1268="","",INDEX(_imp!$E$4:$E$1503,_imp!$C$1268))</f>
        <v/>
      </c>
      <c r="C1266" s="47">
        <f>IF(_imp!$C$1268="","",INDEX(_imp!$F$4:$F$1503,_imp!$C$1268))</f>
        <v/>
      </c>
      <c r="E1266" s="47">
        <f>IF(_imp!$C$1268="","",INDEX(_imp!$G$4:$G$1503,_imp!$C$1268))</f>
        <v/>
      </c>
      <c r="F1266" s="47">
        <f>IF(_imp!$C$1268="","",INDEX(_imp!$H$4:$H$1503,_imp!$C$1268))</f>
        <v/>
      </c>
      <c r="G1266" s="47">
        <f>IF(_imp!$C$1268="","",INDEX(_imp!$I$4:$I$1503,_imp!$C$1268))</f>
        <v/>
      </c>
      <c r="K1266" s="47">
        <f>IF(_imp!$C$1268="","",INDEX(_imp!$J$4:$J$1503,_imp!$C$1268))</f>
        <v/>
      </c>
    </row>
    <row r="1267">
      <c r="A1267" s="47">
        <f>IF(_imp!$C$1269="","",INDEX(_imp!$D$4:$D$1503,_imp!$C$1269))</f>
        <v/>
      </c>
      <c r="B1267" s="47">
        <f>IF(_imp!$C$1269="","",INDEX(_imp!$E$4:$E$1503,_imp!$C$1269))</f>
        <v/>
      </c>
      <c r="C1267" s="47">
        <f>IF(_imp!$C$1269="","",INDEX(_imp!$F$4:$F$1503,_imp!$C$1269))</f>
        <v/>
      </c>
      <c r="E1267" s="47">
        <f>IF(_imp!$C$1269="","",INDEX(_imp!$G$4:$G$1503,_imp!$C$1269))</f>
        <v/>
      </c>
      <c r="F1267" s="47">
        <f>IF(_imp!$C$1269="","",INDEX(_imp!$H$4:$H$1503,_imp!$C$1269))</f>
        <v/>
      </c>
      <c r="G1267" s="47">
        <f>IF(_imp!$C$1269="","",INDEX(_imp!$I$4:$I$1503,_imp!$C$1269))</f>
        <v/>
      </c>
      <c r="K1267" s="47">
        <f>IF(_imp!$C$1269="","",INDEX(_imp!$J$4:$J$1503,_imp!$C$1269))</f>
        <v/>
      </c>
    </row>
    <row r="1268">
      <c r="A1268" s="47">
        <f>IF(_imp!$C$1270="","",INDEX(_imp!$D$4:$D$1503,_imp!$C$1270))</f>
        <v/>
      </c>
      <c r="B1268" s="47">
        <f>IF(_imp!$C$1270="","",INDEX(_imp!$E$4:$E$1503,_imp!$C$1270))</f>
        <v/>
      </c>
      <c r="C1268" s="47">
        <f>IF(_imp!$C$1270="","",INDEX(_imp!$F$4:$F$1503,_imp!$C$1270))</f>
        <v/>
      </c>
      <c r="E1268" s="47">
        <f>IF(_imp!$C$1270="","",INDEX(_imp!$G$4:$G$1503,_imp!$C$1270))</f>
        <v/>
      </c>
      <c r="F1268" s="47">
        <f>IF(_imp!$C$1270="","",INDEX(_imp!$H$4:$H$1503,_imp!$C$1270))</f>
        <v/>
      </c>
      <c r="G1268" s="47">
        <f>IF(_imp!$C$1270="","",INDEX(_imp!$I$4:$I$1503,_imp!$C$1270))</f>
        <v/>
      </c>
      <c r="K1268" s="47">
        <f>IF(_imp!$C$1270="","",INDEX(_imp!$J$4:$J$1503,_imp!$C$1270))</f>
        <v/>
      </c>
    </row>
    <row r="1269">
      <c r="A1269" s="47">
        <f>IF(_imp!$C$1271="","",INDEX(_imp!$D$4:$D$1503,_imp!$C$1271))</f>
        <v/>
      </c>
      <c r="B1269" s="47">
        <f>IF(_imp!$C$1271="","",INDEX(_imp!$E$4:$E$1503,_imp!$C$1271))</f>
        <v/>
      </c>
      <c r="C1269" s="47">
        <f>IF(_imp!$C$1271="","",INDEX(_imp!$F$4:$F$1503,_imp!$C$1271))</f>
        <v/>
      </c>
      <c r="E1269" s="47">
        <f>IF(_imp!$C$1271="","",INDEX(_imp!$G$4:$G$1503,_imp!$C$1271))</f>
        <v/>
      </c>
      <c r="F1269" s="47">
        <f>IF(_imp!$C$1271="","",INDEX(_imp!$H$4:$H$1503,_imp!$C$1271))</f>
        <v/>
      </c>
      <c r="G1269" s="47">
        <f>IF(_imp!$C$1271="","",INDEX(_imp!$I$4:$I$1503,_imp!$C$1271))</f>
        <v/>
      </c>
      <c r="K1269" s="47">
        <f>IF(_imp!$C$1271="","",INDEX(_imp!$J$4:$J$1503,_imp!$C$1271))</f>
        <v/>
      </c>
    </row>
    <row r="1270">
      <c r="A1270" s="47">
        <f>IF(_imp!$C$1272="","",INDEX(_imp!$D$4:$D$1503,_imp!$C$1272))</f>
        <v/>
      </c>
      <c r="B1270" s="47">
        <f>IF(_imp!$C$1272="","",INDEX(_imp!$E$4:$E$1503,_imp!$C$1272))</f>
        <v/>
      </c>
      <c r="C1270" s="47">
        <f>IF(_imp!$C$1272="","",INDEX(_imp!$F$4:$F$1503,_imp!$C$1272))</f>
        <v/>
      </c>
      <c r="E1270" s="47">
        <f>IF(_imp!$C$1272="","",INDEX(_imp!$G$4:$G$1503,_imp!$C$1272))</f>
        <v/>
      </c>
      <c r="F1270" s="47">
        <f>IF(_imp!$C$1272="","",INDEX(_imp!$H$4:$H$1503,_imp!$C$1272))</f>
        <v/>
      </c>
      <c r="G1270" s="47">
        <f>IF(_imp!$C$1272="","",INDEX(_imp!$I$4:$I$1503,_imp!$C$1272))</f>
        <v/>
      </c>
      <c r="K1270" s="47">
        <f>IF(_imp!$C$1272="","",INDEX(_imp!$J$4:$J$1503,_imp!$C$1272))</f>
        <v/>
      </c>
    </row>
    <row r="1271">
      <c r="A1271" s="47">
        <f>IF(_imp!$C$1273="","",INDEX(_imp!$D$4:$D$1503,_imp!$C$1273))</f>
        <v/>
      </c>
      <c r="B1271" s="47">
        <f>IF(_imp!$C$1273="","",INDEX(_imp!$E$4:$E$1503,_imp!$C$1273))</f>
        <v/>
      </c>
      <c r="C1271" s="47">
        <f>IF(_imp!$C$1273="","",INDEX(_imp!$F$4:$F$1503,_imp!$C$1273))</f>
        <v/>
      </c>
      <c r="E1271" s="47">
        <f>IF(_imp!$C$1273="","",INDEX(_imp!$G$4:$G$1503,_imp!$C$1273))</f>
        <v/>
      </c>
      <c r="F1271" s="47">
        <f>IF(_imp!$C$1273="","",INDEX(_imp!$H$4:$H$1503,_imp!$C$1273))</f>
        <v/>
      </c>
      <c r="G1271" s="47">
        <f>IF(_imp!$C$1273="","",INDEX(_imp!$I$4:$I$1503,_imp!$C$1273))</f>
        <v/>
      </c>
      <c r="K1271" s="47">
        <f>IF(_imp!$C$1273="","",INDEX(_imp!$J$4:$J$1503,_imp!$C$1273))</f>
        <v/>
      </c>
    </row>
    <row r="1272">
      <c r="A1272" s="47">
        <f>IF(_imp!$C$1274="","",INDEX(_imp!$D$4:$D$1503,_imp!$C$1274))</f>
        <v/>
      </c>
      <c r="B1272" s="47">
        <f>IF(_imp!$C$1274="","",INDEX(_imp!$E$4:$E$1503,_imp!$C$1274))</f>
        <v/>
      </c>
      <c r="C1272" s="47">
        <f>IF(_imp!$C$1274="","",INDEX(_imp!$F$4:$F$1503,_imp!$C$1274))</f>
        <v/>
      </c>
      <c r="E1272" s="47">
        <f>IF(_imp!$C$1274="","",INDEX(_imp!$G$4:$G$1503,_imp!$C$1274))</f>
        <v/>
      </c>
      <c r="F1272" s="47">
        <f>IF(_imp!$C$1274="","",INDEX(_imp!$H$4:$H$1503,_imp!$C$1274))</f>
        <v/>
      </c>
      <c r="G1272" s="47">
        <f>IF(_imp!$C$1274="","",INDEX(_imp!$I$4:$I$1503,_imp!$C$1274))</f>
        <v/>
      </c>
      <c r="K1272" s="47">
        <f>IF(_imp!$C$1274="","",INDEX(_imp!$J$4:$J$1503,_imp!$C$1274))</f>
        <v/>
      </c>
    </row>
    <row r="1273">
      <c r="A1273" s="47">
        <f>IF(_imp!$C$1275="","",INDEX(_imp!$D$4:$D$1503,_imp!$C$1275))</f>
        <v/>
      </c>
      <c r="B1273" s="47">
        <f>IF(_imp!$C$1275="","",INDEX(_imp!$E$4:$E$1503,_imp!$C$1275))</f>
        <v/>
      </c>
      <c r="C1273" s="47">
        <f>IF(_imp!$C$1275="","",INDEX(_imp!$F$4:$F$1503,_imp!$C$1275))</f>
        <v/>
      </c>
      <c r="E1273" s="47">
        <f>IF(_imp!$C$1275="","",INDEX(_imp!$G$4:$G$1503,_imp!$C$1275))</f>
        <v/>
      </c>
      <c r="F1273" s="47">
        <f>IF(_imp!$C$1275="","",INDEX(_imp!$H$4:$H$1503,_imp!$C$1275))</f>
        <v/>
      </c>
      <c r="G1273" s="47">
        <f>IF(_imp!$C$1275="","",INDEX(_imp!$I$4:$I$1503,_imp!$C$1275))</f>
        <v/>
      </c>
      <c r="K1273" s="47">
        <f>IF(_imp!$C$1275="","",INDEX(_imp!$J$4:$J$1503,_imp!$C$1275))</f>
        <v/>
      </c>
    </row>
    <row r="1274">
      <c r="A1274" s="47">
        <f>IF(_imp!$C$1276="","",INDEX(_imp!$D$4:$D$1503,_imp!$C$1276))</f>
        <v/>
      </c>
      <c r="B1274" s="47">
        <f>IF(_imp!$C$1276="","",INDEX(_imp!$E$4:$E$1503,_imp!$C$1276))</f>
        <v/>
      </c>
      <c r="C1274" s="47">
        <f>IF(_imp!$C$1276="","",INDEX(_imp!$F$4:$F$1503,_imp!$C$1276))</f>
        <v/>
      </c>
      <c r="E1274" s="47">
        <f>IF(_imp!$C$1276="","",INDEX(_imp!$G$4:$G$1503,_imp!$C$1276))</f>
        <v/>
      </c>
      <c r="F1274" s="47">
        <f>IF(_imp!$C$1276="","",INDEX(_imp!$H$4:$H$1503,_imp!$C$1276))</f>
        <v/>
      </c>
      <c r="G1274" s="47">
        <f>IF(_imp!$C$1276="","",INDEX(_imp!$I$4:$I$1503,_imp!$C$1276))</f>
        <v/>
      </c>
      <c r="K1274" s="47">
        <f>IF(_imp!$C$1276="","",INDEX(_imp!$J$4:$J$1503,_imp!$C$1276))</f>
        <v/>
      </c>
    </row>
    <row r="1275">
      <c r="A1275" s="47">
        <f>IF(_imp!$C$1277="","",INDEX(_imp!$D$4:$D$1503,_imp!$C$1277))</f>
        <v/>
      </c>
      <c r="B1275" s="47">
        <f>IF(_imp!$C$1277="","",INDEX(_imp!$E$4:$E$1503,_imp!$C$1277))</f>
        <v/>
      </c>
      <c r="C1275" s="47">
        <f>IF(_imp!$C$1277="","",INDEX(_imp!$F$4:$F$1503,_imp!$C$1277))</f>
        <v/>
      </c>
      <c r="E1275" s="47">
        <f>IF(_imp!$C$1277="","",INDEX(_imp!$G$4:$G$1503,_imp!$C$1277))</f>
        <v/>
      </c>
      <c r="F1275" s="47">
        <f>IF(_imp!$C$1277="","",INDEX(_imp!$H$4:$H$1503,_imp!$C$1277))</f>
        <v/>
      </c>
      <c r="G1275" s="47">
        <f>IF(_imp!$C$1277="","",INDEX(_imp!$I$4:$I$1503,_imp!$C$1277))</f>
        <v/>
      </c>
      <c r="K1275" s="47">
        <f>IF(_imp!$C$1277="","",INDEX(_imp!$J$4:$J$1503,_imp!$C$1277))</f>
        <v/>
      </c>
    </row>
    <row r="1276">
      <c r="A1276" s="47">
        <f>IF(_imp!$C$1278="","",INDEX(_imp!$D$4:$D$1503,_imp!$C$1278))</f>
        <v/>
      </c>
      <c r="B1276" s="47">
        <f>IF(_imp!$C$1278="","",INDEX(_imp!$E$4:$E$1503,_imp!$C$1278))</f>
        <v/>
      </c>
      <c r="C1276" s="47">
        <f>IF(_imp!$C$1278="","",INDEX(_imp!$F$4:$F$1503,_imp!$C$1278))</f>
        <v/>
      </c>
      <c r="E1276" s="47">
        <f>IF(_imp!$C$1278="","",INDEX(_imp!$G$4:$G$1503,_imp!$C$1278))</f>
        <v/>
      </c>
      <c r="F1276" s="47">
        <f>IF(_imp!$C$1278="","",INDEX(_imp!$H$4:$H$1503,_imp!$C$1278))</f>
        <v/>
      </c>
      <c r="G1276" s="47">
        <f>IF(_imp!$C$1278="","",INDEX(_imp!$I$4:$I$1503,_imp!$C$1278))</f>
        <v/>
      </c>
      <c r="K1276" s="47">
        <f>IF(_imp!$C$1278="","",INDEX(_imp!$J$4:$J$1503,_imp!$C$1278))</f>
        <v/>
      </c>
    </row>
    <row r="1277">
      <c r="A1277" s="47">
        <f>IF(_imp!$C$1279="","",INDEX(_imp!$D$4:$D$1503,_imp!$C$1279))</f>
        <v/>
      </c>
      <c r="B1277" s="47">
        <f>IF(_imp!$C$1279="","",INDEX(_imp!$E$4:$E$1503,_imp!$C$1279))</f>
        <v/>
      </c>
      <c r="C1277" s="47">
        <f>IF(_imp!$C$1279="","",INDEX(_imp!$F$4:$F$1503,_imp!$C$1279))</f>
        <v/>
      </c>
      <c r="E1277" s="47">
        <f>IF(_imp!$C$1279="","",INDEX(_imp!$G$4:$G$1503,_imp!$C$1279))</f>
        <v/>
      </c>
      <c r="F1277" s="47">
        <f>IF(_imp!$C$1279="","",INDEX(_imp!$H$4:$H$1503,_imp!$C$1279))</f>
        <v/>
      </c>
      <c r="G1277" s="47">
        <f>IF(_imp!$C$1279="","",INDEX(_imp!$I$4:$I$1503,_imp!$C$1279))</f>
        <v/>
      </c>
      <c r="K1277" s="47">
        <f>IF(_imp!$C$1279="","",INDEX(_imp!$J$4:$J$1503,_imp!$C$1279))</f>
        <v/>
      </c>
    </row>
    <row r="1278">
      <c r="A1278" s="47">
        <f>IF(_imp!$C$1280="","",INDEX(_imp!$D$4:$D$1503,_imp!$C$1280))</f>
        <v/>
      </c>
      <c r="B1278" s="47">
        <f>IF(_imp!$C$1280="","",INDEX(_imp!$E$4:$E$1503,_imp!$C$1280))</f>
        <v/>
      </c>
      <c r="C1278" s="47">
        <f>IF(_imp!$C$1280="","",INDEX(_imp!$F$4:$F$1503,_imp!$C$1280))</f>
        <v/>
      </c>
      <c r="E1278" s="47">
        <f>IF(_imp!$C$1280="","",INDEX(_imp!$G$4:$G$1503,_imp!$C$1280))</f>
        <v/>
      </c>
      <c r="F1278" s="47">
        <f>IF(_imp!$C$1280="","",INDEX(_imp!$H$4:$H$1503,_imp!$C$1280))</f>
        <v/>
      </c>
      <c r="G1278" s="47">
        <f>IF(_imp!$C$1280="","",INDEX(_imp!$I$4:$I$1503,_imp!$C$1280))</f>
        <v/>
      </c>
      <c r="K1278" s="47">
        <f>IF(_imp!$C$1280="","",INDEX(_imp!$J$4:$J$1503,_imp!$C$1280))</f>
        <v/>
      </c>
    </row>
    <row r="1279">
      <c r="A1279" s="47">
        <f>IF(_imp!$C$1281="","",INDEX(_imp!$D$4:$D$1503,_imp!$C$1281))</f>
        <v/>
      </c>
      <c r="B1279" s="47">
        <f>IF(_imp!$C$1281="","",INDEX(_imp!$E$4:$E$1503,_imp!$C$1281))</f>
        <v/>
      </c>
      <c r="C1279" s="47">
        <f>IF(_imp!$C$1281="","",INDEX(_imp!$F$4:$F$1503,_imp!$C$1281))</f>
        <v/>
      </c>
      <c r="E1279" s="47">
        <f>IF(_imp!$C$1281="","",INDEX(_imp!$G$4:$G$1503,_imp!$C$1281))</f>
        <v/>
      </c>
      <c r="F1279" s="47">
        <f>IF(_imp!$C$1281="","",INDEX(_imp!$H$4:$H$1503,_imp!$C$1281))</f>
        <v/>
      </c>
      <c r="G1279" s="47">
        <f>IF(_imp!$C$1281="","",INDEX(_imp!$I$4:$I$1503,_imp!$C$1281))</f>
        <v/>
      </c>
      <c r="K1279" s="47">
        <f>IF(_imp!$C$1281="","",INDEX(_imp!$J$4:$J$1503,_imp!$C$1281))</f>
        <v/>
      </c>
    </row>
    <row r="1280">
      <c r="A1280" s="47">
        <f>IF(_imp!$C$1282="","",INDEX(_imp!$D$4:$D$1503,_imp!$C$1282))</f>
        <v/>
      </c>
      <c r="B1280" s="47">
        <f>IF(_imp!$C$1282="","",INDEX(_imp!$E$4:$E$1503,_imp!$C$1282))</f>
        <v/>
      </c>
      <c r="C1280" s="47">
        <f>IF(_imp!$C$1282="","",INDEX(_imp!$F$4:$F$1503,_imp!$C$1282))</f>
        <v/>
      </c>
      <c r="E1280" s="47">
        <f>IF(_imp!$C$1282="","",INDEX(_imp!$G$4:$G$1503,_imp!$C$1282))</f>
        <v/>
      </c>
      <c r="F1280" s="47">
        <f>IF(_imp!$C$1282="","",INDEX(_imp!$H$4:$H$1503,_imp!$C$1282))</f>
        <v/>
      </c>
      <c r="G1280" s="47">
        <f>IF(_imp!$C$1282="","",INDEX(_imp!$I$4:$I$1503,_imp!$C$1282))</f>
        <v/>
      </c>
      <c r="K1280" s="47">
        <f>IF(_imp!$C$1282="","",INDEX(_imp!$J$4:$J$1503,_imp!$C$1282))</f>
        <v/>
      </c>
    </row>
    <row r="1281">
      <c r="A1281" s="47">
        <f>IF(_imp!$C$1283="","",INDEX(_imp!$D$4:$D$1503,_imp!$C$1283))</f>
        <v/>
      </c>
      <c r="B1281" s="47">
        <f>IF(_imp!$C$1283="","",INDEX(_imp!$E$4:$E$1503,_imp!$C$1283))</f>
        <v/>
      </c>
      <c r="C1281" s="47">
        <f>IF(_imp!$C$1283="","",INDEX(_imp!$F$4:$F$1503,_imp!$C$1283))</f>
        <v/>
      </c>
      <c r="E1281" s="47">
        <f>IF(_imp!$C$1283="","",INDEX(_imp!$G$4:$G$1503,_imp!$C$1283))</f>
        <v/>
      </c>
      <c r="F1281" s="47">
        <f>IF(_imp!$C$1283="","",INDEX(_imp!$H$4:$H$1503,_imp!$C$1283))</f>
        <v/>
      </c>
      <c r="G1281" s="47">
        <f>IF(_imp!$C$1283="","",INDEX(_imp!$I$4:$I$1503,_imp!$C$1283))</f>
        <v/>
      </c>
      <c r="K1281" s="47">
        <f>IF(_imp!$C$1283="","",INDEX(_imp!$J$4:$J$1503,_imp!$C$1283))</f>
        <v/>
      </c>
    </row>
    <row r="1282">
      <c r="A1282" s="47">
        <f>IF(_imp!$C$1284="","",INDEX(_imp!$D$4:$D$1503,_imp!$C$1284))</f>
        <v/>
      </c>
      <c r="B1282" s="47">
        <f>IF(_imp!$C$1284="","",INDEX(_imp!$E$4:$E$1503,_imp!$C$1284))</f>
        <v/>
      </c>
      <c r="C1282" s="47">
        <f>IF(_imp!$C$1284="","",INDEX(_imp!$F$4:$F$1503,_imp!$C$1284))</f>
        <v/>
      </c>
      <c r="E1282" s="47">
        <f>IF(_imp!$C$1284="","",INDEX(_imp!$G$4:$G$1503,_imp!$C$1284))</f>
        <v/>
      </c>
      <c r="F1282" s="47">
        <f>IF(_imp!$C$1284="","",INDEX(_imp!$H$4:$H$1503,_imp!$C$1284))</f>
        <v/>
      </c>
      <c r="G1282" s="47">
        <f>IF(_imp!$C$1284="","",INDEX(_imp!$I$4:$I$1503,_imp!$C$1284))</f>
        <v/>
      </c>
      <c r="K1282" s="47">
        <f>IF(_imp!$C$1284="","",INDEX(_imp!$J$4:$J$1503,_imp!$C$1284))</f>
        <v/>
      </c>
    </row>
    <row r="1283">
      <c r="A1283" s="47">
        <f>IF(_imp!$C$1285="","",INDEX(_imp!$D$4:$D$1503,_imp!$C$1285))</f>
        <v/>
      </c>
      <c r="B1283" s="47">
        <f>IF(_imp!$C$1285="","",INDEX(_imp!$E$4:$E$1503,_imp!$C$1285))</f>
        <v/>
      </c>
      <c r="C1283" s="47">
        <f>IF(_imp!$C$1285="","",INDEX(_imp!$F$4:$F$1503,_imp!$C$1285))</f>
        <v/>
      </c>
      <c r="E1283" s="47">
        <f>IF(_imp!$C$1285="","",INDEX(_imp!$G$4:$G$1503,_imp!$C$1285))</f>
        <v/>
      </c>
      <c r="F1283" s="47">
        <f>IF(_imp!$C$1285="","",INDEX(_imp!$H$4:$H$1503,_imp!$C$1285))</f>
        <v/>
      </c>
      <c r="G1283" s="47">
        <f>IF(_imp!$C$1285="","",INDEX(_imp!$I$4:$I$1503,_imp!$C$1285))</f>
        <v/>
      </c>
      <c r="K1283" s="47">
        <f>IF(_imp!$C$1285="","",INDEX(_imp!$J$4:$J$1503,_imp!$C$1285))</f>
        <v/>
      </c>
    </row>
    <row r="1284">
      <c r="A1284" s="47">
        <f>IF(_imp!$C$1286="","",INDEX(_imp!$D$4:$D$1503,_imp!$C$1286))</f>
        <v/>
      </c>
      <c r="B1284" s="47">
        <f>IF(_imp!$C$1286="","",INDEX(_imp!$E$4:$E$1503,_imp!$C$1286))</f>
        <v/>
      </c>
      <c r="C1284" s="47">
        <f>IF(_imp!$C$1286="","",INDEX(_imp!$F$4:$F$1503,_imp!$C$1286))</f>
        <v/>
      </c>
      <c r="E1284" s="47">
        <f>IF(_imp!$C$1286="","",INDEX(_imp!$G$4:$G$1503,_imp!$C$1286))</f>
        <v/>
      </c>
      <c r="F1284" s="47">
        <f>IF(_imp!$C$1286="","",INDEX(_imp!$H$4:$H$1503,_imp!$C$1286))</f>
        <v/>
      </c>
      <c r="G1284" s="47">
        <f>IF(_imp!$C$1286="","",INDEX(_imp!$I$4:$I$1503,_imp!$C$1286))</f>
        <v/>
      </c>
      <c r="K1284" s="47">
        <f>IF(_imp!$C$1286="","",INDEX(_imp!$J$4:$J$1503,_imp!$C$1286))</f>
        <v/>
      </c>
    </row>
    <row r="1285">
      <c r="A1285" s="47">
        <f>IF(_imp!$C$1287="","",INDEX(_imp!$D$4:$D$1503,_imp!$C$1287))</f>
        <v/>
      </c>
      <c r="B1285" s="47">
        <f>IF(_imp!$C$1287="","",INDEX(_imp!$E$4:$E$1503,_imp!$C$1287))</f>
        <v/>
      </c>
      <c r="C1285" s="47">
        <f>IF(_imp!$C$1287="","",INDEX(_imp!$F$4:$F$1503,_imp!$C$1287))</f>
        <v/>
      </c>
      <c r="E1285" s="47">
        <f>IF(_imp!$C$1287="","",INDEX(_imp!$G$4:$G$1503,_imp!$C$1287))</f>
        <v/>
      </c>
      <c r="F1285" s="47">
        <f>IF(_imp!$C$1287="","",INDEX(_imp!$H$4:$H$1503,_imp!$C$1287))</f>
        <v/>
      </c>
      <c r="G1285" s="47">
        <f>IF(_imp!$C$1287="","",INDEX(_imp!$I$4:$I$1503,_imp!$C$1287))</f>
        <v/>
      </c>
      <c r="K1285" s="47">
        <f>IF(_imp!$C$1287="","",INDEX(_imp!$J$4:$J$1503,_imp!$C$1287))</f>
        <v/>
      </c>
    </row>
    <row r="1286">
      <c r="A1286" s="47">
        <f>IF(_imp!$C$1288="","",INDEX(_imp!$D$4:$D$1503,_imp!$C$1288))</f>
        <v/>
      </c>
      <c r="B1286" s="47">
        <f>IF(_imp!$C$1288="","",INDEX(_imp!$E$4:$E$1503,_imp!$C$1288))</f>
        <v/>
      </c>
      <c r="C1286" s="47">
        <f>IF(_imp!$C$1288="","",INDEX(_imp!$F$4:$F$1503,_imp!$C$1288))</f>
        <v/>
      </c>
      <c r="E1286" s="47">
        <f>IF(_imp!$C$1288="","",INDEX(_imp!$G$4:$G$1503,_imp!$C$1288))</f>
        <v/>
      </c>
      <c r="F1286" s="47">
        <f>IF(_imp!$C$1288="","",INDEX(_imp!$H$4:$H$1503,_imp!$C$1288))</f>
        <v/>
      </c>
      <c r="G1286" s="47">
        <f>IF(_imp!$C$1288="","",INDEX(_imp!$I$4:$I$1503,_imp!$C$1288))</f>
        <v/>
      </c>
      <c r="K1286" s="47">
        <f>IF(_imp!$C$1288="","",INDEX(_imp!$J$4:$J$1503,_imp!$C$1288))</f>
        <v/>
      </c>
    </row>
    <row r="1287">
      <c r="A1287" s="47">
        <f>IF(_imp!$C$1289="","",INDEX(_imp!$D$4:$D$1503,_imp!$C$1289))</f>
        <v/>
      </c>
      <c r="B1287" s="47">
        <f>IF(_imp!$C$1289="","",INDEX(_imp!$E$4:$E$1503,_imp!$C$1289))</f>
        <v/>
      </c>
      <c r="C1287" s="47">
        <f>IF(_imp!$C$1289="","",INDEX(_imp!$F$4:$F$1503,_imp!$C$1289))</f>
        <v/>
      </c>
      <c r="E1287" s="47">
        <f>IF(_imp!$C$1289="","",INDEX(_imp!$G$4:$G$1503,_imp!$C$1289))</f>
        <v/>
      </c>
      <c r="F1287" s="47">
        <f>IF(_imp!$C$1289="","",INDEX(_imp!$H$4:$H$1503,_imp!$C$1289))</f>
        <v/>
      </c>
      <c r="G1287" s="47">
        <f>IF(_imp!$C$1289="","",INDEX(_imp!$I$4:$I$1503,_imp!$C$1289))</f>
        <v/>
      </c>
      <c r="K1287" s="47">
        <f>IF(_imp!$C$1289="","",INDEX(_imp!$J$4:$J$1503,_imp!$C$1289))</f>
        <v/>
      </c>
    </row>
    <row r="1288">
      <c r="A1288" s="47">
        <f>IF(_imp!$C$1290="","",INDEX(_imp!$D$4:$D$1503,_imp!$C$1290))</f>
        <v/>
      </c>
      <c r="B1288" s="47">
        <f>IF(_imp!$C$1290="","",INDEX(_imp!$E$4:$E$1503,_imp!$C$1290))</f>
        <v/>
      </c>
      <c r="C1288" s="47">
        <f>IF(_imp!$C$1290="","",INDEX(_imp!$F$4:$F$1503,_imp!$C$1290))</f>
        <v/>
      </c>
      <c r="E1288" s="47">
        <f>IF(_imp!$C$1290="","",INDEX(_imp!$G$4:$G$1503,_imp!$C$1290))</f>
        <v/>
      </c>
      <c r="F1288" s="47">
        <f>IF(_imp!$C$1290="","",INDEX(_imp!$H$4:$H$1503,_imp!$C$1290))</f>
        <v/>
      </c>
      <c r="G1288" s="47">
        <f>IF(_imp!$C$1290="","",INDEX(_imp!$I$4:$I$1503,_imp!$C$1290))</f>
        <v/>
      </c>
      <c r="K1288" s="47">
        <f>IF(_imp!$C$1290="","",INDEX(_imp!$J$4:$J$1503,_imp!$C$1290))</f>
        <v/>
      </c>
    </row>
    <row r="1289">
      <c r="A1289" s="47">
        <f>IF(_imp!$C$1291="","",INDEX(_imp!$D$4:$D$1503,_imp!$C$1291))</f>
        <v/>
      </c>
      <c r="B1289" s="47">
        <f>IF(_imp!$C$1291="","",INDEX(_imp!$E$4:$E$1503,_imp!$C$1291))</f>
        <v/>
      </c>
      <c r="C1289" s="47">
        <f>IF(_imp!$C$1291="","",INDEX(_imp!$F$4:$F$1503,_imp!$C$1291))</f>
        <v/>
      </c>
      <c r="E1289" s="47">
        <f>IF(_imp!$C$1291="","",INDEX(_imp!$G$4:$G$1503,_imp!$C$1291))</f>
        <v/>
      </c>
      <c r="F1289" s="47">
        <f>IF(_imp!$C$1291="","",INDEX(_imp!$H$4:$H$1503,_imp!$C$1291))</f>
        <v/>
      </c>
      <c r="G1289" s="47">
        <f>IF(_imp!$C$1291="","",INDEX(_imp!$I$4:$I$1503,_imp!$C$1291))</f>
        <v/>
      </c>
      <c r="K1289" s="47">
        <f>IF(_imp!$C$1291="","",INDEX(_imp!$J$4:$J$1503,_imp!$C$1291))</f>
        <v/>
      </c>
    </row>
    <row r="1290">
      <c r="A1290" s="47">
        <f>IF(_imp!$C$1292="","",INDEX(_imp!$D$4:$D$1503,_imp!$C$1292))</f>
        <v/>
      </c>
      <c r="B1290" s="47">
        <f>IF(_imp!$C$1292="","",INDEX(_imp!$E$4:$E$1503,_imp!$C$1292))</f>
        <v/>
      </c>
      <c r="C1290" s="47">
        <f>IF(_imp!$C$1292="","",INDEX(_imp!$F$4:$F$1503,_imp!$C$1292))</f>
        <v/>
      </c>
      <c r="E1290" s="47">
        <f>IF(_imp!$C$1292="","",INDEX(_imp!$G$4:$G$1503,_imp!$C$1292))</f>
        <v/>
      </c>
      <c r="F1290" s="47">
        <f>IF(_imp!$C$1292="","",INDEX(_imp!$H$4:$H$1503,_imp!$C$1292))</f>
        <v/>
      </c>
      <c r="G1290" s="47">
        <f>IF(_imp!$C$1292="","",INDEX(_imp!$I$4:$I$1503,_imp!$C$1292))</f>
        <v/>
      </c>
      <c r="K1290" s="47">
        <f>IF(_imp!$C$1292="","",INDEX(_imp!$J$4:$J$1503,_imp!$C$1292))</f>
        <v/>
      </c>
    </row>
    <row r="1291">
      <c r="A1291" s="47">
        <f>IF(_imp!$C$1293="","",INDEX(_imp!$D$4:$D$1503,_imp!$C$1293))</f>
        <v/>
      </c>
      <c r="B1291" s="47">
        <f>IF(_imp!$C$1293="","",INDEX(_imp!$E$4:$E$1503,_imp!$C$1293))</f>
        <v/>
      </c>
      <c r="C1291" s="47">
        <f>IF(_imp!$C$1293="","",INDEX(_imp!$F$4:$F$1503,_imp!$C$1293))</f>
        <v/>
      </c>
      <c r="E1291" s="47">
        <f>IF(_imp!$C$1293="","",INDEX(_imp!$G$4:$G$1503,_imp!$C$1293))</f>
        <v/>
      </c>
      <c r="F1291" s="47">
        <f>IF(_imp!$C$1293="","",INDEX(_imp!$H$4:$H$1503,_imp!$C$1293))</f>
        <v/>
      </c>
      <c r="G1291" s="47">
        <f>IF(_imp!$C$1293="","",INDEX(_imp!$I$4:$I$1503,_imp!$C$1293))</f>
        <v/>
      </c>
      <c r="K1291" s="47">
        <f>IF(_imp!$C$1293="","",INDEX(_imp!$J$4:$J$1503,_imp!$C$1293))</f>
        <v/>
      </c>
    </row>
    <row r="1292">
      <c r="A1292" s="47">
        <f>IF(_imp!$C$1294="","",INDEX(_imp!$D$4:$D$1503,_imp!$C$1294))</f>
        <v/>
      </c>
      <c r="B1292" s="47">
        <f>IF(_imp!$C$1294="","",INDEX(_imp!$E$4:$E$1503,_imp!$C$1294))</f>
        <v/>
      </c>
      <c r="C1292" s="47">
        <f>IF(_imp!$C$1294="","",INDEX(_imp!$F$4:$F$1503,_imp!$C$1294))</f>
        <v/>
      </c>
      <c r="E1292" s="47">
        <f>IF(_imp!$C$1294="","",INDEX(_imp!$G$4:$G$1503,_imp!$C$1294))</f>
        <v/>
      </c>
      <c r="F1292" s="47">
        <f>IF(_imp!$C$1294="","",INDEX(_imp!$H$4:$H$1503,_imp!$C$1294))</f>
        <v/>
      </c>
      <c r="G1292" s="47">
        <f>IF(_imp!$C$1294="","",INDEX(_imp!$I$4:$I$1503,_imp!$C$1294))</f>
        <v/>
      </c>
      <c r="K1292" s="47">
        <f>IF(_imp!$C$1294="","",INDEX(_imp!$J$4:$J$1503,_imp!$C$1294))</f>
        <v/>
      </c>
    </row>
    <row r="1293">
      <c r="A1293" s="47">
        <f>IF(_imp!$C$1295="","",INDEX(_imp!$D$4:$D$1503,_imp!$C$1295))</f>
        <v/>
      </c>
      <c r="B1293" s="47">
        <f>IF(_imp!$C$1295="","",INDEX(_imp!$E$4:$E$1503,_imp!$C$1295))</f>
        <v/>
      </c>
      <c r="C1293" s="47">
        <f>IF(_imp!$C$1295="","",INDEX(_imp!$F$4:$F$1503,_imp!$C$1295))</f>
        <v/>
      </c>
      <c r="E1293" s="47">
        <f>IF(_imp!$C$1295="","",INDEX(_imp!$G$4:$G$1503,_imp!$C$1295))</f>
        <v/>
      </c>
      <c r="F1293" s="47">
        <f>IF(_imp!$C$1295="","",INDEX(_imp!$H$4:$H$1503,_imp!$C$1295))</f>
        <v/>
      </c>
      <c r="G1293" s="47">
        <f>IF(_imp!$C$1295="","",INDEX(_imp!$I$4:$I$1503,_imp!$C$1295))</f>
        <v/>
      </c>
      <c r="K1293" s="47">
        <f>IF(_imp!$C$1295="","",INDEX(_imp!$J$4:$J$1503,_imp!$C$1295))</f>
        <v/>
      </c>
    </row>
    <row r="1294">
      <c r="A1294" s="47">
        <f>IF(_imp!$C$1296="","",INDEX(_imp!$D$4:$D$1503,_imp!$C$1296))</f>
        <v/>
      </c>
      <c r="B1294" s="47">
        <f>IF(_imp!$C$1296="","",INDEX(_imp!$E$4:$E$1503,_imp!$C$1296))</f>
        <v/>
      </c>
      <c r="C1294" s="47">
        <f>IF(_imp!$C$1296="","",INDEX(_imp!$F$4:$F$1503,_imp!$C$1296))</f>
        <v/>
      </c>
      <c r="E1294" s="47">
        <f>IF(_imp!$C$1296="","",INDEX(_imp!$G$4:$G$1503,_imp!$C$1296))</f>
        <v/>
      </c>
      <c r="F1294" s="47">
        <f>IF(_imp!$C$1296="","",INDEX(_imp!$H$4:$H$1503,_imp!$C$1296))</f>
        <v/>
      </c>
      <c r="G1294" s="47">
        <f>IF(_imp!$C$1296="","",INDEX(_imp!$I$4:$I$1503,_imp!$C$1296))</f>
        <v/>
      </c>
      <c r="K1294" s="47">
        <f>IF(_imp!$C$1296="","",INDEX(_imp!$J$4:$J$1503,_imp!$C$1296))</f>
        <v/>
      </c>
    </row>
    <row r="1295">
      <c r="A1295" s="47">
        <f>IF(_imp!$C$1297="","",INDEX(_imp!$D$4:$D$1503,_imp!$C$1297))</f>
        <v/>
      </c>
      <c r="B1295" s="47">
        <f>IF(_imp!$C$1297="","",INDEX(_imp!$E$4:$E$1503,_imp!$C$1297))</f>
        <v/>
      </c>
      <c r="C1295" s="47">
        <f>IF(_imp!$C$1297="","",INDEX(_imp!$F$4:$F$1503,_imp!$C$1297))</f>
        <v/>
      </c>
      <c r="E1295" s="47">
        <f>IF(_imp!$C$1297="","",INDEX(_imp!$G$4:$G$1503,_imp!$C$1297))</f>
        <v/>
      </c>
      <c r="F1295" s="47">
        <f>IF(_imp!$C$1297="","",INDEX(_imp!$H$4:$H$1503,_imp!$C$1297))</f>
        <v/>
      </c>
      <c r="G1295" s="47">
        <f>IF(_imp!$C$1297="","",INDEX(_imp!$I$4:$I$1503,_imp!$C$1297))</f>
        <v/>
      </c>
      <c r="K1295" s="47">
        <f>IF(_imp!$C$1297="","",INDEX(_imp!$J$4:$J$1503,_imp!$C$1297))</f>
        <v/>
      </c>
    </row>
    <row r="1296">
      <c r="A1296" s="47">
        <f>IF(_imp!$C$1298="","",INDEX(_imp!$D$4:$D$1503,_imp!$C$1298))</f>
        <v/>
      </c>
      <c r="B1296" s="47">
        <f>IF(_imp!$C$1298="","",INDEX(_imp!$E$4:$E$1503,_imp!$C$1298))</f>
        <v/>
      </c>
      <c r="C1296" s="47">
        <f>IF(_imp!$C$1298="","",INDEX(_imp!$F$4:$F$1503,_imp!$C$1298))</f>
        <v/>
      </c>
      <c r="E1296" s="47">
        <f>IF(_imp!$C$1298="","",INDEX(_imp!$G$4:$G$1503,_imp!$C$1298))</f>
        <v/>
      </c>
      <c r="F1296" s="47">
        <f>IF(_imp!$C$1298="","",INDEX(_imp!$H$4:$H$1503,_imp!$C$1298))</f>
        <v/>
      </c>
      <c r="G1296" s="47">
        <f>IF(_imp!$C$1298="","",INDEX(_imp!$I$4:$I$1503,_imp!$C$1298))</f>
        <v/>
      </c>
      <c r="K1296" s="47">
        <f>IF(_imp!$C$1298="","",INDEX(_imp!$J$4:$J$1503,_imp!$C$1298))</f>
        <v/>
      </c>
    </row>
    <row r="1297">
      <c r="A1297" s="47">
        <f>IF(_imp!$C$1299="","",INDEX(_imp!$D$4:$D$1503,_imp!$C$1299))</f>
        <v/>
      </c>
      <c r="B1297" s="47">
        <f>IF(_imp!$C$1299="","",INDEX(_imp!$E$4:$E$1503,_imp!$C$1299))</f>
        <v/>
      </c>
      <c r="C1297" s="47">
        <f>IF(_imp!$C$1299="","",INDEX(_imp!$F$4:$F$1503,_imp!$C$1299))</f>
        <v/>
      </c>
      <c r="E1297" s="47">
        <f>IF(_imp!$C$1299="","",INDEX(_imp!$G$4:$G$1503,_imp!$C$1299))</f>
        <v/>
      </c>
      <c r="F1297" s="47">
        <f>IF(_imp!$C$1299="","",INDEX(_imp!$H$4:$H$1503,_imp!$C$1299))</f>
        <v/>
      </c>
      <c r="G1297" s="47">
        <f>IF(_imp!$C$1299="","",INDEX(_imp!$I$4:$I$1503,_imp!$C$1299))</f>
        <v/>
      </c>
      <c r="K1297" s="47">
        <f>IF(_imp!$C$1299="","",INDEX(_imp!$J$4:$J$1503,_imp!$C$1299))</f>
        <v/>
      </c>
    </row>
    <row r="1298">
      <c r="A1298" s="47">
        <f>IF(_imp!$C$1300="","",INDEX(_imp!$D$4:$D$1503,_imp!$C$1300))</f>
        <v/>
      </c>
      <c r="B1298" s="47">
        <f>IF(_imp!$C$1300="","",INDEX(_imp!$E$4:$E$1503,_imp!$C$1300))</f>
        <v/>
      </c>
      <c r="C1298" s="47">
        <f>IF(_imp!$C$1300="","",INDEX(_imp!$F$4:$F$1503,_imp!$C$1300))</f>
        <v/>
      </c>
      <c r="E1298" s="47">
        <f>IF(_imp!$C$1300="","",INDEX(_imp!$G$4:$G$1503,_imp!$C$1300))</f>
        <v/>
      </c>
      <c r="F1298" s="47">
        <f>IF(_imp!$C$1300="","",INDEX(_imp!$H$4:$H$1503,_imp!$C$1300))</f>
        <v/>
      </c>
      <c r="G1298" s="47">
        <f>IF(_imp!$C$1300="","",INDEX(_imp!$I$4:$I$1503,_imp!$C$1300))</f>
        <v/>
      </c>
      <c r="K1298" s="47">
        <f>IF(_imp!$C$1300="","",INDEX(_imp!$J$4:$J$1503,_imp!$C$1300))</f>
        <v/>
      </c>
    </row>
    <row r="1299">
      <c r="A1299" s="47">
        <f>IF(_imp!$C$1301="","",INDEX(_imp!$D$4:$D$1503,_imp!$C$1301))</f>
        <v/>
      </c>
      <c r="B1299" s="47">
        <f>IF(_imp!$C$1301="","",INDEX(_imp!$E$4:$E$1503,_imp!$C$1301))</f>
        <v/>
      </c>
      <c r="C1299" s="47">
        <f>IF(_imp!$C$1301="","",INDEX(_imp!$F$4:$F$1503,_imp!$C$1301))</f>
        <v/>
      </c>
      <c r="E1299" s="47">
        <f>IF(_imp!$C$1301="","",INDEX(_imp!$G$4:$G$1503,_imp!$C$1301))</f>
        <v/>
      </c>
      <c r="F1299" s="47">
        <f>IF(_imp!$C$1301="","",INDEX(_imp!$H$4:$H$1503,_imp!$C$1301))</f>
        <v/>
      </c>
      <c r="G1299" s="47">
        <f>IF(_imp!$C$1301="","",INDEX(_imp!$I$4:$I$1503,_imp!$C$1301))</f>
        <v/>
      </c>
      <c r="K1299" s="47">
        <f>IF(_imp!$C$1301="","",INDEX(_imp!$J$4:$J$1503,_imp!$C$1301))</f>
        <v/>
      </c>
    </row>
    <row r="1300">
      <c r="A1300" s="47">
        <f>IF(_imp!$C$1302="","",INDEX(_imp!$D$4:$D$1503,_imp!$C$1302))</f>
        <v/>
      </c>
      <c r="B1300" s="47">
        <f>IF(_imp!$C$1302="","",INDEX(_imp!$E$4:$E$1503,_imp!$C$1302))</f>
        <v/>
      </c>
      <c r="C1300" s="47">
        <f>IF(_imp!$C$1302="","",INDEX(_imp!$F$4:$F$1503,_imp!$C$1302))</f>
        <v/>
      </c>
      <c r="E1300" s="47">
        <f>IF(_imp!$C$1302="","",INDEX(_imp!$G$4:$G$1503,_imp!$C$1302))</f>
        <v/>
      </c>
      <c r="F1300" s="47">
        <f>IF(_imp!$C$1302="","",INDEX(_imp!$H$4:$H$1503,_imp!$C$1302))</f>
        <v/>
      </c>
      <c r="G1300" s="47">
        <f>IF(_imp!$C$1302="","",INDEX(_imp!$I$4:$I$1503,_imp!$C$1302))</f>
        <v/>
      </c>
      <c r="K1300" s="47">
        <f>IF(_imp!$C$1302="","",INDEX(_imp!$J$4:$J$1503,_imp!$C$1302))</f>
        <v/>
      </c>
    </row>
    <row r="1301">
      <c r="A1301" s="47">
        <f>IF(_imp!$C$1303="","",INDEX(_imp!$D$4:$D$1503,_imp!$C$1303))</f>
        <v/>
      </c>
      <c r="B1301" s="47">
        <f>IF(_imp!$C$1303="","",INDEX(_imp!$E$4:$E$1503,_imp!$C$1303))</f>
        <v/>
      </c>
      <c r="C1301" s="47">
        <f>IF(_imp!$C$1303="","",INDEX(_imp!$F$4:$F$1503,_imp!$C$1303))</f>
        <v/>
      </c>
      <c r="E1301" s="47">
        <f>IF(_imp!$C$1303="","",INDEX(_imp!$G$4:$G$1503,_imp!$C$1303))</f>
        <v/>
      </c>
      <c r="F1301" s="47">
        <f>IF(_imp!$C$1303="","",INDEX(_imp!$H$4:$H$1503,_imp!$C$1303))</f>
        <v/>
      </c>
      <c r="G1301" s="47">
        <f>IF(_imp!$C$1303="","",INDEX(_imp!$I$4:$I$1503,_imp!$C$1303))</f>
        <v/>
      </c>
      <c r="K1301" s="47">
        <f>IF(_imp!$C$1303="","",INDEX(_imp!$J$4:$J$1503,_imp!$C$1303))</f>
        <v/>
      </c>
    </row>
    <row r="1302">
      <c r="A1302" s="47">
        <f>IF(_imp!$C$1304="","",INDEX(_imp!$D$4:$D$1503,_imp!$C$1304))</f>
        <v/>
      </c>
      <c r="B1302" s="47">
        <f>IF(_imp!$C$1304="","",INDEX(_imp!$E$4:$E$1503,_imp!$C$1304))</f>
        <v/>
      </c>
      <c r="C1302" s="47">
        <f>IF(_imp!$C$1304="","",INDEX(_imp!$F$4:$F$1503,_imp!$C$1304))</f>
        <v/>
      </c>
      <c r="E1302" s="47">
        <f>IF(_imp!$C$1304="","",INDEX(_imp!$G$4:$G$1503,_imp!$C$1304))</f>
        <v/>
      </c>
      <c r="F1302" s="47">
        <f>IF(_imp!$C$1304="","",INDEX(_imp!$H$4:$H$1503,_imp!$C$1304))</f>
        <v/>
      </c>
      <c r="G1302" s="47">
        <f>IF(_imp!$C$1304="","",INDEX(_imp!$I$4:$I$1503,_imp!$C$1304))</f>
        <v/>
      </c>
      <c r="K1302" s="47">
        <f>IF(_imp!$C$1304="","",INDEX(_imp!$J$4:$J$1503,_imp!$C$1304))</f>
        <v/>
      </c>
    </row>
    <row r="1303">
      <c r="A1303" s="47">
        <f>IF(_imp!$C$1305="","",INDEX(_imp!$D$4:$D$1503,_imp!$C$1305))</f>
        <v/>
      </c>
      <c r="B1303" s="47">
        <f>IF(_imp!$C$1305="","",INDEX(_imp!$E$4:$E$1503,_imp!$C$1305))</f>
        <v/>
      </c>
      <c r="C1303" s="47">
        <f>IF(_imp!$C$1305="","",INDEX(_imp!$F$4:$F$1503,_imp!$C$1305))</f>
        <v/>
      </c>
      <c r="E1303" s="47">
        <f>IF(_imp!$C$1305="","",INDEX(_imp!$G$4:$G$1503,_imp!$C$1305))</f>
        <v/>
      </c>
      <c r="F1303" s="47">
        <f>IF(_imp!$C$1305="","",INDEX(_imp!$H$4:$H$1503,_imp!$C$1305))</f>
        <v/>
      </c>
      <c r="G1303" s="47">
        <f>IF(_imp!$C$1305="","",INDEX(_imp!$I$4:$I$1503,_imp!$C$1305))</f>
        <v/>
      </c>
      <c r="K1303" s="47">
        <f>IF(_imp!$C$1305="","",INDEX(_imp!$J$4:$J$1503,_imp!$C$1305))</f>
        <v/>
      </c>
    </row>
    <row r="1304">
      <c r="A1304" s="47">
        <f>IF(_imp!$C$1306="","",INDEX(_imp!$D$4:$D$1503,_imp!$C$1306))</f>
        <v/>
      </c>
      <c r="B1304" s="47">
        <f>IF(_imp!$C$1306="","",INDEX(_imp!$E$4:$E$1503,_imp!$C$1306))</f>
        <v/>
      </c>
      <c r="C1304" s="47">
        <f>IF(_imp!$C$1306="","",INDEX(_imp!$F$4:$F$1503,_imp!$C$1306))</f>
        <v/>
      </c>
      <c r="E1304" s="47">
        <f>IF(_imp!$C$1306="","",INDEX(_imp!$G$4:$G$1503,_imp!$C$1306))</f>
        <v/>
      </c>
      <c r="F1304" s="47">
        <f>IF(_imp!$C$1306="","",INDEX(_imp!$H$4:$H$1503,_imp!$C$1306))</f>
        <v/>
      </c>
      <c r="G1304" s="47">
        <f>IF(_imp!$C$1306="","",INDEX(_imp!$I$4:$I$1503,_imp!$C$1306))</f>
        <v/>
      </c>
      <c r="K1304" s="47">
        <f>IF(_imp!$C$1306="","",INDEX(_imp!$J$4:$J$1503,_imp!$C$1306))</f>
        <v/>
      </c>
    </row>
    <row r="1305">
      <c r="A1305" s="47">
        <f>IF(_imp!$C$1307="","",INDEX(_imp!$D$4:$D$1503,_imp!$C$1307))</f>
        <v/>
      </c>
      <c r="B1305" s="47">
        <f>IF(_imp!$C$1307="","",INDEX(_imp!$E$4:$E$1503,_imp!$C$1307))</f>
        <v/>
      </c>
      <c r="C1305" s="47">
        <f>IF(_imp!$C$1307="","",INDEX(_imp!$F$4:$F$1503,_imp!$C$1307))</f>
        <v/>
      </c>
      <c r="E1305" s="47">
        <f>IF(_imp!$C$1307="","",INDEX(_imp!$G$4:$G$1503,_imp!$C$1307))</f>
        <v/>
      </c>
      <c r="F1305" s="47">
        <f>IF(_imp!$C$1307="","",INDEX(_imp!$H$4:$H$1503,_imp!$C$1307))</f>
        <v/>
      </c>
      <c r="G1305" s="47">
        <f>IF(_imp!$C$1307="","",INDEX(_imp!$I$4:$I$1503,_imp!$C$1307))</f>
        <v/>
      </c>
      <c r="K1305" s="47">
        <f>IF(_imp!$C$1307="","",INDEX(_imp!$J$4:$J$1503,_imp!$C$1307))</f>
        <v/>
      </c>
    </row>
    <row r="1306">
      <c r="A1306" s="47">
        <f>IF(_imp!$C$1308="","",INDEX(_imp!$D$4:$D$1503,_imp!$C$1308))</f>
        <v/>
      </c>
      <c r="B1306" s="47">
        <f>IF(_imp!$C$1308="","",INDEX(_imp!$E$4:$E$1503,_imp!$C$1308))</f>
        <v/>
      </c>
      <c r="C1306" s="47">
        <f>IF(_imp!$C$1308="","",INDEX(_imp!$F$4:$F$1503,_imp!$C$1308))</f>
        <v/>
      </c>
      <c r="E1306" s="47">
        <f>IF(_imp!$C$1308="","",INDEX(_imp!$G$4:$G$1503,_imp!$C$1308))</f>
        <v/>
      </c>
      <c r="F1306" s="47">
        <f>IF(_imp!$C$1308="","",INDEX(_imp!$H$4:$H$1503,_imp!$C$1308))</f>
        <v/>
      </c>
      <c r="G1306" s="47">
        <f>IF(_imp!$C$1308="","",INDEX(_imp!$I$4:$I$1503,_imp!$C$1308))</f>
        <v/>
      </c>
      <c r="K1306" s="47">
        <f>IF(_imp!$C$1308="","",INDEX(_imp!$J$4:$J$1503,_imp!$C$1308))</f>
        <v/>
      </c>
    </row>
    <row r="1307">
      <c r="A1307" s="47">
        <f>IF(_imp!$C$1309="","",INDEX(_imp!$D$4:$D$1503,_imp!$C$1309))</f>
        <v/>
      </c>
      <c r="B1307" s="47">
        <f>IF(_imp!$C$1309="","",INDEX(_imp!$E$4:$E$1503,_imp!$C$1309))</f>
        <v/>
      </c>
      <c r="C1307" s="47">
        <f>IF(_imp!$C$1309="","",INDEX(_imp!$F$4:$F$1503,_imp!$C$1309))</f>
        <v/>
      </c>
      <c r="E1307" s="47">
        <f>IF(_imp!$C$1309="","",INDEX(_imp!$G$4:$G$1503,_imp!$C$1309))</f>
        <v/>
      </c>
      <c r="F1307" s="47">
        <f>IF(_imp!$C$1309="","",INDEX(_imp!$H$4:$H$1503,_imp!$C$1309))</f>
        <v/>
      </c>
      <c r="G1307" s="47">
        <f>IF(_imp!$C$1309="","",INDEX(_imp!$I$4:$I$1503,_imp!$C$1309))</f>
        <v/>
      </c>
      <c r="K1307" s="47">
        <f>IF(_imp!$C$1309="","",INDEX(_imp!$J$4:$J$1503,_imp!$C$1309))</f>
        <v/>
      </c>
    </row>
    <row r="1308">
      <c r="A1308" s="47">
        <f>IF(_imp!$C$1310="","",INDEX(_imp!$D$4:$D$1503,_imp!$C$1310))</f>
        <v/>
      </c>
      <c r="B1308" s="47">
        <f>IF(_imp!$C$1310="","",INDEX(_imp!$E$4:$E$1503,_imp!$C$1310))</f>
        <v/>
      </c>
      <c r="C1308" s="47">
        <f>IF(_imp!$C$1310="","",INDEX(_imp!$F$4:$F$1503,_imp!$C$1310))</f>
        <v/>
      </c>
      <c r="E1308" s="47">
        <f>IF(_imp!$C$1310="","",INDEX(_imp!$G$4:$G$1503,_imp!$C$1310))</f>
        <v/>
      </c>
      <c r="F1308" s="47">
        <f>IF(_imp!$C$1310="","",INDEX(_imp!$H$4:$H$1503,_imp!$C$1310))</f>
        <v/>
      </c>
      <c r="G1308" s="47">
        <f>IF(_imp!$C$1310="","",INDEX(_imp!$I$4:$I$1503,_imp!$C$1310))</f>
        <v/>
      </c>
      <c r="K1308" s="47">
        <f>IF(_imp!$C$1310="","",INDEX(_imp!$J$4:$J$1503,_imp!$C$1310))</f>
        <v/>
      </c>
    </row>
    <row r="1309">
      <c r="A1309" s="47">
        <f>IF(_imp!$C$1311="","",INDEX(_imp!$D$4:$D$1503,_imp!$C$1311))</f>
        <v/>
      </c>
      <c r="B1309" s="47">
        <f>IF(_imp!$C$1311="","",INDEX(_imp!$E$4:$E$1503,_imp!$C$1311))</f>
        <v/>
      </c>
      <c r="C1309" s="47">
        <f>IF(_imp!$C$1311="","",INDEX(_imp!$F$4:$F$1503,_imp!$C$1311))</f>
        <v/>
      </c>
      <c r="E1309" s="47">
        <f>IF(_imp!$C$1311="","",INDEX(_imp!$G$4:$G$1503,_imp!$C$1311))</f>
        <v/>
      </c>
      <c r="F1309" s="47">
        <f>IF(_imp!$C$1311="","",INDEX(_imp!$H$4:$H$1503,_imp!$C$1311))</f>
        <v/>
      </c>
      <c r="G1309" s="47">
        <f>IF(_imp!$C$1311="","",INDEX(_imp!$I$4:$I$1503,_imp!$C$1311))</f>
        <v/>
      </c>
      <c r="K1309" s="47">
        <f>IF(_imp!$C$1311="","",INDEX(_imp!$J$4:$J$1503,_imp!$C$1311))</f>
        <v/>
      </c>
    </row>
    <row r="1310">
      <c r="A1310" s="47">
        <f>IF(_imp!$C$1312="","",INDEX(_imp!$D$4:$D$1503,_imp!$C$1312))</f>
        <v/>
      </c>
      <c r="B1310" s="47">
        <f>IF(_imp!$C$1312="","",INDEX(_imp!$E$4:$E$1503,_imp!$C$1312))</f>
        <v/>
      </c>
      <c r="C1310" s="47">
        <f>IF(_imp!$C$1312="","",INDEX(_imp!$F$4:$F$1503,_imp!$C$1312))</f>
        <v/>
      </c>
      <c r="E1310" s="47">
        <f>IF(_imp!$C$1312="","",INDEX(_imp!$G$4:$G$1503,_imp!$C$1312))</f>
        <v/>
      </c>
      <c r="F1310" s="47">
        <f>IF(_imp!$C$1312="","",INDEX(_imp!$H$4:$H$1503,_imp!$C$1312))</f>
        <v/>
      </c>
      <c r="G1310" s="47">
        <f>IF(_imp!$C$1312="","",INDEX(_imp!$I$4:$I$1503,_imp!$C$1312))</f>
        <v/>
      </c>
      <c r="K1310" s="47">
        <f>IF(_imp!$C$1312="","",INDEX(_imp!$J$4:$J$1503,_imp!$C$1312))</f>
        <v/>
      </c>
    </row>
    <row r="1311">
      <c r="A1311" s="47">
        <f>IF(_imp!$C$1313="","",INDEX(_imp!$D$4:$D$1503,_imp!$C$1313))</f>
        <v/>
      </c>
      <c r="B1311" s="47">
        <f>IF(_imp!$C$1313="","",INDEX(_imp!$E$4:$E$1503,_imp!$C$1313))</f>
        <v/>
      </c>
      <c r="C1311" s="47">
        <f>IF(_imp!$C$1313="","",INDEX(_imp!$F$4:$F$1503,_imp!$C$1313))</f>
        <v/>
      </c>
      <c r="E1311" s="47">
        <f>IF(_imp!$C$1313="","",INDEX(_imp!$G$4:$G$1503,_imp!$C$1313))</f>
        <v/>
      </c>
      <c r="F1311" s="47">
        <f>IF(_imp!$C$1313="","",INDEX(_imp!$H$4:$H$1503,_imp!$C$1313))</f>
        <v/>
      </c>
      <c r="G1311" s="47">
        <f>IF(_imp!$C$1313="","",INDEX(_imp!$I$4:$I$1503,_imp!$C$1313))</f>
        <v/>
      </c>
      <c r="K1311" s="47">
        <f>IF(_imp!$C$1313="","",INDEX(_imp!$J$4:$J$1503,_imp!$C$1313))</f>
        <v/>
      </c>
    </row>
    <row r="1312">
      <c r="A1312" s="47">
        <f>IF(_imp!$C$1314="","",INDEX(_imp!$D$4:$D$1503,_imp!$C$1314))</f>
        <v/>
      </c>
      <c r="B1312" s="47">
        <f>IF(_imp!$C$1314="","",INDEX(_imp!$E$4:$E$1503,_imp!$C$1314))</f>
        <v/>
      </c>
      <c r="C1312" s="47">
        <f>IF(_imp!$C$1314="","",INDEX(_imp!$F$4:$F$1503,_imp!$C$1314))</f>
        <v/>
      </c>
      <c r="E1312" s="47">
        <f>IF(_imp!$C$1314="","",INDEX(_imp!$G$4:$G$1503,_imp!$C$1314))</f>
        <v/>
      </c>
      <c r="F1312" s="47">
        <f>IF(_imp!$C$1314="","",INDEX(_imp!$H$4:$H$1503,_imp!$C$1314))</f>
        <v/>
      </c>
      <c r="G1312" s="47">
        <f>IF(_imp!$C$1314="","",INDEX(_imp!$I$4:$I$1503,_imp!$C$1314))</f>
        <v/>
      </c>
      <c r="K1312" s="47">
        <f>IF(_imp!$C$1314="","",INDEX(_imp!$J$4:$J$1503,_imp!$C$1314))</f>
        <v/>
      </c>
    </row>
    <row r="1313">
      <c r="A1313" s="47">
        <f>IF(_imp!$C$1315="","",INDEX(_imp!$D$4:$D$1503,_imp!$C$1315))</f>
        <v/>
      </c>
      <c r="B1313" s="47">
        <f>IF(_imp!$C$1315="","",INDEX(_imp!$E$4:$E$1503,_imp!$C$1315))</f>
        <v/>
      </c>
      <c r="C1313" s="47">
        <f>IF(_imp!$C$1315="","",INDEX(_imp!$F$4:$F$1503,_imp!$C$1315))</f>
        <v/>
      </c>
      <c r="E1313" s="47">
        <f>IF(_imp!$C$1315="","",INDEX(_imp!$G$4:$G$1503,_imp!$C$1315))</f>
        <v/>
      </c>
      <c r="F1313" s="47">
        <f>IF(_imp!$C$1315="","",INDEX(_imp!$H$4:$H$1503,_imp!$C$1315))</f>
        <v/>
      </c>
      <c r="G1313" s="47">
        <f>IF(_imp!$C$1315="","",INDEX(_imp!$I$4:$I$1503,_imp!$C$1315))</f>
        <v/>
      </c>
      <c r="K1313" s="47">
        <f>IF(_imp!$C$1315="","",INDEX(_imp!$J$4:$J$1503,_imp!$C$1315))</f>
        <v/>
      </c>
    </row>
    <row r="1314">
      <c r="A1314" s="47">
        <f>IF(_imp!$C$1316="","",INDEX(_imp!$D$4:$D$1503,_imp!$C$1316))</f>
        <v/>
      </c>
      <c r="B1314" s="47">
        <f>IF(_imp!$C$1316="","",INDEX(_imp!$E$4:$E$1503,_imp!$C$1316))</f>
        <v/>
      </c>
      <c r="C1314" s="47">
        <f>IF(_imp!$C$1316="","",INDEX(_imp!$F$4:$F$1503,_imp!$C$1316))</f>
        <v/>
      </c>
      <c r="E1314" s="47">
        <f>IF(_imp!$C$1316="","",INDEX(_imp!$G$4:$G$1503,_imp!$C$1316))</f>
        <v/>
      </c>
      <c r="F1314" s="47">
        <f>IF(_imp!$C$1316="","",INDEX(_imp!$H$4:$H$1503,_imp!$C$1316))</f>
        <v/>
      </c>
      <c r="G1314" s="47">
        <f>IF(_imp!$C$1316="","",INDEX(_imp!$I$4:$I$1503,_imp!$C$1316))</f>
        <v/>
      </c>
      <c r="K1314" s="47">
        <f>IF(_imp!$C$1316="","",INDEX(_imp!$J$4:$J$1503,_imp!$C$1316))</f>
        <v/>
      </c>
    </row>
    <row r="1315">
      <c r="A1315" s="47">
        <f>IF(_imp!$C$1317="","",INDEX(_imp!$D$4:$D$1503,_imp!$C$1317))</f>
        <v/>
      </c>
      <c r="B1315" s="47">
        <f>IF(_imp!$C$1317="","",INDEX(_imp!$E$4:$E$1503,_imp!$C$1317))</f>
        <v/>
      </c>
      <c r="C1315" s="47">
        <f>IF(_imp!$C$1317="","",INDEX(_imp!$F$4:$F$1503,_imp!$C$1317))</f>
        <v/>
      </c>
      <c r="E1315" s="47">
        <f>IF(_imp!$C$1317="","",INDEX(_imp!$G$4:$G$1503,_imp!$C$1317))</f>
        <v/>
      </c>
      <c r="F1315" s="47">
        <f>IF(_imp!$C$1317="","",INDEX(_imp!$H$4:$H$1503,_imp!$C$1317))</f>
        <v/>
      </c>
      <c r="G1315" s="47">
        <f>IF(_imp!$C$1317="","",INDEX(_imp!$I$4:$I$1503,_imp!$C$1317))</f>
        <v/>
      </c>
      <c r="K1315" s="47">
        <f>IF(_imp!$C$1317="","",INDEX(_imp!$J$4:$J$1503,_imp!$C$1317))</f>
        <v/>
      </c>
    </row>
    <row r="1316">
      <c r="A1316" s="47">
        <f>IF(_imp!$C$1318="","",INDEX(_imp!$D$4:$D$1503,_imp!$C$1318))</f>
        <v/>
      </c>
      <c r="B1316" s="47">
        <f>IF(_imp!$C$1318="","",INDEX(_imp!$E$4:$E$1503,_imp!$C$1318))</f>
        <v/>
      </c>
      <c r="C1316" s="47">
        <f>IF(_imp!$C$1318="","",INDEX(_imp!$F$4:$F$1503,_imp!$C$1318))</f>
        <v/>
      </c>
      <c r="E1316" s="47">
        <f>IF(_imp!$C$1318="","",INDEX(_imp!$G$4:$G$1503,_imp!$C$1318))</f>
        <v/>
      </c>
      <c r="F1316" s="47">
        <f>IF(_imp!$C$1318="","",INDEX(_imp!$H$4:$H$1503,_imp!$C$1318))</f>
        <v/>
      </c>
      <c r="G1316" s="47">
        <f>IF(_imp!$C$1318="","",INDEX(_imp!$I$4:$I$1503,_imp!$C$1318))</f>
        <v/>
      </c>
      <c r="K1316" s="47">
        <f>IF(_imp!$C$1318="","",INDEX(_imp!$J$4:$J$1503,_imp!$C$1318))</f>
        <v/>
      </c>
    </row>
    <row r="1317">
      <c r="A1317" s="47">
        <f>IF(_imp!$C$1319="","",INDEX(_imp!$D$4:$D$1503,_imp!$C$1319))</f>
        <v/>
      </c>
      <c r="B1317" s="47">
        <f>IF(_imp!$C$1319="","",INDEX(_imp!$E$4:$E$1503,_imp!$C$1319))</f>
        <v/>
      </c>
      <c r="C1317" s="47">
        <f>IF(_imp!$C$1319="","",INDEX(_imp!$F$4:$F$1503,_imp!$C$1319))</f>
        <v/>
      </c>
      <c r="E1317" s="47">
        <f>IF(_imp!$C$1319="","",INDEX(_imp!$G$4:$G$1503,_imp!$C$1319))</f>
        <v/>
      </c>
      <c r="F1317" s="47">
        <f>IF(_imp!$C$1319="","",INDEX(_imp!$H$4:$H$1503,_imp!$C$1319))</f>
        <v/>
      </c>
      <c r="G1317" s="47">
        <f>IF(_imp!$C$1319="","",INDEX(_imp!$I$4:$I$1503,_imp!$C$1319))</f>
        <v/>
      </c>
      <c r="K1317" s="47">
        <f>IF(_imp!$C$1319="","",INDEX(_imp!$J$4:$J$1503,_imp!$C$1319))</f>
        <v/>
      </c>
    </row>
    <row r="1318">
      <c r="A1318" s="47">
        <f>IF(_imp!$C$1320="","",INDEX(_imp!$D$4:$D$1503,_imp!$C$1320))</f>
        <v/>
      </c>
      <c r="B1318" s="47">
        <f>IF(_imp!$C$1320="","",INDEX(_imp!$E$4:$E$1503,_imp!$C$1320))</f>
        <v/>
      </c>
      <c r="C1318" s="47">
        <f>IF(_imp!$C$1320="","",INDEX(_imp!$F$4:$F$1503,_imp!$C$1320))</f>
        <v/>
      </c>
      <c r="E1318" s="47">
        <f>IF(_imp!$C$1320="","",INDEX(_imp!$G$4:$G$1503,_imp!$C$1320))</f>
        <v/>
      </c>
      <c r="F1318" s="47">
        <f>IF(_imp!$C$1320="","",INDEX(_imp!$H$4:$H$1503,_imp!$C$1320))</f>
        <v/>
      </c>
      <c r="G1318" s="47">
        <f>IF(_imp!$C$1320="","",INDEX(_imp!$I$4:$I$1503,_imp!$C$1320))</f>
        <v/>
      </c>
      <c r="K1318" s="47">
        <f>IF(_imp!$C$1320="","",INDEX(_imp!$J$4:$J$1503,_imp!$C$1320))</f>
        <v/>
      </c>
    </row>
    <row r="1319">
      <c r="A1319" s="47">
        <f>IF(_imp!$C$1321="","",INDEX(_imp!$D$4:$D$1503,_imp!$C$1321))</f>
        <v/>
      </c>
      <c r="B1319" s="47">
        <f>IF(_imp!$C$1321="","",INDEX(_imp!$E$4:$E$1503,_imp!$C$1321))</f>
        <v/>
      </c>
      <c r="C1319" s="47">
        <f>IF(_imp!$C$1321="","",INDEX(_imp!$F$4:$F$1503,_imp!$C$1321))</f>
        <v/>
      </c>
      <c r="E1319" s="47">
        <f>IF(_imp!$C$1321="","",INDEX(_imp!$G$4:$G$1503,_imp!$C$1321))</f>
        <v/>
      </c>
      <c r="F1319" s="47">
        <f>IF(_imp!$C$1321="","",INDEX(_imp!$H$4:$H$1503,_imp!$C$1321))</f>
        <v/>
      </c>
      <c r="G1319" s="47">
        <f>IF(_imp!$C$1321="","",INDEX(_imp!$I$4:$I$1503,_imp!$C$1321))</f>
        <v/>
      </c>
      <c r="K1319" s="47">
        <f>IF(_imp!$C$1321="","",INDEX(_imp!$J$4:$J$1503,_imp!$C$1321))</f>
        <v/>
      </c>
    </row>
    <row r="1320">
      <c r="A1320" s="47">
        <f>IF(_imp!$C$1322="","",INDEX(_imp!$D$4:$D$1503,_imp!$C$1322))</f>
        <v/>
      </c>
      <c r="B1320" s="47">
        <f>IF(_imp!$C$1322="","",INDEX(_imp!$E$4:$E$1503,_imp!$C$1322))</f>
        <v/>
      </c>
      <c r="C1320" s="47">
        <f>IF(_imp!$C$1322="","",INDEX(_imp!$F$4:$F$1503,_imp!$C$1322))</f>
        <v/>
      </c>
      <c r="E1320" s="47">
        <f>IF(_imp!$C$1322="","",INDEX(_imp!$G$4:$G$1503,_imp!$C$1322))</f>
        <v/>
      </c>
      <c r="F1320" s="47">
        <f>IF(_imp!$C$1322="","",INDEX(_imp!$H$4:$H$1503,_imp!$C$1322))</f>
        <v/>
      </c>
      <c r="G1320" s="47">
        <f>IF(_imp!$C$1322="","",INDEX(_imp!$I$4:$I$1503,_imp!$C$1322))</f>
        <v/>
      </c>
      <c r="K1320" s="47">
        <f>IF(_imp!$C$1322="","",INDEX(_imp!$J$4:$J$1503,_imp!$C$1322))</f>
        <v/>
      </c>
    </row>
    <row r="1321">
      <c r="A1321" s="47">
        <f>IF(_imp!$C$1323="","",INDEX(_imp!$D$4:$D$1503,_imp!$C$1323))</f>
        <v/>
      </c>
      <c r="B1321" s="47">
        <f>IF(_imp!$C$1323="","",INDEX(_imp!$E$4:$E$1503,_imp!$C$1323))</f>
        <v/>
      </c>
      <c r="C1321" s="47">
        <f>IF(_imp!$C$1323="","",INDEX(_imp!$F$4:$F$1503,_imp!$C$1323))</f>
        <v/>
      </c>
      <c r="E1321" s="47">
        <f>IF(_imp!$C$1323="","",INDEX(_imp!$G$4:$G$1503,_imp!$C$1323))</f>
        <v/>
      </c>
      <c r="F1321" s="47">
        <f>IF(_imp!$C$1323="","",INDEX(_imp!$H$4:$H$1503,_imp!$C$1323))</f>
        <v/>
      </c>
      <c r="G1321" s="47">
        <f>IF(_imp!$C$1323="","",INDEX(_imp!$I$4:$I$1503,_imp!$C$1323))</f>
        <v/>
      </c>
      <c r="K1321" s="47">
        <f>IF(_imp!$C$1323="","",INDEX(_imp!$J$4:$J$1503,_imp!$C$1323))</f>
        <v/>
      </c>
    </row>
    <row r="1322">
      <c r="A1322" s="47">
        <f>IF(_imp!$C$1324="","",INDEX(_imp!$D$4:$D$1503,_imp!$C$1324))</f>
        <v/>
      </c>
      <c r="B1322" s="47">
        <f>IF(_imp!$C$1324="","",INDEX(_imp!$E$4:$E$1503,_imp!$C$1324))</f>
        <v/>
      </c>
      <c r="C1322" s="47">
        <f>IF(_imp!$C$1324="","",INDEX(_imp!$F$4:$F$1503,_imp!$C$1324))</f>
        <v/>
      </c>
      <c r="E1322" s="47">
        <f>IF(_imp!$C$1324="","",INDEX(_imp!$G$4:$G$1503,_imp!$C$1324))</f>
        <v/>
      </c>
      <c r="F1322" s="47">
        <f>IF(_imp!$C$1324="","",INDEX(_imp!$H$4:$H$1503,_imp!$C$1324))</f>
        <v/>
      </c>
      <c r="G1322" s="47">
        <f>IF(_imp!$C$1324="","",INDEX(_imp!$I$4:$I$1503,_imp!$C$1324))</f>
        <v/>
      </c>
      <c r="K1322" s="47">
        <f>IF(_imp!$C$1324="","",INDEX(_imp!$J$4:$J$1503,_imp!$C$1324))</f>
        <v/>
      </c>
    </row>
    <row r="1323">
      <c r="A1323" s="47">
        <f>IF(_imp!$C$1325="","",INDEX(_imp!$D$4:$D$1503,_imp!$C$1325))</f>
        <v/>
      </c>
      <c r="B1323" s="47">
        <f>IF(_imp!$C$1325="","",INDEX(_imp!$E$4:$E$1503,_imp!$C$1325))</f>
        <v/>
      </c>
      <c r="C1323" s="47">
        <f>IF(_imp!$C$1325="","",INDEX(_imp!$F$4:$F$1503,_imp!$C$1325))</f>
        <v/>
      </c>
      <c r="E1323" s="47">
        <f>IF(_imp!$C$1325="","",INDEX(_imp!$G$4:$G$1503,_imp!$C$1325))</f>
        <v/>
      </c>
      <c r="F1323" s="47">
        <f>IF(_imp!$C$1325="","",INDEX(_imp!$H$4:$H$1503,_imp!$C$1325))</f>
        <v/>
      </c>
      <c r="G1323" s="47">
        <f>IF(_imp!$C$1325="","",INDEX(_imp!$I$4:$I$1503,_imp!$C$1325))</f>
        <v/>
      </c>
      <c r="K1323" s="47">
        <f>IF(_imp!$C$1325="","",INDEX(_imp!$J$4:$J$1503,_imp!$C$1325))</f>
        <v/>
      </c>
    </row>
    <row r="1324">
      <c r="A1324" s="47">
        <f>IF(_imp!$C$1326="","",INDEX(_imp!$D$4:$D$1503,_imp!$C$1326))</f>
        <v/>
      </c>
      <c r="B1324" s="47">
        <f>IF(_imp!$C$1326="","",INDEX(_imp!$E$4:$E$1503,_imp!$C$1326))</f>
        <v/>
      </c>
      <c r="C1324" s="47">
        <f>IF(_imp!$C$1326="","",INDEX(_imp!$F$4:$F$1503,_imp!$C$1326))</f>
        <v/>
      </c>
      <c r="E1324" s="47">
        <f>IF(_imp!$C$1326="","",INDEX(_imp!$G$4:$G$1503,_imp!$C$1326))</f>
        <v/>
      </c>
      <c r="F1324" s="47">
        <f>IF(_imp!$C$1326="","",INDEX(_imp!$H$4:$H$1503,_imp!$C$1326))</f>
        <v/>
      </c>
      <c r="G1324" s="47">
        <f>IF(_imp!$C$1326="","",INDEX(_imp!$I$4:$I$1503,_imp!$C$1326))</f>
        <v/>
      </c>
      <c r="K1324" s="47">
        <f>IF(_imp!$C$1326="","",INDEX(_imp!$J$4:$J$1503,_imp!$C$1326))</f>
        <v/>
      </c>
    </row>
    <row r="1325">
      <c r="A1325" s="47">
        <f>IF(_imp!$C$1327="","",INDEX(_imp!$D$4:$D$1503,_imp!$C$1327))</f>
        <v/>
      </c>
      <c r="B1325" s="47">
        <f>IF(_imp!$C$1327="","",INDEX(_imp!$E$4:$E$1503,_imp!$C$1327))</f>
        <v/>
      </c>
      <c r="C1325" s="47">
        <f>IF(_imp!$C$1327="","",INDEX(_imp!$F$4:$F$1503,_imp!$C$1327))</f>
        <v/>
      </c>
      <c r="E1325" s="47">
        <f>IF(_imp!$C$1327="","",INDEX(_imp!$G$4:$G$1503,_imp!$C$1327))</f>
        <v/>
      </c>
      <c r="F1325" s="47">
        <f>IF(_imp!$C$1327="","",INDEX(_imp!$H$4:$H$1503,_imp!$C$1327))</f>
        <v/>
      </c>
      <c r="G1325" s="47">
        <f>IF(_imp!$C$1327="","",INDEX(_imp!$I$4:$I$1503,_imp!$C$1327))</f>
        <v/>
      </c>
      <c r="K1325" s="47">
        <f>IF(_imp!$C$1327="","",INDEX(_imp!$J$4:$J$1503,_imp!$C$1327))</f>
        <v/>
      </c>
    </row>
    <row r="1326">
      <c r="A1326" s="47">
        <f>IF(_imp!$C$1328="","",INDEX(_imp!$D$4:$D$1503,_imp!$C$1328))</f>
        <v/>
      </c>
      <c r="B1326" s="47">
        <f>IF(_imp!$C$1328="","",INDEX(_imp!$E$4:$E$1503,_imp!$C$1328))</f>
        <v/>
      </c>
      <c r="C1326" s="47">
        <f>IF(_imp!$C$1328="","",INDEX(_imp!$F$4:$F$1503,_imp!$C$1328))</f>
        <v/>
      </c>
      <c r="E1326" s="47">
        <f>IF(_imp!$C$1328="","",INDEX(_imp!$G$4:$G$1503,_imp!$C$1328))</f>
        <v/>
      </c>
      <c r="F1326" s="47">
        <f>IF(_imp!$C$1328="","",INDEX(_imp!$H$4:$H$1503,_imp!$C$1328))</f>
        <v/>
      </c>
      <c r="G1326" s="47">
        <f>IF(_imp!$C$1328="","",INDEX(_imp!$I$4:$I$1503,_imp!$C$1328))</f>
        <v/>
      </c>
      <c r="K1326" s="47">
        <f>IF(_imp!$C$1328="","",INDEX(_imp!$J$4:$J$1503,_imp!$C$1328))</f>
        <v/>
      </c>
    </row>
    <row r="1327">
      <c r="A1327" s="47">
        <f>IF(_imp!$C$1329="","",INDEX(_imp!$D$4:$D$1503,_imp!$C$1329))</f>
        <v/>
      </c>
      <c r="B1327" s="47">
        <f>IF(_imp!$C$1329="","",INDEX(_imp!$E$4:$E$1503,_imp!$C$1329))</f>
        <v/>
      </c>
      <c r="C1327" s="47">
        <f>IF(_imp!$C$1329="","",INDEX(_imp!$F$4:$F$1503,_imp!$C$1329))</f>
        <v/>
      </c>
      <c r="E1327" s="47">
        <f>IF(_imp!$C$1329="","",INDEX(_imp!$G$4:$G$1503,_imp!$C$1329))</f>
        <v/>
      </c>
      <c r="F1327" s="47">
        <f>IF(_imp!$C$1329="","",INDEX(_imp!$H$4:$H$1503,_imp!$C$1329))</f>
        <v/>
      </c>
      <c r="G1327" s="47">
        <f>IF(_imp!$C$1329="","",INDEX(_imp!$I$4:$I$1503,_imp!$C$1329))</f>
        <v/>
      </c>
      <c r="K1327" s="47">
        <f>IF(_imp!$C$1329="","",INDEX(_imp!$J$4:$J$1503,_imp!$C$1329))</f>
        <v/>
      </c>
    </row>
    <row r="1328">
      <c r="A1328" s="47">
        <f>IF(_imp!$C$1330="","",INDEX(_imp!$D$4:$D$1503,_imp!$C$1330))</f>
        <v/>
      </c>
      <c r="B1328" s="47">
        <f>IF(_imp!$C$1330="","",INDEX(_imp!$E$4:$E$1503,_imp!$C$1330))</f>
        <v/>
      </c>
      <c r="C1328" s="47">
        <f>IF(_imp!$C$1330="","",INDEX(_imp!$F$4:$F$1503,_imp!$C$1330))</f>
        <v/>
      </c>
      <c r="E1328" s="47">
        <f>IF(_imp!$C$1330="","",INDEX(_imp!$G$4:$G$1503,_imp!$C$1330))</f>
        <v/>
      </c>
      <c r="F1328" s="47">
        <f>IF(_imp!$C$1330="","",INDEX(_imp!$H$4:$H$1503,_imp!$C$1330))</f>
        <v/>
      </c>
      <c r="G1328" s="47">
        <f>IF(_imp!$C$1330="","",INDEX(_imp!$I$4:$I$1503,_imp!$C$1330))</f>
        <v/>
      </c>
      <c r="K1328" s="47">
        <f>IF(_imp!$C$1330="","",INDEX(_imp!$J$4:$J$1503,_imp!$C$1330))</f>
        <v/>
      </c>
    </row>
    <row r="1329">
      <c r="A1329" s="47">
        <f>IF(_imp!$C$1331="","",INDEX(_imp!$D$4:$D$1503,_imp!$C$1331))</f>
        <v/>
      </c>
      <c r="B1329" s="47">
        <f>IF(_imp!$C$1331="","",INDEX(_imp!$E$4:$E$1503,_imp!$C$1331))</f>
        <v/>
      </c>
      <c r="C1329" s="47">
        <f>IF(_imp!$C$1331="","",INDEX(_imp!$F$4:$F$1503,_imp!$C$1331))</f>
        <v/>
      </c>
      <c r="E1329" s="47">
        <f>IF(_imp!$C$1331="","",INDEX(_imp!$G$4:$G$1503,_imp!$C$1331))</f>
        <v/>
      </c>
      <c r="F1329" s="47">
        <f>IF(_imp!$C$1331="","",INDEX(_imp!$H$4:$H$1503,_imp!$C$1331))</f>
        <v/>
      </c>
      <c r="G1329" s="47">
        <f>IF(_imp!$C$1331="","",INDEX(_imp!$I$4:$I$1503,_imp!$C$1331))</f>
        <v/>
      </c>
      <c r="K1329" s="47">
        <f>IF(_imp!$C$1331="","",INDEX(_imp!$J$4:$J$1503,_imp!$C$1331))</f>
        <v/>
      </c>
    </row>
    <row r="1330">
      <c r="A1330" s="47">
        <f>IF(_imp!$C$1332="","",INDEX(_imp!$D$4:$D$1503,_imp!$C$1332))</f>
        <v/>
      </c>
      <c r="B1330" s="47">
        <f>IF(_imp!$C$1332="","",INDEX(_imp!$E$4:$E$1503,_imp!$C$1332))</f>
        <v/>
      </c>
      <c r="C1330" s="47">
        <f>IF(_imp!$C$1332="","",INDEX(_imp!$F$4:$F$1503,_imp!$C$1332))</f>
        <v/>
      </c>
      <c r="E1330" s="47">
        <f>IF(_imp!$C$1332="","",INDEX(_imp!$G$4:$G$1503,_imp!$C$1332))</f>
        <v/>
      </c>
      <c r="F1330" s="47">
        <f>IF(_imp!$C$1332="","",INDEX(_imp!$H$4:$H$1503,_imp!$C$1332))</f>
        <v/>
      </c>
      <c r="G1330" s="47">
        <f>IF(_imp!$C$1332="","",INDEX(_imp!$I$4:$I$1503,_imp!$C$1332))</f>
        <v/>
      </c>
      <c r="K1330" s="47">
        <f>IF(_imp!$C$1332="","",INDEX(_imp!$J$4:$J$1503,_imp!$C$1332))</f>
        <v/>
      </c>
    </row>
    <row r="1331">
      <c r="A1331" s="47">
        <f>IF(_imp!$C$1333="","",INDEX(_imp!$D$4:$D$1503,_imp!$C$1333))</f>
        <v/>
      </c>
      <c r="B1331" s="47">
        <f>IF(_imp!$C$1333="","",INDEX(_imp!$E$4:$E$1503,_imp!$C$1333))</f>
        <v/>
      </c>
      <c r="C1331" s="47">
        <f>IF(_imp!$C$1333="","",INDEX(_imp!$F$4:$F$1503,_imp!$C$1333))</f>
        <v/>
      </c>
      <c r="E1331" s="47">
        <f>IF(_imp!$C$1333="","",INDEX(_imp!$G$4:$G$1503,_imp!$C$1333))</f>
        <v/>
      </c>
      <c r="F1331" s="47">
        <f>IF(_imp!$C$1333="","",INDEX(_imp!$H$4:$H$1503,_imp!$C$1333))</f>
        <v/>
      </c>
      <c r="G1331" s="47">
        <f>IF(_imp!$C$1333="","",INDEX(_imp!$I$4:$I$1503,_imp!$C$1333))</f>
        <v/>
      </c>
      <c r="K1331" s="47">
        <f>IF(_imp!$C$1333="","",INDEX(_imp!$J$4:$J$1503,_imp!$C$1333))</f>
        <v/>
      </c>
    </row>
    <row r="1332">
      <c r="A1332" s="47">
        <f>IF(_imp!$C$1334="","",INDEX(_imp!$D$4:$D$1503,_imp!$C$1334))</f>
        <v/>
      </c>
      <c r="B1332" s="47">
        <f>IF(_imp!$C$1334="","",INDEX(_imp!$E$4:$E$1503,_imp!$C$1334))</f>
        <v/>
      </c>
      <c r="C1332" s="47">
        <f>IF(_imp!$C$1334="","",INDEX(_imp!$F$4:$F$1503,_imp!$C$1334))</f>
        <v/>
      </c>
      <c r="E1332" s="47">
        <f>IF(_imp!$C$1334="","",INDEX(_imp!$G$4:$G$1503,_imp!$C$1334))</f>
        <v/>
      </c>
      <c r="F1332" s="47">
        <f>IF(_imp!$C$1334="","",INDEX(_imp!$H$4:$H$1503,_imp!$C$1334))</f>
        <v/>
      </c>
      <c r="G1332" s="47">
        <f>IF(_imp!$C$1334="","",INDEX(_imp!$I$4:$I$1503,_imp!$C$1334))</f>
        <v/>
      </c>
      <c r="K1332" s="47">
        <f>IF(_imp!$C$1334="","",INDEX(_imp!$J$4:$J$1503,_imp!$C$1334))</f>
        <v/>
      </c>
    </row>
    <row r="1333">
      <c r="A1333" s="47">
        <f>IF(_imp!$C$1335="","",INDEX(_imp!$D$4:$D$1503,_imp!$C$1335))</f>
        <v/>
      </c>
      <c r="B1333" s="47">
        <f>IF(_imp!$C$1335="","",INDEX(_imp!$E$4:$E$1503,_imp!$C$1335))</f>
        <v/>
      </c>
      <c r="C1333" s="47">
        <f>IF(_imp!$C$1335="","",INDEX(_imp!$F$4:$F$1503,_imp!$C$1335))</f>
        <v/>
      </c>
      <c r="E1333" s="47">
        <f>IF(_imp!$C$1335="","",INDEX(_imp!$G$4:$G$1503,_imp!$C$1335))</f>
        <v/>
      </c>
      <c r="F1333" s="47">
        <f>IF(_imp!$C$1335="","",INDEX(_imp!$H$4:$H$1503,_imp!$C$1335))</f>
        <v/>
      </c>
      <c r="G1333" s="47">
        <f>IF(_imp!$C$1335="","",INDEX(_imp!$I$4:$I$1503,_imp!$C$1335))</f>
        <v/>
      </c>
      <c r="K1333" s="47">
        <f>IF(_imp!$C$1335="","",INDEX(_imp!$J$4:$J$1503,_imp!$C$1335))</f>
        <v/>
      </c>
    </row>
    <row r="1334">
      <c r="A1334" s="47">
        <f>IF(_imp!$C$1336="","",INDEX(_imp!$D$4:$D$1503,_imp!$C$1336))</f>
        <v/>
      </c>
      <c r="B1334" s="47">
        <f>IF(_imp!$C$1336="","",INDEX(_imp!$E$4:$E$1503,_imp!$C$1336))</f>
        <v/>
      </c>
      <c r="C1334" s="47">
        <f>IF(_imp!$C$1336="","",INDEX(_imp!$F$4:$F$1503,_imp!$C$1336))</f>
        <v/>
      </c>
      <c r="E1334" s="47">
        <f>IF(_imp!$C$1336="","",INDEX(_imp!$G$4:$G$1503,_imp!$C$1336))</f>
        <v/>
      </c>
      <c r="F1334" s="47">
        <f>IF(_imp!$C$1336="","",INDEX(_imp!$H$4:$H$1503,_imp!$C$1336))</f>
        <v/>
      </c>
      <c r="G1334" s="47">
        <f>IF(_imp!$C$1336="","",INDEX(_imp!$I$4:$I$1503,_imp!$C$1336))</f>
        <v/>
      </c>
      <c r="K1334" s="47">
        <f>IF(_imp!$C$1336="","",INDEX(_imp!$J$4:$J$1503,_imp!$C$1336))</f>
        <v/>
      </c>
    </row>
    <row r="1335">
      <c r="A1335" s="47">
        <f>IF(_imp!$C$1337="","",INDEX(_imp!$D$4:$D$1503,_imp!$C$1337))</f>
        <v/>
      </c>
      <c r="B1335" s="47">
        <f>IF(_imp!$C$1337="","",INDEX(_imp!$E$4:$E$1503,_imp!$C$1337))</f>
        <v/>
      </c>
      <c r="C1335" s="47">
        <f>IF(_imp!$C$1337="","",INDEX(_imp!$F$4:$F$1503,_imp!$C$1337))</f>
        <v/>
      </c>
      <c r="E1335" s="47">
        <f>IF(_imp!$C$1337="","",INDEX(_imp!$G$4:$G$1503,_imp!$C$1337))</f>
        <v/>
      </c>
      <c r="F1335" s="47">
        <f>IF(_imp!$C$1337="","",INDEX(_imp!$H$4:$H$1503,_imp!$C$1337))</f>
        <v/>
      </c>
      <c r="G1335" s="47">
        <f>IF(_imp!$C$1337="","",INDEX(_imp!$I$4:$I$1503,_imp!$C$1337))</f>
        <v/>
      </c>
      <c r="K1335" s="47">
        <f>IF(_imp!$C$1337="","",INDEX(_imp!$J$4:$J$1503,_imp!$C$1337))</f>
        <v/>
      </c>
    </row>
    <row r="1336">
      <c r="A1336" s="47">
        <f>IF(_imp!$C$1338="","",INDEX(_imp!$D$4:$D$1503,_imp!$C$1338))</f>
        <v/>
      </c>
      <c r="B1336" s="47">
        <f>IF(_imp!$C$1338="","",INDEX(_imp!$E$4:$E$1503,_imp!$C$1338))</f>
        <v/>
      </c>
      <c r="C1336" s="47">
        <f>IF(_imp!$C$1338="","",INDEX(_imp!$F$4:$F$1503,_imp!$C$1338))</f>
        <v/>
      </c>
      <c r="E1336" s="47">
        <f>IF(_imp!$C$1338="","",INDEX(_imp!$G$4:$G$1503,_imp!$C$1338))</f>
        <v/>
      </c>
      <c r="F1336" s="47">
        <f>IF(_imp!$C$1338="","",INDEX(_imp!$H$4:$H$1503,_imp!$C$1338))</f>
        <v/>
      </c>
      <c r="G1336" s="47">
        <f>IF(_imp!$C$1338="","",INDEX(_imp!$I$4:$I$1503,_imp!$C$1338))</f>
        <v/>
      </c>
      <c r="K1336" s="47">
        <f>IF(_imp!$C$1338="","",INDEX(_imp!$J$4:$J$1503,_imp!$C$1338))</f>
        <v/>
      </c>
    </row>
    <row r="1337">
      <c r="A1337" s="47">
        <f>IF(_imp!$C$1339="","",INDEX(_imp!$D$4:$D$1503,_imp!$C$1339))</f>
        <v/>
      </c>
      <c r="B1337" s="47">
        <f>IF(_imp!$C$1339="","",INDEX(_imp!$E$4:$E$1503,_imp!$C$1339))</f>
        <v/>
      </c>
      <c r="C1337" s="47">
        <f>IF(_imp!$C$1339="","",INDEX(_imp!$F$4:$F$1503,_imp!$C$1339))</f>
        <v/>
      </c>
      <c r="E1337" s="47">
        <f>IF(_imp!$C$1339="","",INDEX(_imp!$G$4:$G$1503,_imp!$C$1339))</f>
        <v/>
      </c>
      <c r="F1337" s="47">
        <f>IF(_imp!$C$1339="","",INDEX(_imp!$H$4:$H$1503,_imp!$C$1339))</f>
        <v/>
      </c>
      <c r="G1337" s="47">
        <f>IF(_imp!$C$1339="","",INDEX(_imp!$I$4:$I$1503,_imp!$C$1339))</f>
        <v/>
      </c>
      <c r="K1337" s="47">
        <f>IF(_imp!$C$1339="","",INDEX(_imp!$J$4:$J$1503,_imp!$C$1339))</f>
        <v/>
      </c>
    </row>
    <row r="1338">
      <c r="A1338" s="47">
        <f>IF(_imp!$C$1340="","",INDEX(_imp!$D$4:$D$1503,_imp!$C$1340))</f>
        <v/>
      </c>
      <c r="B1338" s="47">
        <f>IF(_imp!$C$1340="","",INDEX(_imp!$E$4:$E$1503,_imp!$C$1340))</f>
        <v/>
      </c>
      <c r="C1338" s="47">
        <f>IF(_imp!$C$1340="","",INDEX(_imp!$F$4:$F$1503,_imp!$C$1340))</f>
        <v/>
      </c>
      <c r="E1338" s="47">
        <f>IF(_imp!$C$1340="","",INDEX(_imp!$G$4:$G$1503,_imp!$C$1340))</f>
        <v/>
      </c>
      <c r="F1338" s="47">
        <f>IF(_imp!$C$1340="","",INDEX(_imp!$H$4:$H$1503,_imp!$C$1340))</f>
        <v/>
      </c>
      <c r="G1338" s="47">
        <f>IF(_imp!$C$1340="","",INDEX(_imp!$I$4:$I$1503,_imp!$C$1340))</f>
        <v/>
      </c>
      <c r="K1338" s="47">
        <f>IF(_imp!$C$1340="","",INDEX(_imp!$J$4:$J$1503,_imp!$C$1340))</f>
        <v/>
      </c>
    </row>
    <row r="1339">
      <c r="A1339" s="47">
        <f>IF(_imp!$C$1341="","",INDEX(_imp!$D$4:$D$1503,_imp!$C$1341))</f>
        <v/>
      </c>
      <c r="B1339" s="47">
        <f>IF(_imp!$C$1341="","",INDEX(_imp!$E$4:$E$1503,_imp!$C$1341))</f>
        <v/>
      </c>
      <c r="C1339" s="47">
        <f>IF(_imp!$C$1341="","",INDEX(_imp!$F$4:$F$1503,_imp!$C$1341))</f>
        <v/>
      </c>
      <c r="E1339" s="47">
        <f>IF(_imp!$C$1341="","",INDEX(_imp!$G$4:$G$1503,_imp!$C$1341))</f>
        <v/>
      </c>
      <c r="F1339" s="47">
        <f>IF(_imp!$C$1341="","",INDEX(_imp!$H$4:$H$1503,_imp!$C$1341))</f>
        <v/>
      </c>
      <c r="G1339" s="47">
        <f>IF(_imp!$C$1341="","",INDEX(_imp!$I$4:$I$1503,_imp!$C$1341))</f>
        <v/>
      </c>
      <c r="K1339" s="47">
        <f>IF(_imp!$C$1341="","",INDEX(_imp!$J$4:$J$1503,_imp!$C$1341))</f>
        <v/>
      </c>
    </row>
    <row r="1340">
      <c r="A1340" s="47">
        <f>IF(_imp!$C$1342="","",INDEX(_imp!$D$4:$D$1503,_imp!$C$1342))</f>
        <v/>
      </c>
      <c r="B1340" s="47">
        <f>IF(_imp!$C$1342="","",INDEX(_imp!$E$4:$E$1503,_imp!$C$1342))</f>
        <v/>
      </c>
      <c r="C1340" s="47">
        <f>IF(_imp!$C$1342="","",INDEX(_imp!$F$4:$F$1503,_imp!$C$1342))</f>
        <v/>
      </c>
      <c r="E1340" s="47">
        <f>IF(_imp!$C$1342="","",INDEX(_imp!$G$4:$G$1503,_imp!$C$1342))</f>
        <v/>
      </c>
      <c r="F1340" s="47">
        <f>IF(_imp!$C$1342="","",INDEX(_imp!$H$4:$H$1503,_imp!$C$1342))</f>
        <v/>
      </c>
      <c r="G1340" s="47">
        <f>IF(_imp!$C$1342="","",INDEX(_imp!$I$4:$I$1503,_imp!$C$1342))</f>
        <v/>
      </c>
      <c r="K1340" s="47">
        <f>IF(_imp!$C$1342="","",INDEX(_imp!$J$4:$J$1503,_imp!$C$1342))</f>
        <v/>
      </c>
    </row>
    <row r="1341">
      <c r="A1341" s="47">
        <f>IF(_imp!$C$1343="","",INDEX(_imp!$D$4:$D$1503,_imp!$C$1343))</f>
        <v/>
      </c>
      <c r="B1341" s="47">
        <f>IF(_imp!$C$1343="","",INDEX(_imp!$E$4:$E$1503,_imp!$C$1343))</f>
        <v/>
      </c>
      <c r="C1341" s="47">
        <f>IF(_imp!$C$1343="","",INDEX(_imp!$F$4:$F$1503,_imp!$C$1343))</f>
        <v/>
      </c>
      <c r="E1341" s="47">
        <f>IF(_imp!$C$1343="","",INDEX(_imp!$G$4:$G$1503,_imp!$C$1343))</f>
        <v/>
      </c>
      <c r="F1341" s="47">
        <f>IF(_imp!$C$1343="","",INDEX(_imp!$H$4:$H$1503,_imp!$C$1343))</f>
        <v/>
      </c>
      <c r="G1341" s="47">
        <f>IF(_imp!$C$1343="","",INDEX(_imp!$I$4:$I$1503,_imp!$C$1343))</f>
        <v/>
      </c>
      <c r="K1341" s="47">
        <f>IF(_imp!$C$1343="","",INDEX(_imp!$J$4:$J$1503,_imp!$C$1343))</f>
        <v/>
      </c>
    </row>
    <row r="1342">
      <c r="A1342" s="47">
        <f>IF(_imp!$C$1344="","",INDEX(_imp!$D$4:$D$1503,_imp!$C$1344))</f>
        <v/>
      </c>
      <c r="B1342" s="47">
        <f>IF(_imp!$C$1344="","",INDEX(_imp!$E$4:$E$1503,_imp!$C$1344))</f>
        <v/>
      </c>
      <c r="C1342" s="47">
        <f>IF(_imp!$C$1344="","",INDEX(_imp!$F$4:$F$1503,_imp!$C$1344))</f>
        <v/>
      </c>
      <c r="E1342" s="47">
        <f>IF(_imp!$C$1344="","",INDEX(_imp!$G$4:$G$1503,_imp!$C$1344))</f>
        <v/>
      </c>
      <c r="F1342" s="47">
        <f>IF(_imp!$C$1344="","",INDEX(_imp!$H$4:$H$1503,_imp!$C$1344))</f>
        <v/>
      </c>
      <c r="G1342" s="47">
        <f>IF(_imp!$C$1344="","",INDEX(_imp!$I$4:$I$1503,_imp!$C$1344))</f>
        <v/>
      </c>
      <c r="K1342" s="47">
        <f>IF(_imp!$C$1344="","",INDEX(_imp!$J$4:$J$1503,_imp!$C$1344))</f>
        <v/>
      </c>
    </row>
    <row r="1343">
      <c r="A1343" s="47">
        <f>IF(_imp!$C$1345="","",INDEX(_imp!$D$4:$D$1503,_imp!$C$1345))</f>
        <v/>
      </c>
      <c r="B1343" s="47">
        <f>IF(_imp!$C$1345="","",INDEX(_imp!$E$4:$E$1503,_imp!$C$1345))</f>
        <v/>
      </c>
      <c r="C1343" s="47">
        <f>IF(_imp!$C$1345="","",INDEX(_imp!$F$4:$F$1503,_imp!$C$1345))</f>
        <v/>
      </c>
      <c r="E1343" s="47">
        <f>IF(_imp!$C$1345="","",INDEX(_imp!$G$4:$G$1503,_imp!$C$1345))</f>
        <v/>
      </c>
      <c r="F1343" s="47">
        <f>IF(_imp!$C$1345="","",INDEX(_imp!$H$4:$H$1503,_imp!$C$1345))</f>
        <v/>
      </c>
      <c r="G1343" s="47">
        <f>IF(_imp!$C$1345="","",INDEX(_imp!$I$4:$I$1503,_imp!$C$1345))</f>
        <v/>
      </c>
      <c r="K1343" s="47">
        <f>IF(_imp!$C$1345="","",INDEX(_imp!$J$4:$J$1503,_imp!$C$1345))</f>
        <v/>
      </c>
    </row>
    <row r="1344">
      <c r="A1344" s="47">
        <f>IF(_imp!$C$1346="","",INDEX(_imp!$D$4:$D$1503,_imp!$C$1346))</f>
        <v/>
      </c>
      <c r="B1344" s="47">
        <f>IF(_imp!$C$1346="","",INDEX(_imp!$E$4:$E$1503,_imp!$C$1346))</f>
        <v/>
      </c>
      <c r="C1344" s="47">
        <f>IF(_imp!$C$1346="","",INDEX(_imp!$F$4:$F$1503,_imp!$C$1346))</f>
        <v/>
      </c>
      <c r="E1344" s="47">
        <f>IF(_imp!$C$1346="","",INDEX(_imp!$G$4:$G$1503,_imp!$C$1346))</f>
        <v/>
      </c>
      <c r="F1344" s="47">
        <f>IF(_imp!$C$1346="","",INDEX(_imp!$H$4:$H$1503,_imp!$C$1346))</f>
        <v/>
      </c>
      <c r="G1344" s="47">
        <f>IF(_imp!$C$1346="","",INDEX(_imp!$I$4:$I$1503,_imp!$C$1346))</f>
        <v/>
      </c>
      <c r="K1344" s="47">
        <f>IF(_imp!$C$1346="","",INDEX(_imp!$J$4:$J$1503,_imp!$C$1346))</f>
        <v/>
      </c>
    </row>
    <row r="1345">
      <c r="A1345" s="47">
        <f>IF(_imp!$C$1347="","",INDEX(_imp!$D$4:$D$1503,_imp!$C$1347))</f>
        <v/>
      </c>
      <c r="B1345" s="47">
        <f>IF(_imp!$C$1347="","",INDEX(_imp!$E$4:$E$1503,_imp!$C$1347))</f>
        <v/>
      </c>
      <c r="C1345" s="47">
        <f>IF(_imp!$C$1347="","",INDEX(_imp!$F$4:$F$1503,_imp!$C$1347))</f>
        <v/>
      </c>
      <c r="E1345" s="47">
        <f>IF(_imp!$C$1347="","",INDEX(_imp!$G$4:$G$1503,_imp!$C$1347))</f>
        <v/>
      </c>
      <c r="F1345" s="47">
        <f>IF(_imp!$C$1347="","",INDEX(_imp!$H$4:$H$1503,_imp!$C$1347))</f>
        <v/>
      </c>
      <c r="G1345" s="47">
        <f>IF(_imp!$C$1347="","",INDEX(_imp!$I$4:$I$1503,_imp!$C$1347))</f>
        <v/>
      </c>
      <c r="K1345" s="47">
        <f>IF(_imp!$C$1347="","",INDEX(_imp!$J$4:$J$1503,_imp!$C$1347))</f>
        <v/>
      </c>
    </row>
    <row r="1346">
      <c r="A1346" s="47">
        <f>IF(_imp!$C$1348="","",INDEX(_imp!$D$4:$D$1503,_imp!$C$1348))</f>
        <v/>
      </c>
      <c r="B1346" s="47">
        <f>IF(_imp!$C$1348="","",INDEX(_imp!$E$4:$E$1503,_imp!$C$1348))</f>
        <v/>
      </c>
      <c r="C1346" s="47">
        <f>IF(_imp!$C$1348="","",INDEX(_imp!$F$4:$F$1503,_imp!$C$1348))</f>
        <v/>
      </c>
      <c r="E1346" s="47">
        <f>IF(_imp!$C$1348="","",INDEX(_imp!$G$4:$G$1503,_imp!$C$1348))</f>
        <v/>
      </c>
      <c r="F1346" s="47">
        <f>IF(_imp!$C$1348="","",INDEX(_imp!$H$4:$H$1503,_imp!$C$1348))</f>
        <v/>
      </c>
      <c r="G1346" s="47">
        <f>IF(_imp!$C$1348="","",INDEX(_imp!$I$4:$I$1503,_imp!$C$1348))</f>
        <v/>
      </c>
      <c r="K1346" s="47">
        <f>IF(_imp!$C$1348="","",INDEX(_imp!$J$4:$J$1503,_imp!$C$1348))</f>
        <v/>
      </c>
    </row>
    <row r="1347">
      <c r="A1347" s="47">
        <f>IF(_imp!$C$1349="","",INDEX(_imp!$D$4:$D$1503,_imp!$C$1349))</f>
        <v/>
      </c>
      <c r="B1347" s="47">
        <f>IF(_imp!$C$1349="","",INDEX(_imp!$E$4:$E$1503,_imp!$C$1349))</f>
        <v/>
      </c>
      <c r="C1347" s="47">
        <f>IF(_imp!$C$1349="","",INDEX(_imp!$F$4:$F$1503,_imp!$C$1349))</f>
        <v/>
      </c>
      <c r="E1347" s="47">
        <f>IF(_imp!$C$1349="","",INDEX(_imp!$G$4:$G$1503,_imp!$C$1349))</f>
        <v/>
      </c>
      <c r="F1347" s="47">
        <f>IF(_imp!$C$1349="","",INDEX(_imp!$H$4:$H$1503,_imp!$C$1349))</f>
        <v/>
      </c>
      <c r="G1347" s="47">
        <f>IF(_imp!$C$1349="","",INDEX(_imp!$I$4:$I$1503,_imp!$C$1349))</f>
        <v/>
      </c>
      <c r="K1347" s="47">
        <f>IF(_imp!$C$1349="","",INDEX(_imp!$J$4:$J$1503,_imp!$C$1349))</f>
        <v/>
      </c>
    </row>
    <row r="1348">
      <c r="A1348" s="47">
        <f>IF(_imp!$C$1350="","",INDEX(_imp!$D$4:$D$1503,_imp!$C$1350))</f>
        <v/>
      </c>
      <c r="B1348" s="47">
        <f>IF(_imp!$C$1350="","",INDEX(_imp!$E$4:$E$1503,_imp!$C$1350))</f>
        <v/>
      </c>
      <c r="C1348" s="47">
        <f>IF(_imp!$C$1350="","",INDEX(_imp!$F$4:$F$1503,_imp!$C$1350))</f>
        <v/>
      </c>
      <c r="E1348" s="47">
        <f>IF(_imp!$C$1350="","",INDEX(_imp!$G$4:$G$1503,_imp!$C$1350))</f>
        <v/>
      </c>
      <c r="F1348" s="47">
        <f>IF(_imp!$C$1350="","",INDEX(_imp!$H$4:$H$1503,_imp!$C$1350))</f>
        <v/>
      </c>
      <c r="G1348" s="47">
        <f>IF(_imp!$C$1350="","",INDEX(_imp!$I$4:$I$1503,_imp!$C$1350))</f>
        <v/>
      </c>
      <c r="K1348" s="47">
        <f>IF(_imp!$C$1350="","",INDEX(_imp!$J$4:$J$1503,_imp!$C$1350))</f>
        <v/>
      </c>
    </row>
    <row r="1349">
      <c r="A1349" s="47">
        <f>IF(_imp!$C$1351="","",INDEX(_imp!$D$4:$D$1503,_imp!$C$1351))</f>
        <v/>
      </c>
      <c r="B1349" s="47">
        <f>IF(_imp!$C$1351="","",INDEX(_imp!$E$4:$E$1503,_imp!$C$1351))</f>
        <v/>
      </c>
      <c r="C1349" s="47">
        <f>IF(_imp!$C$1351="","",INDEX(_imp!$F$4:$F$1503,_imp!$C$1351))</f>
        <v/>
      </c>
      <c r="E1349" s="47">
        <f>IF(_imp!$C$1351="","",INDEX(_imp!$G$4:$G$1503,_imp!$C$1351))</f>
        <v/>
      </c>
      <c r="F1349" s="47">
        <f>IF(_imp!$C$1351="","",INDEX(_imp!$H$4:$H$1503,_imp!$C$1351))</f>
        <v/>
      </c>
      <c r="G1349" s="47">
        <f>IF(_imp!$C$1351="","",INDEX(_imp!$I$4:$I$1503,_imp!$C$1351))</f>
        <v/>
      </c>
      <c r="K1349" s="47">
        <f>IF(_imp!$C$1351="","",INDEX(_imp!$J$4:$J$1503,_imp!$C$1351))</f>
        <v/>
      </c>
    </row>
    <row r="1350">
      <c r="A1350" s="47">
        <f>IF(_imp!$C$1352="","",INDEX(_imp!$D$4:$D$1503,_imp!$C$1352))</f>
        <v/>
      </c>
      <c r="B1350" s="47">
        <f>IF(_imp!$C$1352="","",INDEX(_imp!$E$4:$E$1503,_imp!$C$1352))</f>
        <v/>
      </c>
      <c r="C1350" s="47">
        <f>IF(_imp!$C$1352="","",INDEX(_imp!$F$4:$F$1503,_imp!$C$1352))</f>
        <v/>
      </c>
      <c r="E1350" s="47">
        <f>IF(_imp!$C$1352="","",INDEX(_imp!$G$4:$G$1503,_imp!$C$1352))</f>
        <v/>
      </c>
      <c r="F1350" s="47">
        <f>IF(_imp!$C$1352="","",INDEX(_imp!$H$4:$H$1503,_imp!$C$1352))</f>
        <v/>
      </c>
      <c r="G1350" s="47">
        <f>IF(_imp!$C$1352="","",INDEX(_imp!$I$4:$I$1503,_imp!$C$1352))</f>
        <v/>
      </c>
      <c r="K1350" s="47">
        <f>IF(_imp!$C$1352="","",INDEX(_imp!$J$4:$J$1503,_imp!$C$1352))</f>
        <v/>
      </c>
    </row>
    <row r="1351">
      <c r="A1351" s="47">
        <f>IF(_imp!$C$1353="","",INDEX(_imp!$D$4:$D$1503,_imp!$C$1353))</f>
        <v/>
      </c>
      <c r="B1351" s="47">
        <f>IF(_imp!$C$1353="","",INDEX(_imp!$E$4:$E$1503,_imp!$C$1353))</f>
        <v/>
      </c>
      <c r="C1351" s="47">
        <f>IF(_imp!$C$1353="","",INDEX(_imp!$F$4:$F$1503,_imp!$C$1353))</f>
        <v/>
      </c>
      <c r="E1351" s="47">
        <f>IF(_imp!$C$1353="","",INDEX(_imp!$G$4:$G$1503,_imp!$C$1353))</f>
        <v/>
      </c>
      <c r="F1351" s="47">
        <f>IF(_imp!$C$1353="","",INDEX(_imp!$H$4:$H$1503,_imp!$C$1353))</f>
        <v/>
      </c>
      <c r="G1351" s="47">
        <f>IF(_imp!$C$1353="","",INDEX(_imp!$I$4:$I$1503,_imp!$C$1353))</f>
        <v/>
      </c>
      <c r="K1351" s="47">
        <f>IF(_imp!$C$1353="","",INDEX(_imp!$J$4:$J$1503,_imp!$C$1353))</f>
        <v/>
      </c>
    </row>
    <row r="1352">
      <c r="A1352" s="47">
        <f>IF(_imp!$C$1354="","",INDEX(_imp!$D$4:$D$1503,_imp!$C$1354))</f>
        <v/>
      </c>
      <c r="B1352" s="47">
        <f>IF(_imp!$C$1354="","",INDEX(_imp!$E$4:$E$1503,_imp!$C$1354))</f>
        <v/>
      </c>
      <c r="C1352" s="47">
        <f>IF(_imp!$C$1354="","",INDEX(_imp!$F$4:$F$1503,_imp!$C$1354))</f>
        <v/>
      </c>
      <c r="E1352" s="47">
        <f>IF(_imp!$C$1354="","",INDEX(_imp!$G$4:$G$1503,_imp!$C$1354))</f>
        <v/>
      </c>
      <c r="F1352" s="47">
        <f>IF(_imp!$C$1354="","",INDEX(_imp!$H$4:$H$1503,_imp!$C$1354))</f>
        <v/>
      </c>
      <c r="G1352" s="47">
        <f>IF(_imp!$C$1354="","",INDEX(_imp!$I$4:$I$1503,_imp!$C$1354))</f>
        <v/>
      </c>
      <c r="K1352" s="47">
        <f>IF(_imp!$C$1354="","",INDEX(_imp!$J$4:$J$1503,_imp!$C$1354))</f>
        <v/>
      </c>
    </row>
    <row r="1353">
      <c r="A1353" s="47">
        <f>IF(_imp!$C$1355="","",INDEX(_imp!$D$4:$D$1503,_imp!$C$1355))</f>
        <v/>
      </c>
      <c r="B1353" s="47">
        <f>IF(_imp!$C$1355="","",INDEX(_imp!$E$4:$E$1503,_imp!$C$1355))</f>
        <v/>
      </c>
      <c r="C1353" s="47">
        <f>IF(_imp!$C$1355="","",INDEX(_imp!$F$4:$F$1503,_imp!$C$1355))</f>
        <v/>
      </c>
      <c r="E1353" s="47">
        <f>IF(_imp!$C$1355="","",INDEX(_imp!$G$4:$G$1503,_imp!$C$1355))</f>
        <v/>
      </c>
      <c r="F1353" s="47">
        <f>IF(_imp!$C$1355="","",INDEX(_imp!$H$4:$H$1503,_imp!$C$1355))</f>
        <v/>
      </c>
      <c r="G1353" s="47">
        <f>IF(_imp!$C$1355="","",INDEX(_imp!$I$4:$I$1503,_imp!$C$1355))</f>
        <v/>
      </c>
      <c r="K1353" s="47">
        <f>IF(_imp!$C$1355="","",INDEX(_imp!$J$4:$J$1503,_imp!$C$1355))</f>
        <v/>
      </c>
    </row>
    <row r="1354">
      <c r="A1354" s="47">
        <f>IF(_imp!$C$1356="","",INDEX(_imp!$D$4:$D$1503,_imp!$C$1356))</f>
        <v/>
      </c>
      <c r="B1354" s="47">
        <f>IF(_imp!$C$1356="","",INDEX(_imp!$E$4:$E$1503,_imp!$C$1356))</f>
        <v/>
      </c>
      <c r="C1354" s="47">
        <f>IF(_imp!$C$1356="","",INDEX(_imp!$F$4:$F$1503,_imp!$C$1356))</f>
        <v/>
      </c>
      <c r="E1354" s="47">
        <f>IF(_imp!$C$1356="","",INDEX(_imp!$G$4:$G$1503,_imp!$C$1356))</f>
        <v/>
      </c>
      <c r="F1354" s="47">
        <f>IF(_imp!$C$1356="","",INDEX(_imp!$H$4:$H$1503,_imp!$C$1356))</f>
        <v/>
      </c>
      <c r="G1354" s="47">
        <f>IF(_imp!$C$1356="","",INDEX(_imp!$I$4:$I$1503,_imp!$C$1356))</f>
        <v/>
      </c>
      <c r="K1354" s="47">
        <f>IF(_imp!$C$1356="","",INDEX(_imp!$J$4:$J$1503,_imp!$C$1356))</f>
        <v/>
      </c>
    </row>
    <row r="1355">
      <c r="A1355" s="47">
        <f>IF(_imp!$C$1357="","",INDEX(_imp!$D$4:$D$1503,_imp!$C$1357))</f>
        <v/>
      </c>
      <c r="B1355" s="47">
        <f>IF(_imp!$C$1357="","",INDEX(_imp!$E$4:$E$1503,_imp!$C$1357))</f>
        <v/>
      </c>
      <c r="C1355" s="47">
        <f>IF(_imp!$C$1357="","",INDEX(_imp!$F$4:$F$1503,_imp!$C$1357))</f>
        <v/>
      </c>
      <c r="E1355" s="47">
        <f>IF(_imp!$C$1357="","",INDEX(_imp!$G$4:$G$1503,_imp!$C$1357))</f>
        <v/>
      </c>
      <c r="F1355" s="47">
        <f>IF(_imp!$C$1357="","",INDEX(_imp!$H$4:$H$1503,_imp!$C$1357))</f>
        <v/>
      </c>
      <c r="G1355" s="47">
        <f>IF(_imp!$C$1357="","",INDEX(_imp!$I$4:$I$1503,_imp!$C$1357))</f>
        <v/>
      </c>
      <c r="K1355" s="47">
        <f>IF(_imp!$C$1357="","",INDEX(_imp!$J$4:$J$1503,_imp!$C$1357))</f>
        <v/>
      </c>
    </row>
    <row r="1356">
      <c r="A1356" s="47">
        <f>IF(_imp!$C$1358="","",INDEX(_imp!$D$4:$D$1503,_imp!$C$1358))</f>
        <v/>
      </c>
      <c r="B1356" s="47">
        <f>IF(_imp!$C$1358="","",INDEX(_imp!$E$4:$E$1503,_imp!$C$1358))</f>
        <v/>
      </c>
      <c r="C1356" s="47">
        <f>IF(_imp!$C$1358="","",INDEX(_imp!$F$4:$F$1503,_imp!$C$1358))</f>
        <v/>
      </c>
      <c r="E1356" s="47">
        <f>IF(_imp!$C$1358="","",INDEX(_imp!$G$4:$G$1503,_imp!$C$1358))</f>
        <v/>
      </c>
      <c r="F1356" s="47">
        <f>IF(_imp!$C$1358="","",INDEX(_imp!$H$4:$H$1503,_imp!$C$1358))</f>
        <v/>
      </c>
      <c r="G1356" s="47">
        <f>IF(_imp!$C$1358="","",INDEX(_imp!$I$4:$I$1503,_imp!$C$1358))</f>
        <v/>
      </c>
      <c r="K1356" s="47">
        <f>IF(_imp!$C$1358="","",INDEX(_imp!$J$4:$J$1503,_imp!$C$1358))</f>
        <v/>
      </c>
    </row>
    <row r="1357">
      <c r="A1357" s="47">
        <f>IF(_imp!$C$1359="","",INDEX(_imp!$D$4:$D$1503,_imp!$C$1359))</f>
        <v/>
      </c>
      <c r="B1357" s="47">
        <f>IF(_imp!$C$1359="","",INDEX(_imp!$E$4:$E$1503,_imp!$C$1359))</f>
        <v/>
      </c>
      <c r="C1357" s="47">
        <f>IF(_imp!$C$1359="","",INDEX(_imp!$F$4:$F$1503,_imp!$C$1359))</f>
        <v/>
      </c>
      <c r="E1357" s="47">
        <f>IF(_imp!$C$1359="","",INDEX(_imp!$G$4:$G$1503,_imp!$C$1359))</f>
        <v/>
      </c>
      <c r="F1357" s="47">
        <f>IF(_imp!$C$1359="","",INDEX(_imp!$H$4:$H$1503,_imp!$C$1359))</f>
        <v/>
      </c>
      <c r="G1357" s="47">
        <f>IF(_imp!$C$1359="","",INDEX(_imp!$I$4:$I$1503,_imp!$C$1359))</f>
        <v/>
      </c>
      <c r="K1357" s="47">
        <f>IF(_imp!$C$1359="","",INDEX(_imp!$J$4:$J$1503,_imp!$C$1359))</f>
        <v/>
      </c>
    </row>
    <row r="1358">
      <c r="A1358" s="47">
        <f>IF(_imp!$C$1360="","",INDEX(_imp!$D$4:$D$1503,_imp!$C$1360))</f>
        <v/>
      </c>
      <c r="B1358" s="47">
        <f>IF(_imp!$C$1360="","",INDEX(_imp!$E$4:$E$1503,_imp!$C$1360))</f>
        <v/>
      </c>
      <c r="C1358" s="47">
        <f>IF(_imp!$C$1360="","",INDEX(_imp!$F$4:$F$1503,_imp!$C$1360))</f>
        <v/>
      </c>
      <c r="E1358" s="47">
        <f>IF(_imp!$C$1360="","",INDEX(_imp!$G$4:$G$1503,_imp!$C$1360))</f>
        <v/>
      </c>
      <c r="F1358" s="47">
        <f>IF(_imp!$C$1360="","",INDEX(_imp!$H$4:$H$1503,_imp!$C$1360))</f>
        <v/>
      </c>
      <c r="G1358" s="47">
        <f>IF(_imp!$C$1360="","",INDEX(_imp!$I$4:$I$1503,_imp!$C$1360))</f>
        <v/>
      </c>
      <c r="K1358" s="47">
        <f>IF(_imp!$C$1360="","",INDEX(_imp!$J$4:$J$1503,_imp!$C$1360))</f>
        <v/>
      </c>
    </row>
    <row r="1359">
      <c r="A1359" s="47">
        <f>IF(_imp!$C$1361="","",INDEX(_imp!$D$4:$D$1503,_imp!$C$1361))</f>
        <v/>
      </c>
      <c r="B1359" s="47">
        <f>IF(_imp!$C$1361="","",INDEX(_imp!$E$4:$E$1503,_imp!$C$1361))</f>
        <v/>
      </c>
      <c r="C1359" s="47">
        <f>IF(_imp!$C$1361="","",INDEX(_imp!$F$4:$F$1503,_imp!$C$1361))</f>
        <v/>
      </c>
      <c r="E1359" s="47">
        <f>IF(_imp!$C$1361="","",INDEX(_imp!$G$4:$G$1503,_imp!$C$1361))</f>
        <v/>
      </c>
      <c r="F1359" s="47">
        <f>IF(_imp!$C$1361="","",INDEX(_imp!$H$4:$H$1503,_imp!$C$1361))</f>
        <v/>
      </c>
      <c r="G1359" s="47">
        <f>IF(_imp!$C$1361="","",INDEX(_imp!$I$4:$I$1503,_imp!$C$1361))</f>
        <v/>
      </c>
      <c r="K1359" s="47">
        <f>IF(_imp!$C$1361="","",INDEX(_imp!$J$4:$J$1503,_imp!$C$1361))</f>
        <v/>
      </c>
    </row>
    <row r="1360">
      <c r="A1360" s="47">
        <f>IF(_imp!$C$1362="","",INDEX(_imp!$D$4:$D$1503,_imp!$C$1362))</f>
        <v/>
      </c>
      <c r="B1360" s="47">
        <f>IF(_imp!$C$1362="","",INDEX(_imp!$E$4:$E$1503,_imp!$C$1362))</f>
        <v/>
      </c>
      <c r="C1360" s="47">
        <f>IF(_imp!$C$1362="","",INDEX(_imp!$F$4:$F$1503,_imp!$C$1362))</f>
        <v/>
      </c>
      <c r="E1360" s="47">
        <f>IF(_imp!$C$1362="","",INDEX(_imp!$G$4:$G$1503,_imp!$C$1362))</f>
        <v/>
      </c>
      <c r="F1360" s="47">
        <f>IF(_imp!$C$1362="","",INDEX(_imp!$H$4:$H$1503,_imp!$C$1362))</f>
        <v/>
      </c>
      <c r="G1360" s="47">
        <f>IF(_imp!$C$1362="","",INDEX(_imp!$I$4:$I$1503,_imp!$C$1362))</f>
        <v/>
      </c>
      <c r="K1360" s="47">
        <f>IF(_imp!$C$1362="","",INDEX(_imp!$J$4:$J$1503,_imp!$C$1362))</f>
        <v/>
      </c>
    </row>
    <row r="1361">
      <c r="A1361" s="47">
        <f>IF(_imp!$C$1363="","",INDEX(_imp!$D$4:$D$1503,_imp!$C$1363))</f>
        <v/>
      </c>
      <c r="B1361" s="47">
        <f>IF(_imp!$C$1363="","",INDEX(_imp!$E$4:$E$1503,_imp!$C$1363))</f>
        <v/>
      </c>
      <c r="C1361" s="47">
        <f>IF(_imp!$C$1363="","",INDEX(_imp!$F$4:$F$1503,_imp!$C$1363))</f>
        <v/>
      </c>
      <c r="E1361" s="47">
        <f>IF(_imp!$C$1363="","",INDEX(_imp!$G$4:$G$1503,_imp!$C$1363))</f>
        <v/>
      </c>
      <c r="F1361" s="47">
        <f>IF(_imp!$C$1363="","",INDEX(_imp!$H$4:$H$1503,_imp!$C$1363))</f>
        <v/>
      </c>
      <c r="G1361" s="47">
        <f>IF(_imp!$C$1363="","",INDEX(_imp!$I$4:$I$1503,_imp!$C$1363))</f>
        <v/>
      </c>
      <c r="K1361" s="47">
        <f>IF(_imp!$C$1363="","",INDEX(_imp!$J$4:$J$1503,_imp!$C$1363))</f>
        <v/>
      </c>
    </row>
    <row r="1362">
      <c r="A1362" s="47">
        <f>IF(_imp!$C$1364="","",INDEX(_imp!$D$4:$D$1503,_imp!$C$1364))</f>
        <v/>
      </c>
      <c r="B1362" s="47">
        <f>IF(_imp!$C$1364="","",INDEX(_imp!$E$4:$E$1503,_imp!$C$1364))</f>
        <v/>
      </c>
      <c r="C1362" s="47">
        <f>IF(_imp!$C$1364="","",INDEX(_imp!$F$4:$F$1503,_imp!$C$1364))</f>
        <v/>
      </c>
      <c r="E1362" s="47">
        <f>IF(_imp!$C$1364="","",INDEX(_imp!$G$4:$G$1503,_imp!$C$1364))</f>
        <v/>
      </c>
      <c r="F1362" s="47">
        <f>IF(_imp!$C$1364="","",INDEX(_imp!$H$4:$H$1503,_imp!$C$1364))</f>
        <v/>
      </c>
      <c r="G1362" s="47">
        <f>IF(_imp!$C$1364="","",INDEX(_imp!$I$4:$I$1503,_imp!$C$1364))</f>
        <v/>
      </c>
      <c r="K1362" s="47">
        <f>IF(_imp!$C$1364="","",INDEX(_imp!$J$4:$J$1503,_imp!$C$1364))</f>
        <v/>
      </c>
    </row>
    <row r="1363">
      <c r="A1363" s="47">
        <f>IF(_imp!$C$1365="","",INDEX(_imp!$D$4:$D$1503,_imp!$C$1365))</f>
        <v/>
      </c>
      <c r="B1363" s="47">
        <f>IF(_imp!$C$1365="","",INDEX(_imp!$E$4:$E$1503,_imp!$C$1365))</f>
        <v/>
      </c>
      <c r="C1363" s="47">
        <f>IF(_imp!$C$1365="","",INDEX(_imp!$F$4:$F$1503,_imp!$C$1365))</f>
        <v/>
      </c>
      <c r="E1363" s="47">
        <f>IF(_imp!$C$1365="","",INDEX(_imp!$G$4:$G$1503,_imp!$C$1365))</f>
        <v/>
      </c>
      <c r="F1363" s="47">
        <f>IF(_imp!$C$1365="","",INDEX(_imp!$H$4:$H$1503,_imp!$C$1365))</f>
        <v/>
      </c>
      <c r="G1363" s="47">
        <f>IF(_imp!$C$1365="","",INDEX(_imp!$I$4:$I$1503,_imp!$C$1365))</f>
        <v/>
      </c>
      <c r="K1363" s="47">
        <f>IF(_imp!$C$1365="","",INDEX(_imp!$J$4:$J$1503,_imp!$C$1365))</f>
        <v/>
      </c>
    </row>
    <row r="1364">
      <c r="A1364" s="47">
        <f>IF(_imp!$C$1366="","",INDEX(_imp!$D$4:$D$1503,_imp!$C$1366))</f>
        <v/>
      </c>
      <c r="B1364" s="47">
        <f>IF(_imp!$C$1366="","",INDEX(_imp!$E$4:$E$1503,_imp!$C$1366))</f>
        <v/>
      </c>
      <c r="C1364" s="47">
        <f>IF(_imp!$C$1366="","",INDEX(_imp!$F$4:$F$1503,_imp!$C$1366))</f>
        <v/>
      </c>
      <c r="E1364" s="47">
        <f>IF(_imp!$C$1366="","",INDEX(_imp!$G$4:$G$1503,_imp!$C$1366))</f>
        <v/>
      </c>
      <c r="F1364" s="47">
        <f>IF(_imp!$C$1366="","",INDEX(_imp!$H$4:$H$1503,_imp!$C$1366))</f>
        <v/>
      </c>
      <c r="G1364" s="47">
        <f>IF(_imp!$C$1366="","",INDEX(_imp!$I$4:$I$1503,_imp!$C$1366))</f>
        <v/>
      </c>
      <c r="K1364" s="47">
        <f>IF(_imp!$C$1366="","",INDEX(_imp!$J$4:$J$1503,_imp!$C$1366))</f>
        <v/>
      </c>
    </row>
    <row r="1365">
      <c r="A1365" s="47">
        <f>IF(_imp!$C$1367="","",INDEX(_imp!$D$4:$D$1503,_imp!$C$1367))</f>
        <v/>
      </c>
      <c r="B1365" s="47">
        <f>IF(_imp!$C$1367="","",INDEX(_imp!$E$4:$E$1503,_imp!$C$1367))</f>
        <v/>
      </c>
      <c r="C1365" s="47">
        <f>IF(_imp!$C$1367="","",INDEX(_imp!$F$4:$F$1503,_imp!$C$1367))</f>
        <v/>
      </c>
      <c r="E1365" s="47">
        <f>IF(_imp!$C$1367="","",INDEX(_imp!$G$4:$G$1503,_imp!$C$1367))</f>
        <v/>
      </c>
      <c r="F1365" s="47">
        <f>IF(_imp!$C$1367="","",INDEX(_imp!$H$4:$H$1503,_imp!$C$1367))</f>
        <v/>
      </c>
      <c r="G1365" s="47">
        <f>IF(_imp!$C$1367="","",INDEX(_imp!$I$4:$I$1503,_imp!$C$1367))</f>
        <v/>
      </c>
      <c r="K1365" s="47">
        <f>IF(_imp!$C$1367="","",INDEX(_imp!$J$4:$J$1503,_imp!$C$1367))</f>
        <v/>
      </c>
    </row>
    <row r="1366">
      <c r="A1366" s="47">
        <f>IF(_imp!$C$1368="","",INDEX(_imp!$D$4:$D$1503,_imp!$C$1368))</f>
        <v/>
      </c>
      <c r="B1366" s="47">
        <f>IF(_imp!$C$1368="","",INDEX(_imp!$E$4:$E$1503,_imp!$C$1368))</f>
        <v/>
      </c>
      <c r="C1366" s="47">
        <f>IF(_imp!$C$1368="","",INDEX(_imp!$F$4:$F$1503,_imp!$C$1368))</f>
        <v/>
      </c>
      <c r="E1366" s="47">
        <f>IF(_imp!$C$1368="","",INDEX(_imp!$G$4:$G$1503,_imp!$C$1368))</f>
        <v/>
      </c>
      <c r="F1366" s="47">
        <f>IF(_imp!$C$1368="","",INDEX(_imp!$H$4:$H$1503,_imp!$C$1368))</f>
        <v/>
      </c>
      <c r="G1366" s="47">
        <f>IF(_imp!$C$1368="","",INDEX(_imp!$I$4:$I$1503,_imp!$C$1368))</f>
        <v/>
      </c>
      <c r="K1366" s="47">
        <f>IF(_imp!$C$1368="","",INDEX(_imp!$J$4:$J$1503,_imp!$C$1368))</f>
        <v/>
      </c>
    </row>
    <row r="1367">
      <c r="A1367" s="47">
        <f>IF(_imp!$C$1369="","",INDEX(_imp!$D$4:$D$1503,_imp!$C$1369))</f>
        <v/>
      </c>
      <c r="B1367" s="47">
        <f>IF(_imp!$C$1369="","",INDEX(_imp!$E$4:$E$1503,_imp!$C$1369))</f>
        <v/>
      </c>
      <c r="C1367" s="47">
        <f>IF(_imp!$C$1369="","",INDEX(_imp!$F$4:$F$1503,_imp!$C$1369))</f>
        <v/>
      </c>
      <c r="E1367" s="47">
        <f>IF(_imp!$C$1369="","",INDEX(_imp!$G$4:$G$1503,_imp!$C$1369))</f>
        <v/>
      </c>
      <c r="F1367" s="47">
        <f>IF(_imp!$C$1369="","",INDEX(_imp!$H$4:$H$1503,_imp!$C$1369))</f>
        <v/>
      </c>
      <c r="G1367" s="47">
        <f>IF(_imp!$C$1369="","",INDEX(_imp!$I$4:$I$1503,_imp!$C$1369))</f>
        <v/>
      </c>
      <c r="K1367" s="47">
        <f>IF(_imp!$C$1369="","",INDEX(_imp!$J$4:$J$1503,_imp!$C$1369))</f>
        <v/>
      </c>
    </row>
    <row r="1368">
      <c r="A1368" s="47">
        <f>IF(_imp!$C$1370="","",INDEX(_imp!$D$4:$D$1503,_imp!$C$1370))</f>
        <v/>
      </c>
      <c r="B1368" s="47">
        <f>IF(_imp!$C$1370="","",INDEX(_imp!$E$4:$E$1503,_imp!$C$1370))</f>
        <v/>
      </c>
      <c r="C1368" s="47">
        <f>IF(_imp!$C$1370="","",INDEX(_imp!$F$4:$F$1503,_imp!$C$1370))</f>
        <v/>
      </c>
      <c r="E1368" s="47">
        <f>IF(_imp!$C$1370="","",INDEX(_imp!$G$4:$G$1503,_imp!$C$1370))</f>
        <v/>
      </c>
      <c r="F1368" s="47">
        <f>IF(_imp!$C$1370="","",INDEX(_imp!$H$4:$H$1503,_imp!$C$1370))</f>
        <v/>
      </c>
      <c r="G1368" s="47">
        <f>IF(_imp!$C$1370="","",INDEX(_imp!$I$4:$I$1503,_imp!$C$1370))</f>
        <v/>
      </c>
      <c r="K1368" s="47">
        <f>IF(_imp!$C$1370="","",INDEX(_imp!$J$4:$J$1503,_imp!$C$1370))</f>
        <v/>
      </c>
    </row>
    <row r="1369">
      <c r="A1369" s="47">
        <f>IF(_imp!$C$1371="","",INDEX(_imp!$D$4:$D$1503,_imp!$C$1371))</f>
        <v/>
      </c>
      <c r="B1369" s="47">
        <f>IF(_imp!$C$1371="","",INDEX(_imp!$E$4:$E$1503,_imp!$C$1371))</f>
        <v/>
      </c>
      <c r="C1369" s="47">
        <f>IF(_imp!$C$1371="","",INDEX(_imp!$F$4:$F$1503,_imp!$C$1371))</f>
        <v/>
      </c>
      <c r="E1369" s="47">
        <f>IF(_imp!$C$1371="","",INDEX(_imp!$G$4:$G$1503,_imp!$C$1371))</f>
        <v/>
      </c>
      <c r="F1369" s="47">
        <f>IF(_imp!$C$1371="","",INDEX(_imp!$H$4:$H$1503,_imp!$C$1371))</f>
        <v/>
      </c>
      <c r="G1369" s="47">
        <f>IF(_imp!$C$1371="","",INDEX(_imp!$I$4:$I$1503,_imp!$C$1371))</f>
        <v/>
      </c>
      <c r="K1369" s="47">
        <f>IF(_imp!$C$1371="","",INDEX(_imp!$J$4:$J$1503,_imp!$C$1371))</f>
        <v/>
      </c>
    </row>
    <row r="1370">
      <c r="A1370" s="47">
        <f>IF(_imp!$C$1372="","",INDEX(_imp!$D$4:$D$1503,_imp!$C$1372))</f>
        <v/>
      </c>
      <c r="B1370" s="47">
        <f>IF(_imp!$C$1372="","",INDEX(_imp!$E$4:$E$1503,_imp!$C$1372))</f>
        <v/>
      </c>
      <c r="C1370" s="47">
        <f>IF(_imp!$C$1372="","",INDEX(_imp!$F$4:$F$1503,_imp!$C$1372))</f>
        <v/>
      </c>
      <c r="E1370" s="47">
        <f>IF(_imp!$C$1372="","",INDEX(_imp!$G$4:$G$1503,_imp!$C$1372))</f>
        <v/>
      </c>
      <c r="F1370" s="47">
        <f>IF(_imp!$C$1372="","",INDEX(_imp!$H$4:$H$1503,_imp!$C$1372))</f>
        <v/>
      </c>
      <c r="G1370" s="47">
        <f>IF(_imp!$C$1372="","",INDEX(_imp!$I$4:$I$1503,_imp!$C$1372))</f>
        <v/>
      </c>
      <c r="K1370" s="47">
        <f>IF(_imp!$C$1372="","",INDEX(_imp!$J$4:$J$1503,_imp!$C$1372))</f>
        <v/>
      </c>
    </row>
    <row r="1371">
      <c r="A1371" s="47">
        <f>IF(_imp!$C$1373="","",INDEX(_imp!$D$4:$D$1503,_imp!$C$1373))</f>
        <v/>
      </c>
      <c r="B1371" s="47">
        <f>IF(_imp!$C$1373="","",INDEX(_imp!$E$4:$E$1503,_imp!$C$1373))</f>
        <v/>
      </c>
      <c r="C1371" s="47">
        <f>IF(_imp!$C$1373="","",INDEX(_imp!$F$4:$F$1503,_imp!$C$1373))</f>
        <v/>
      </c>
      <c r="E1371" s="47">
        <f>IF(_imp!$C$1373="","",INDEX(_imp!$G$4:$G$1503,_imp!$C$1373))</f>
        <v/>
      </c>
      <c r="F1371" s="47">
        <f>IF(_imp!$C$1373="","",INDEX(_imp!$H$4:$H$1503,_imp!$C$1373))</f>
        <v/>
      </c>
      <c r="G1371" s="47">
        <f>IF(_imp!$C$1373="","",INDEX(_imp!$I$4:$I$1503,_imp!$C$1373))</f>
        <v/>
      </c>
      <c r="K1371" s="47">
        <f>IF(_imp!$C$1373="","",INDEX(_imp!$J$4:$J$1503,_imp!$C$1373))</f>
        <v/>
      </c>
    </row>
    <row r="1372">
      <c r="A1372" s="47">
        <f>IF(_imp!$C$1374="","",INDEX(_imp!$D$4:$D$1503,_imp!$C$1374))</f>
        <v/>
      </c>
      <c r="B1372" s="47">
        <f>IF(_imp!$C$1374="","",INDEX(_imp!$E$4:$E$1503,_imp!$C$1374))</f>
        <v/>
      </c>
      <c r="C1372" s="47">
        <f>IF(_imp!$C$1374="","",INDEX(_imp!$F$4:$F$1503,_imp!$C$1374))</f>
        <v/>
      </c>
      <c r="E1372" s="47">
        <f>IF(_imp!$C$1374="","",INDEX(_imp!$G$4:$G$1503,_imp!$C$1374))</f>
        <v/>
      </c>
      <c r="F1372" s="47">
        <f>IF(_imp!$C$1374="","",INDEX(_imp!$H$4:$H$1503,_imp!$C$1374))</f>
        <v/>
      </c>
      <c r="G1372" s="47">
        <f>IF(_imp!$C$1374="","",INDEX(_imp!$I$4:$I$1503,_imp!$C$1374))</f>
        <v/>
      </c>
      <c r="K1372" s="47">
        <f>IF(_imp!$C$1374="","",INDEX(_imp!$J$4:$J$1503,_imp!$C$1374))</f>
        <v/>
      </c>
    </row>
    <row r="1373">
      <c r="A1373" s="47">
        <f>IF(_imp!$C$1375="","",INDEX(_imp!$D$4:$D$1503,_imp!$C$1375))</f>
        <v/>
      </c>
      <c r="B1373" s="47">
        <f>IF(_imp!$C$1375="","",INDEX(_imp!$E$4:$E$1503,_imp!$C$1375))</f>
        <v/>
      </c>
      <c r="C1373" s="47">
        <f>IF(_imp!$C$1375="","",INDEX(_imp!$F$4:$F$1503,_imp!$C$1375))</f>
        <v/>
      </c>
      <c r="E1373" s="47">
        <f>IF(_imp!$C$1375="","",INDEX(_imp!$G$4:$G$1503,_imp!$C$1375))</f>
        <v/>
      </c>
      <c r="F1373" s="47">
        <f>IF(_imp!$C$1375="","",INDEX(_imp!$H$4:$H$1503,_imp!$C$1375))</f>
        <v/>
      </c>
      <c r="G1373" s="47">
        <f>IF(_imp!$C$1375="","",INDEX(_imp!$I$4:$I$1503,_imp!$C$1375))</f>
        <v/>
      </c>
      <c r="K1373" s="47">
        <f>IF(_imp!$C$1375="","",INDEX(_imp!$J$4:$J$1503,_imp!$C$1375))</f>
        <v/>
      </c>
    </row>
    <row r="1374">
      <c r="A1374" s="47">
        <f>IF(_imp!$C$1376="","",INDEX(_imp!$D$4:$D$1503,_imp!$C$1376))</f>
        <v/>
      </c>
      <c r="B1374" s="47">
        <f>IF(_imp!$C$1376="","",INDEX(_imp!$E$4:$E$1503,_imp!$C$1376))</f>
        <v/>
      </c>
      <c r="C1374" s="47">
        <f>IF(_imp!$C$1376="","",INDEX(_imp!$F$4:$F$1503,_imp!$C$1376))</f>
        <v/>
      </c>
      <c r="E1374" s="47">
        <f>IF(_imp!$C$1376="","",INDEX(_imp!$G$4:$G$1503,_imp!$C$1376))</f>
        <v/>
      </c>
      <c r="F1374" s="47">
        <f>IF(_imp!$C$1376="","",INDEX(_imp!$H$4:$H$1503,_imp!$C$1376))</f>
        <v/>
      </c>
      <c r="G1374" s="47">
        <f>IF(_imp!$C$1376="","",INDEX(_imp!$I$4:$I$1503,_imp!$C$1376))</f>
        <v/>
      </c>
      <c r="K1374" s="47">
        <f>IF(_imp!$C$1376="","",INDEX(_imp!$J$4:$J$1503,_imp!$C$1376))</f>
        <v/>
      </c>
    </row>
    <row r="1375">
      <c r="A1375" s="47">
        <f>IF(_imp!$C$1377="","",INDEX(_imp!$D$4:$D$1503,_imp!$C$1377))</f>
        <v/>
      </c>
      <c r="B1375" s="47">
        <f>IF(_imp!$C$1377="","",INDEX(_imp!$E$4:$E$1503,_imp!$C$1377))</f>
        <v/>
      </c>
      <c r="C1375" s="47">
        <f>IF(_imp!$C$1377="","",INDEX(_imp!$F$4:$F$1503,_imp!$C$1377))</f>
        <v/>
      </c>
      <c r="E1375" s="47">
        <f>IF(_imp!$C$1377="","",INDEX(_imp!$G$4:$G$1503,_imp!$C$1377))</f>
        <v/>
      </c>
      <c r="F1375" s="47">
        <f>IF(_imp!$C$1377="","",INDEX(_imp!$H$4:$H$1503,_imp!$C$1377))</f>
        <v/>
      </c>
      <c r="G1375" s="47">
        <f>IF(_imp!$C$1377="","",INDEX(_imp!$I$4:$I$1503,_imp!$C$1377))</f>
        <v/>
      </c>
      <c r="K1375" s="47">
        <f>IF(_imp!$C$1377="","",INDEX(_imp!$J$4:$J$1503,_imp!$C$1377))</f>
        <v/>
      </c>
    </row>
    <row r="1376">
      <c r="A1376" s="47">
        <f>IF(_imp!$C$1378="","",INDEX(_imp!$D$4:$D$1503,_imp!$C$1378))</f>
        <v/>
      </c>
      <c r="B1376" s="47">
        <f>IF(_imp!$C$1378="","",INDEX(_imp!$E$4:$E$1503,_imp!$C$1378))</f>
        <v/>
      </c>
      <c r="C1376" s="47">
        <f>IF(_imp!$C$1378="","",INDEX(_imp!$F$4:$F$1503,_imp!$C$1378))</f>
        <v/>
      </c>
      <c r="E1376" s="47">
        <f>IF(_imp!$C$1378="","",INDEX(_imp!$G$4:$G$1503,_imp!$C$1378))</f>
        <v/>
      </c>
      <c r="F1376" s="47">
        <f>IF(_imp!$C$1378="","",INDEX(_imp!$H$4:$H$1503,_imp!$C$1378))</f>
        <v/>
      </c>
      <c r="G1376" s="47">
        <f>IF(_imp!$C$1378="","",INDEX(_imp!$I$4:$I$1503,_imp!$C$1378))</f>
        <v/>
      </c>
      <c r="K1376" s="47">
        <f>IF(_imp!$C$1378="","",INDEX(_imp!$J$4:$J$1503,_imp!$C$1378))</f>
        <v/>
      </c>
    </row>
    <row r="1377">
      <c r="A1377" s="47">
        <f>IF(_imp!$C$1379="","",INDEX(_imp!$D$4:$D$1503,_imp!$C$1379))</f>
        <v/>
      </c>
      <c r="B1377" s="47">
        <f>IF(_imp!$C$1379="","",INDEX(_imp!$E$4:$E$1503,_imp!$C$1379))</f>
        <v/>
      </c>
      <c r="C1377" s="47">
        <f>IF(_imp!$C$1379="","",INDEX(_imp!$F$4:$F$1503,_imp!$C$1379))</f>
        <v/>
      </c>
      <c r="E1377" s="47">
        <f>IF(_imp!$C$1379="","",INDEX(_imp!$G$4:$G$1503,_imp!$C$1379))</f>
        <v/>
      </c>
      <c r="F1377" s="47">
        <f>IF(_imp!$C$1379="","",INDEX(_imp!$H$4:$H$1503,_imp!$C$1379))</f>
        <v/>
      </c>
      <c r="G1377" s="47">
        <f>IF(_imp!$C$1379="","",INDEX(_imp!$I$4:$I$1503,_imp!$C$1379))</f>
        <v/>
      </c>
      <c r="K1377" s="47">
        <f>IF(_imp!$C$1379="","",INDEX(_imp!$J$4:$J$1503,_imp!$C$1379))</f>
        <v/>
      </c>
    </row>
    <row r="1378">
      <c r="A1378" s="47">
        <f>IF(_imp!$C$1380="","",INDEX(_imp!$D$4:$D$1503,_imp!$C$1380))</f>
        <v/>
      </c>
      <c r="B1378" s="47">
        <f>IF(_imp!$C$1380="","",INDEX(_imp!$E$4:$E$1503,_imp!$C$1380))</f>
        <v/>
      </c>
      <c r="C1378" s="47">
        <f>IF(_imp!$C$1380="","",INDEX(_imp!$F$4:$F$1503,_imp!$C$1380))</f>
        <v/>
      </c>
      <c r="E1378" s="47">
        <f>IF(_imp!$C$1380="","",INDEX(_imp!$G$4:$G$1503,_imp!$C$1380))</f>
        <v/>
      </c>
      <c r="F1378" s="47">
        <f>IF(_imp!$C$1380="","",INDEX(_imp!$H$4:$H$1503,_imp!$C$1380))</f>
        <v/>
      </c>
      <c r="G1378" s="47">
        <f>IF(_imp!$C$1380="","",INDEX(_imp!$I$4:$I$1503,_imp!$C$1380))</f>
        <v/>
      </c>
      <c r="K1378" s="47">
        <f>IF(_imp!$C$1380="","",INDEX(_imp!$J$4:$J$1503,_imp!$C$1380))</f>
        <v/>
      </c>
    </row>
    <row r="1379">
      <c r="A1379" s="47">
        <f>IF(_imp!$C$1381="","",INDEX(_imp!$D$4:$D$1503,_imp!$C$1381))</f>
        <v/>
      </c>
      <c r="B1379" s="47">
        <f>IF(_imp!$C$1381="","",INDEX(_imp!$E$4:$E$1503,_imp!$C$1381))</f>
        <v/>
      </c>
      <c r="C1379" s="47">
        <f>IF(_imp!$C$1381="","",INDEX(_imp!$F$4:$F$1503,_imp!$C$1381))</f>
        <v/>
      </c>
      <c r="E1379" s="47">
        <f>IF(_imp!$C$1381="","",INDEX(_imp!$G$4:$G$1503,_imp!$C$1381))</f>
        <v/>
      </c>
      <c r="F1379" s="47">
        <f>IF(_imp!$C$1381="","",INDEX(_imp!$H$4:$H$1503,_imp!$C$1381))</f>
        <v/>
      </c>
      <c r="G1379" s="47">
        <f>IF(_imp!$C$1381="","",INDEX(_imp!$I$4:$I$1503,_imp!$C$1381))</f>
        <v/>
      </c>
      <c r="K1379" s="47">
        <f>IF(_imp!$C$1381="","",INDEX(_imp!$J$4:$J$1503,_imp!$C$1381))</f>
        <v/>
      </c>
    </row>
    <row r="1380">
      <c r="A1380" s="47">
        <f>IF(_imp!$C$1382="","",INDEX(_imp!$D$4:$D$1503,_imp!$C$1382))</f>
        <v/>
      </c>
      <c r="B1380" s="47">
        <f>IF(_imp!$C$1382="","",INDEX(_imp!$E$4:$E$1503,_imp!$C$1382))</f>
        <v/>
      </c>
      <c r="C1380" s="47">
        <f>IF(_imp!$C$1382="","",INDEX(_imp!$F$4:$F$1503,_imp!$C$1382))</f>
        <v/>
      </c>
      <c r="E1380" s="47">
        <f>IF(_imp!$C$1382="","",INDEX(_imp!$G$4:$G$1503,_imp!$C$1382))</f>
        <v/>
      </c>
      <c r="F1380" s="47">
        <f>IF(_imp!$C$1382="","",INDEX(_imp!$H$4:$H$1503,_imp!$C$1382))</f>
        <v/>
      </c>
      <c r="G1380" s="47">
        <f>IF(_imp!$C$1382="","",INDEX(_imp!$I$4:$I$1503,_imp!$C$1382))</f>
        <v/>
      </c>
      <c r="K1380" s="47">
        <f>IF(_imp!$C$1382="","",INDEX(_imp!$J$4:$J$1503,_imp!$C$1382))</f>
        <v/>
      </c>
    </row>
    <row r="1381">
      <c r="A1381" s="47">
        <f>IF(_imp!$C$1383="","",INDEX(_imp!$D$4:$D$1503,_imp!$C$1383))</f>
        <v/>
      </c>
      <c r="B1381" s="47">
        <f>IF(_imp!$C$1383="","",INDEX(_imp!$E$4:$E$1503,_imp!$C$1383))</f>
        <v/>
      </c>
      <c r="C1381" s="47">
        <f>IF(_imp!$C$1383="","",INDEX(_imp!$F$4:$F$1503,_imp!$C$1383))</f>
        <v/>
      </c>
      <c r="E1381" s="47">
        <f>IF(_imp!$C$1383="","",INDEX(_imp!$G$4:$G$1503,_imp!$C$1383))</f>
        <v/>
      </c>
      <c r="F1381" s="47">
        <f>IF(_imp!$C$1383="","",INDEX(_imp!$H$4:$H$1503,_imp!$C$1383))</f>
        <v/>
      </c>
      <c r="G1381" s="47">
        <f>IF(_imp!$C$1383="","",INDEX(_imp!$I$4:$I$1503,_imp!$C$1383))</f>
        <v/>
      </c>
      <c r="K1381" s="47">
        <f>IF(_imp!$C$1383="","",INDEX(_imp!$J$4:$J$1503,_imp!$C$1383))</f>
        <v/>
      </c>
    </row>
    <row r="1382">
      <c r="A1382" s="47">
        <f>IF(_imp!$C$1384="","",INDEX(_imp!$D$4:$D$1503,_imp!$C$1384))</f>
        <v/>
      </c>
      <c r="B1382" s="47">
        <f>IF(_imp!$C$1384="","",INDEX(_imp!$E$4:$E$1503,_imp!$C$1384))</f>
        <v/>
      </c>
      <c r="C1382" s="47">
        <f>IF(_imp!$C$1384="","",INDEX(_imp!$F$4:$F$1503,_imp!$C$1384))</f>
        <v/>
      </c>
      <c r="E1382" s="47">
        <f>IF(_imp!$C$1384="","",INDEX(_imp!$G$4:$G$1503,_imp!$C$1384))</f>
        <v/>
      </c>
      <c r="F1382" s="47">
        <f>IF(_imp!$C$1384="","",INDEX(_imp!$H$4:$H$1503,_imp!$C$1384))</f>
        <v/>
      </c>
      <c r="G1382" s="47">
        <f>IF(_imp!$C$1384="","",INDEX(_imp!$I$4:$I$1503,_imp!$C$1384))</f>
        <v/>
      </c>
      <c r="K1382" s="47">
        <f>IF(_imp!$C$1384="","",INDEX(_imp!$J$4:$J$1503,_imp!$C$1384))</f>
        <v/>
      </c>
    </row>
    <row r="1383">
      <c r="A1383" s="47">
        <f>IF(_imp!$C$1385="","",INDEX(_imp!$D$4:$D$1503,_imp!$C$1385))</f>
        <v/>
      </c>
      <c r="B1383" s="47">
        <f>IF(_imp!$C$1385="","",INDEX(_imp!$E$4:$E$1503,_imp!$C$1385))</f>
        <v/>
      </c>
      <c r="C1383" s="47">
        <f>IF(_imp!$C$1385="","",INDEX(_imp!$F$4:$F$1503,_imp!$C$1385))</f>
        <v/>
      </c>
      <c r="E1383" s="47">
        <f>IF(_imp!$C$1385="","",INDEX(_imp!$G$4:$G$1503,_imp!$C$1385))</f>
        <v/>
      </c>
      <c r="F1383" s="47">
        <f>IF(_imp!$C$1385="","",INDEX(_imp!$H$4:$H$1503,_imp!$C$1385))</f>
        <v/>
      </c>
      <c r="G1383" s="47">
        <f>IF(_imp!$C$1385="","",INDEX(_imp!$I$4:$I$1503,_imp!$C$1385))</f>
        <v/>
      </c>
      <c r="K1383" s="47">
        <f>IF(_imp!$C$1385="","",INDEX(_imp!$J$4:$J$1503,_imp!$C$1385))</f>
        <v/>
      </c>
    </row>
    <row r="1384">
      <c r="A1384" s="47">
        <f>IF(_imp!$C$1386="","",INDEX(_imp!$D$4:$D$1503,_imp!$C$1386))</f>
        <v/>
      </c>
      <c r="B1384" s="47">
        <f>IF(_imp!$C$1386="","",INDEX(_imp!$E$4:$E$1503,_imp!$C$1386))</f>
        <v/>
      </c>
      <c r="C1384" s="47">
        <f>IF(_imp!$C$1386="","",INDEX(_imp!$F$4:$F$1503,_imp!$C$1386))</f>
        <v/>
      </c>
      <c r="E1384" s="47">
        <f>IF(_imp!$C$1386="","",INDEX(_imp!$G$4:$G$1503,_imp!$C$1386))</f>
        <v/>
      </c>
      <c r="F1384" s="47">
        <f>IF(_imp!$C$1386="","",INDEX(_imp!$H$4:$H$1503,_imp!$C$1386))</f>
        <v/>
      </c>
      <c r="G1384" s="47">
        <f>IF(_imp!$C$1386="","",INDEX(_imp!$I$4:$I$1503,_imp!$C$1386))</f>
        <v/>
      </c>
      <c r="K1384" s="47">
        <f>IF(_imp!$C$1386="","",INDEX(_imp!$J$4:$J$1503,_imp!$C$1386))</f>
        <v/>
      </c>
    </row>
    <row r="1385">
      <c r="A1385" s="47">
        <f>IF(_imp!$C$1387="","",INDEX(_imp!$D$4:$D$1503,_imp!$C$1387))</f>
        <v/>
      </c>
      <c r="B1385" s="47">
        <f>IF(_imp!$C$1387="","",INDEX(_imp!$E$4:$E$1503,_imp!$C$1387))</f>
        <v/>
      </c>
      <c r="C1385" s="47">
        <f>IF(_imp!$C$1387="","",INDEX(_imp!$F$4:$F$1503,_imp!$C$1387))</f>
        <v/>
      </c>
      <c r="E1385" s="47">
        <f>IF(_imp!$C$1387="","",INDEX(_imp!$G$4:$G$1503,_imp!$C$1387))</f>
        <v/>
      </c>
      <c r="F1385" s="47">
        <f>IF(_imp!$C$1387="","",INDEX(_imp!$H$4:$H$1503,_imp!$C$1387))</f>
        <v/>
      </c>
      <c r="G1385" s="47">
        <f>IF(_imp!$C$1387="","",INDEX(_imp!$I$4:$I$1503,_imp!$C$1387))</f>
        <v/>
      </c>
      <c r="K1385" s="47">
        <f>IF(_imp!$C$1387="","",INDEX(_imp!$J$4:$J$1503,_imp!$C$1387))</f>
        <v/>
      </c>
    </row>
    <row r="1386">
      <c r="A1386" s="47">
        <f>IF(_imp!$C$1388="","",INDEX(_imp!$D$4:$D$1503,_imp!$C$1388))</f>
        <v/>
      </c>
      <c r="B1386" s="47">
        <f>IF(_imp!$C$1388="","",INDEX(_imp!$E$4:$E$1503,_imp!$C$1388))</f>
        <v/>
      </c>
      <c r="C1386" s="47">
        <f>IF(_imp!$C$1388="","",INDEX(_imp!$F$4:$F$1503,_imp!$C$1388))</f>
        <v/>
      </c>
      <c r="E1386" s="47">
        <f>IF(_imp!$C$1388="","",INDEX(_imp!$G$4:$G$1503,_imp!$C$1388))</f>
        <v/>
      </c>
      <c r="F1386" s="47">
        <f>IF(_imp!$C$1388="","",INDEX(_imp!$H$4:$H$1503,_imp!$C$1388))</f>
        <v/>
      </c>
      <c r="G1386" s="47">
        <f>IF(_imp!$C$1388="","",INDEX(_imp!$I$4:$I$1503,_imp!$C$1388))</f>
        <v/>
      </c>
      <c r="K1386" s="47">
        <f>IF(_imp!$C$1388="","",INDEX(_imp!$J$4:$J$1503,_imp!$C$1388))</f>
        <v/>
      </c>
    </row>
    <row r="1387">
      <c r="A1387" s="47">
        <f>IF(_imp!$C$1389="","",INDEX(_imp!$D$4:$D$1503,_imp!$C$1389))</f>
        <v/>
      </c>
      <c r="B1387" s="47">
        <f>IF(_imp!$C$1389="","",INDEX(_imp!$E$4:$E$1503,_imp!$C$1389))</f>
        <v/>
      </c>
      <c r="C1387" s="47">
        <f>IF(_imp!$C$1389="","",INDEX(_imp!$F$4:$F$1503,_imp!$C$1389))</f>
        <v/>
      </c>
      <c r="E1387" s="47">
        <f>IF(_imp!$C$1389="","",INDEX(_imp!$G$4:$G$1503,_imp!$C$1389))</f>
        <v/>
      </c>
      <c r="F1387" s="47">
        <f>IF(_imp!$C$1389="","",INDEX(_imp!$H$4:$H$1503,_imp!$C$1389))</f>
        <v/>
      </c>
      <c r="G1387" s="47">
        <f>IF(_imp!$C$1389="","",INDEX(_imp!$I$4:$I$1503,_imp!$C$1389))</f>
        <v/>
      </c>
      <c r="K1387" s="47">
        <f>IF(_imp!$C$1389="","",INDEX(_imp!$J$4:$J$1503,_imp!$C$1389))</f>
        <v/>
      </c>
    </row>
    <row r="1388">
      <c r="A1388" s="47">
        <f>IF(_imp!$C$1390="","",INDEX(_imp!$D$4:$D$1503,_imp!$C$1390))</f>
        <v/>
      </c>
      <c r="B1388" s="47">
        <f>IF(_imp!$C$1390="","",INDEX(_imp!$E$4:$E$1503,_imp!$C$1390))</f>
        <v/>
      </c>
      <c r="C1388" s="47">
        <f>IF(_imp!$C$1390="","",INDEX(_imp!$F$4:$F$1503,_imp!$C$1390))</f>
        <v/>
      </c>
      <c r="E1388" s="47">
        <f>IF(_imp!$C$1390="","",INDEX(_imp!$G$4:$G$1503,_imp!$C$1390))</f>
        <v/>
      </c>
      <c r="F1388" s="47">
        <f>IF(_imp!$C$1390="","",INDEX(_imp!$H$4:$H$1503,_imp!$C$1390))</f>
        <v/>
      </c>
      <c r="G1388" s="47">
        <f>IF(_imp!$C$1390="","",INDEX(_imp!$I$4:$I$1503,_imp!$C$1390))</f>
        <v/>
      </c>
      <c r="K1388" s="47">
        <f>IF(_imp!$C$1390="","",INDEX(_imp!$J$4:$J$1503,_imp!$C$1390))</f>
        <v/>
      </c>
    </row>
    <row r="1389">
      <c r="A1389" s="47">
        <f>IF(_imp!$C$1391="","",INDEX(_imp!$D$4:$D$1503,_imp!$C$1391))</f>
        <v/>
      </c>
      <c r="B1389" s="47">
        <f>IF(_imp!$C$1391="","",INDEX(_imp!$E$4:$E$1503,_imp!$C$1391))</f>
        <v/>
      </c>
      <c r="C1389" s="47">
        <f>IF(_imp!$C$1391="","",INDEX(_imp!$F$4:$F$1503,_imp!$C$1391))</f>
        <v/>
      </c>
      <c r="E1389" s="47">
        <f>IF(_imp!$C$1391="","",INDEX(_imp!$G$4:$G$1503,_imp!$C$1391))</f>
        <v/>
      </c>
      <c r="F1389" s="47">
        <f>IF(_imp!$C$1391="","",INDEX(_imp!$H$4:$H$1503,_imp!$C$1391))</f>
        <v/>
      </c>
      <c r="G1389" s="47">
        <f>IF(_imp!$C$1391="","",INDEX(_imp!$I$4:$I$1503,_imp!$C$1391))</f>
        <v/>
      </c>
      <c r="K1389" s="47">
        <f>IF(_imp!$C$1391="","",INDEX(_imp!$J$4:$J$1503,_imp!$C$1391))</f>
        <v/>
      </c>
    </row>
    <row r="1390">
      <c r="A1390" s="47">
        <f>IF(_imp!$C$1392="","",INDEX(_imp!$D$4:$D$1503,_imp!$C$1392))</f>
        <v/>
      </c>
      <c r="B1390" s="47">
        <f>IF(_imp!$C$1392="","",INDEX(_imp!$E$4:$E$1503,_imp!$C$1392))</f>
        <v/>
      </c>
      <c r="C1390" s="47">
        <f>IF(_imp!$C$1392="","",INDEX(_imp!$F$4:$F$1503,_imp!$C$1392))</f>
        <v/>
      </c>
      <c r="E1390" s="47">
        <f>IF(_imp!$C$1392="","",INDEX(_imp!$G$4:$G$1503,_imp!$C$1392))</f>
        <v/>
      </c>
      <c r="F1390" s="47">
        <f>IF(_imp!$C$1392="","",INDEX(_imp!$H$4:$H$1503,_imp!$C$1392))</f>
        <v/>
      </c>
      <c r="G1390" s="47">
        <f>IF(_imp!$C$1392="","",INDEX(_imp!$I$4:$I$1503,_imp!$C$1392))</f>
        <v/>
      </c>
      <c r="K1390" s="47">
        <f>IF(_imp!$C$1392="","",INDEX(_imp!$J$4:$J$1503,_imp!$C$1392))</f>
        <v/>
      </c>
    </row>
    <row r="1391">
      <c r="A1391" s="47">
        <f>IF(_imp!$C$1393="","",INDEX(_imp!$D$4:$D$1503,_imp!$C$1393))</f>
        <v/>
      </c>
      <c r="B1391" s="47">
        <f>IF(_imp!$C$1393="","",INDEX(_imp!$E$4:$E$1503,_imp!$C$1393))</f>
        <v/>
      </c>
      <c r="C1391" s="47">
        <f>IF(_imp!$C$1393="","",INDEX(_imp!$F$4:$F$1503,_imp!$C$1393))</f>
        <v/>
      </c>
      <c r="E1391" s="47">
        <f>IF(_imp!$C$1393="","",INDEX(_imp!$G$4:$G$1503,_imp!$C$1393))</f>
        <v/>
      </c>
      <c r="F1391" s="47">
        <f>IF(_imp!$C$1393="","",INDEX(_imp!$H$4:$H$1503,_imp!$C$1393))</f>
        <v/>
      </c>
      <c r="G1391" s="47">
        <f>IF(_imp!$C$1393="","",INDEX(_imp!$I$4:$I$1503,_imp!$C$1393))</f>
        <v/>
      </c>
      <c r="K1391" s="47">
        <f>IF(_imp!$C$1393="","",INDEX(_imp!$J$4:$J$1503,_imp!$C$1393))</f>
        <v/>
      </c>
    </row>
    <row r="1392">
      <c r="A1392" s="47">
        <f>IF(_imp!$C$1394="","",INDEX(_imp!$D$4:$D$1503,_imp!$C$1394))</f>
        <v/>
      </c>
      <c r="B1392" s="47">
        <f>IF(_imp!$C$1394="","",INDEX(_imp!$E$4:$E$1503,_imp!$C$1394))</f>
        <v/>
      </c>
      <c r="C1392" s="47">
        <f>IF(_imp!$C$1394="","",INDEX(_imp!$F$4:$F$1503,_imp!$C$1394))</f>
        <v/>
      </c>
      <c r="E1392" s="47">
        <f>IF(_imp!$C$1394="","",INDEX(_imp!$G$4:$G$1503,_imp!$C$1394))</f>
        <v/>
      </c>
      <c r="F1392" s="47">
        <f>IF(_imp!$C$1394="","",INDEX(_imp!$H$4:$H$1503,_imp!$C$1394))</f>
        <v/>
      </c>
      <c r="G1392" s="47">
        <f>IF(_imp!$C$1394="","",INDEX(_imp!$I$4:$I$1503,_imp!$C$1394))</f>
        <v/>
      </c>
      <c r="K1392" s="47">
        <f>IF(_imp!$C$1394="","",INDEX(_imp!$J$4:$J$1503,_imp!$C$1394))</f>
        <v/>
      </c>
    </row>
    <row r="1393">
      <c r="A1393" s="47">
        <f>IF(_imp!$C$1395="","",INDEX(_imp!$D$4:$D$1503,_imp!$C$1395))</f>
        <v/>
      </c>
      <c r="B1393" s="47">
        <f>IF(_imp!$C$1395="","",INDEX(_imp!$E$4:$E$1503,_imp!$C$1395))</f>
        <v/>
      </c>
      <c r="C1393" s="47">
        <f>IF(_imp!$C$1395="","",INDEX(_imp!$F$4:$F$1503,_imp!$C$1395))</f>
        <v/>
      </c>
      <c r="E1393" s="47">
        <f>IF(_imp!$C$1395="","",INDEX(_imp!$G$4:$G$1503,_imp!$C$1395))</f>
        <v/>
      </c>
      <c r="F1393" s="47">
        <f>IF(_imp!$C$1395="","",INDEX(_imp!$H$4:$H$1503,_imp!$C$1395))</f>
        <v/>
      </c>
      <c r="G1393" s="47">
        <f>IF(_imp!$C$1395="","",INDEX(_imp!$I$4:$I$1503,_imp!$C$1395))</f>
        <v/>
      </c>
      <c r="K1393" s="47">
        <f>IF(_imp!$C$1395="","",INDEX(_imp!$J$4:$J$1503,_imp!$C$1395))</f>
        <v/>
      </c>
    </row>
    <row r="1394">
      <c r="A1394" s="47">
        <f>IF(_imp!$C$1396="","",INDEX(_imp!$D$4:$D$1503,_imp!$C$1396))</f>
        <v/>
      </c>
      <c r="B1394" s="47">
        <f>IF(_imp!$C$1396="","",INDEX(_imp!$E$4:$E$1503,_imp!$C$1396))</f>
        <v/>
      </c>
      <c r="C1394" s="47">
        <f>IF(_imp!$C$1396="","",INDEX(_imp!$F$4:$F$1503,_imp!$C$1396))</f>
        <v/>
      </c>
      <c r="E1394" s="47">
        <f>IF(_imp!$C$1396="","",INDEX(_imp!$G$4:$G$1503,_imp!$C$1396))</f>
        <v/>
      </c>
      <c r="F1394" s="47">
        <f>IF(_imp!$C$1396="","",INDEX(_imp!$H$4:$H$1503,_imp!$C$1396))</f>
        <v/>
      </c>
      <c r="G1394" s="47">
        <f>IF(_imp!$C$1396="","",INDEX(_imp!$I$4:$I$1503,_imp!$C$1396))</f>
        <v/>
      </c>
      <c r="K1394" s="47">
        <f>IF(_imp!$C$1396="","",INDEX(_imp!$J$4:$J$1503,_imp!$C$1396))</f>
        <v/>
      </c>
    </row>
    <row r="1395">
      <c r="A1395" s="47">
        <f>IF(_imp!$C$1397="","",INDEX(_imp!$D$4:$D$1503,_imp!$C$1397))</f>
        <v/>
      </c>
      <c r="B1395" s="47">
        <f>IF(_imp!$C$1397="","",INDEX(_imp!$E$4:$E$1503,_imp!$C$1397))</f>
        <v/>
      </c>
      <c r="C1395" s="47">
        <f>IF(_imp!$C$1397="","",INDEX(_imp!$F$4:$F$1503,_imp!$C$1397))</f>
        <v/>
      </c>
      <c r="E1395" s="47">
        <f>IF(_imp!$C$1397="","",INDEX(_imp!$G$4:$G$1503,_imp!$C$1397))</f>
        <v/>
      </c>
      <c r="F1395" s="47">
        <f>IF(_imp!$C$1397="","",INDEX(_imp!$H$4:$H$1503,_imp!$C$1397))</f>
        <v/>
      </c>
      <c r="G1395" s="47">
        <f>IF(_imp!$C$1397="","",INDEX(_imp!$I$4:$I$1503,_imp!$C$1397))</f>
        <v/>
      </c>
      <c r="K1395" s="47">
        <f>IF(_imp!$C$1397="","",INDEX(_imp!$J$4:$J$1503,_imp!$C$1397))</f>
        <v/>
      </c>
    </row>
    <row r="1396">
      <c r="A1396" s="47">
        <f>IF(_imp!$C$1398="","",INDEX(_imp!$D$4:$D$1503,_imp!$C$1398))</f>
        <v/>
      </c>
      <c r="B1396" s="47">
        <f>IF(_imp!$C$1398="","",INDEX(_imp!$E$4:$E$1503,_imp!$C$1398))</f>
        <v/>
      </c>
      <c r="C1396" s="47">
        <f>IF(_imp!$C$1398="","",INDEX(_imp!$F$4:$F$1503,_imp!$C$1398))</f>
        <v/>
      </c>
      <c r="E1396" s="47">
        <f>IF(_imp!$C$1398="","",INDEX(_imp!$G$4:$G$1503,_imp!$C$1398))</f>
        <v/>
      </c>
      <c r="F1396" s="47">
        <f>IF(_imp!$C$1398="","",INDEX(_imp!$H$4:$H$1503,_imp!$C$1398))</f>
        <v/>
      </c>
      <c r="G1396" s="47">
        <f>IF(_imp!$C$1398="","",INDEX(_imp!$I$4:$I$1503,_imp!$C$1398))</f>
        <v/>
      </c>
      <c r="K1396" s="47">
        <f>IF(_imp!$C$1398="","",INDEX(_imp!$J$4:$J$1503,_imp!$C$1398))</f>
        <v/>
      </c>
    </row>
    <row r="1397">
      <c r="A1397" s="47">
        <f>IF(_imp!$C$1399="","",INDEX(_imp!$D$4:$D$1503,_imp!$C$1399))</f>
        <v/>
      </c>
      <c r="B1397" s="47">
        <f>IF(_imp!$C$1399="","",INDEX(_imp!$E$4:$E$1503,_imp!$C$1399))</f>
        <v/>
      </c>
      <c r="C1397" s="47">
        <f>IF(_imp!$C$1399="","",INDEX(_imp!$F$4:$F$1503,_imp!$C$1399))</f>
        <v/>
      </c>
      <c r="E1397" s="47">
        <f>IF(_imp!$C$1399="","",INDEX(_imp!$G$4:$G$1503,_imp!$C$1399))</f>
        <v/>
      </c>
      <c r="F1397" s="47">
        <f>IF(_imp!$C$1399="","",INDEX(_imp!$H$4:$H$1503,_imp!$C$1399))</f>
        <v/>
      </c>
      <c r="G1397" s="47">
        <f>IF(_imp!$C$1399="","",INDEX(_imp!$I$4:$I$1503,_imp!$C$1399))</f>
        <v/>
      </c>
      <c r="K1397" s="47">
        <f>IF(_imp!$C$1399="","",INDEX(_imp!$J$4:$J$1503,_imp!$C$1399))</f>
        <v/>
      </c>
    </row>
    <row r="1398">
      <c r="A1398" s="47">
        <f>IF(_imp!$C$1400="","",INDEX(_imp!$D$4:$D$1503,_imp!$C$1400))</f>
        <v/>
      </c>
      <c r="B1398" s="47">
        <f>IF(_imp!$C$1400="","",INDEX(_imp!$E$4:$E$1503,_imp!$C$1400))</f>
        <v/>
      </c>
      <c r="C1398" s="47">
        <f>IF(_imp!$C$1400="","",INDEX(_imp!$F$4:$F$1503,_imp!$C$1400))</f>
        <v/>
      </c>
      <c r="E1398" s="47">
        <f>IF(_imp!$C$1400="","",INDEX(_imp!$G$4:$G$1503,_imp!$C$1400))</f>
        <v/>
      </c>
      <c r="F1398" s="47">
        <f>IF(_imp!$C$1400="","",INDEX(_imp!$H$4:$H$1503,_imp!$C$1400))</f>
        <v/>
      </c>
      <c r="G1398" s="47">
        <f>IF(_imp!$C$1400="","",INDEX(_imp!$I$4:$I$1503,_imp!$C$1400))</f>
        <v/>
      </c>
      <c r="K1398" s="47">
        <f>IF(_imp!$C$1400="","",INDEX(_imp!$J$4:$J$1503,_imp!$C$1400))</f>
        <v/>
      </c>
    </row>
    <row r="1399">
      <c r="A1399" s="47">
        <f>IF(_imp!$C$1401="","",INDEX(_imp!$D$4:$D$1503,_imp!$C$1401))</f>
        <v/>
      </c>
      <c r="B1399" s="47">
        <f>IF(_imp!$C$1401="","",INDEX(_imp!$E$4:$E$1503,_imp!$C$1401))</f>
        <v/>
      </c>
      <c r="C1399" s="47">
        <f>IF(_imp!$C$1401="","",INDEX(_imp!$F$4:$F$1503,_imp!$C$1401))</f>
        <v/>
      </c>
      <c r="E1399" s="47">
        <f>IF(_imp!$C$1401="","",INDEX(_imp!$G$4:$G$1503,_imp!$C$1401))</f>
        <v/>
      </c>
      <c r="F1399" s="47">
        <f>IF(_imp!$C$1401="","",INDEX(_imp!$H$4:$H$1503,_imp!$C$1401))</f>
        <v/>
      </c>
      <c r="G1399" s="47">
        <f>IF(_imp!$C$1401="","",INDEX(_imp!$I$4:$I$1503,_imp!$C$1401))</f>
        <v/>
      </c>
      <c r="K1399" s="47">
        <f>IF(_imp!$C$1401="","",INDEX(_imp!$J$4:$J$1503,_imp!$C$1401))</f>
        <v/>
      </c>
    </row>
    <row r="1400">
      <c r="A1400" s="47">
        <f>IF(_imp!$C$1402="","",INDEX(_imp!$D$4:$D$1503,_imp!$C$1402))</f>
        <v/>
      </c>
      <c r="B1400" s="47">
        <f>IF(_imp!$C$1402="","",INDEX(_imp!$E$4:$E$1503,_imp!$C$1402))</f>
        <v/>
      </c>
      <c r="C1400" s="47">
        <f>IF(_imp!$C$1402="","",INDEX(_imp!$F$4:$F$1503,_imp!$C$1402))</f>
        <v/>
      </c>
      <c r="E1400" s="47">
        <f>IF(_imp!$C$1402="","",INDEX(_imp!$G$4:$G$1503,_imp!$C$1402))</f>
        <v/>
      </c>
      <c r="F1400" s="47">
        <f>IF(_imp!$C$1402="","",INDEX(_imp!$H$4:$H$1503,_imp!$C$1402))</f>
        <v/>
      </c>
      <c r="G1400" s="47">
        <f>IF(_imp!$C$1402="","",INDEX(_imp!$I$4:$I$1503,_imp!$C$1402))</f>
        <v/>
      </c>
      <c r="K1400" s="47">
        <f>IF(_imp!$C$1402="","",INDEX(_imp!$J$4:$J$1503,_imp!$C$1402))</f>
        <v/>
      </c>
    </row>
    <row r="1401">
      <c r="A1401" s="47">
        <f>IF(_imp!$C$1403="","",INDEX(_imp!$D$4:$D$1503,_imp!$C$1403))</f>
        <v/>
      </c>
      <c r="B1401" s="47">
        <f>IF(_imp!$C$1403="","",INDEX(_imp!$E$4:$E$1503,_imp!$C$1403))</f>
        <v/>
      </c>
      <c r="C1401" s="47">
        <f>IF(_imp!$C$1403="","",INDEX(_imp!$F$4:$F$1503,_imp!$C$1403))</f>
        <v/>
      </c>
      <c r="E1401" s="47">
        <f>IF(_imp!$C$1403="","",INDEX(_imp!$G$4:$G$1503,_imp!$C$1403))</f>
        <v/>
      </c>
      <c r="F1401" s="47">
        <f>IF(_imp!$C$1403="","",INDEX(_imp!$H$4:$H$1503,_imp!$C$1403))</f>
        <v/>
      </c>
      <c r="G1401" s="47">
        <f>IF(_imp!$C$1403="","",INDEX(_imp!$I$4:$I$1503,_imp!$C$1403))</f>
        <v/>
      </c>
      <c r="K1401" s="47">
        <f>IF(_imp!$C$1403="","",INDEX(_imp!$J$4:$J$1503,_imp!$C$1403))</f>
        <v/>
      </c>
    </row>
    <row r="1402">
      <c r="A1402" s="47">
        <f>IF(_imp!$C$1404="","",INDEX(_imp!$D$4:$D$1503,_imp!$C$1404))</f>
        <v/>
      </c>
      <c r="B1402" s="47">
        <f>IF(_imp!$C$1404="","",INDEX(_imp!$E$4:$E$1503,_imp!$C$1404))</f>
        <v/>
      </c>
      <c r="C1402" s="47">
        <f>IF(_imp!$C$1404="","",INDEX(_imp!$F$4:$F$1503,_imp!$C$1404))</f>
        <v/>
      </c>
      <c r="E1402" s="47">
        <f>IF(_imp!$C$1404="","",INDEX(_imp!$G$4:$G$1503,_imp!$C$1404))</f>
        <v/>
      </c>
      <c r="F1402" s="47">
        <f>IF(_imp!$C$1404="","",INDEX(_imp!$H$4:$H$1503,_imp!$C$1404))</f>
        <v/>
      </c>
      <c r="G1402" s="47">
        <f>IF(_imp!$C$1404="","",INDEX(_imp!$I$4:$I$1503,_imp!$C$1404))</f>
        <v/>
      </c>
      <c r="K1402" s="47">
        <f>IF(_imp!$C$1404="","",INDEX(_imp!$J$4:$J$1503,_imp!$C$1404))</f>
        <v/>
      </c>
    </row>
    <row r="1403">
      <c r="A1403" s="47">
        <f>IF(_imp!$C$1405="","",INDEX(_imp!$D$4:$D$1503,_imp!$C$1405))</f>
        <v/>
      </c>
      <c r="B1403" s="47">
        <f>IF(_imp!$C$1405="","",INDEX(_imp!$E$4:$E$1503,_imp!$C$1405))</f>
        <v/>
      </c>
      <c r="C1403" s="47">
        <f>IF(_imp!$C$1405="","",INDEX(_imp!$F$4:$F$1503,_imp!$C$1405))</f>
        <v/>
      </c>
      <c r="E1403" s="47">
        <f>IF(_imp!$C$1405="","",INDEX(_imp!$G$4:$G$1503,_imp!$C$1405))</f>
        <v/>
      </c>
      <c r="F1403" s="47">
        <f>IF(_imp!$C$1405="","",INDEX(_imp!$H$4:$H$1503,_imp!$C$1405))</f>
        <v/>
      </c>
      <c r="G1403" s="47">
        <f>IF(_imp!$C$1405="","",INDEX(_imp!$I$4:$I$1503,_imp!$C$1405))</f>
        <v/>
      </c>
      <c r="K1403" s="47">
        <f>IF(_imp!$C$1405="","",INDEX(_imp!$J$4:$J$1503,_imp!$C$1405))</f>
        <v/>
      </c>
    </row>
    <row r="1404">
      <c r="A1404" s="47">
        <f>IF(_imp!$C$1406="","",INDEX(_imp!$D$4:$D$1503,_imp!$C$1406))</f>
        <v/>
      </c>
      <c r="B1404" s="47">
        <f>IF(_imp!$C$1406="","",INDEX(_imp!$E$4:$E$1503,_imp!$C$1406))</f>
        <v/>
      </c>
      <c r="C1404" s="47">
        <f>IF(_imp!$C$1406="","",INDEX(_imp!$F$4:$F$1503,_imp!$C$1406))</f>
        <v/>
      </c>
      <c r="E1404" s="47">
        <f>IF(_imp!$C$1406="","",INDEX(_imp!$G$4:$G$1503,_imp!$C$1406))</f>
        <v/>
      </c>
      <c r="F1404" s="47">
        <f>IF(_imp!$C$1406="","",INDEX(_imp!$H$4:$H$1503,_imp!$C$1406))</f>
        <v/>
      </c>
      <c r="G1404" s="47">
        <f>IF(_imp!$C$1406="","",INDEX(_imp!$I$4:$I$1503,_imp!$C$1406))</f>
        <v/>
      </c>
      <c r="K1404" s="47">
        <f>IF(_imp!$C$1406="","",INDEX(_imp!$J$4:$J$1503,_imp!$C$1406))</f>
        <v/>
      </c>
    </row>
    <row r="1405">
      <c r="A1405" s="47">
        <f>IF(_imp!$C$1407="","",INDEX(_imp!$D$4:$D$1503,_imp!$C$1407))</f>
        <v/>
      </c>
      <c r="B1405" s="47">
        <f>IF(_imp!$C$1407="","",INDEX(_imp!$E$4:$E$1503,_imp!$C$1407))</f>
        <v/>
      </c>
      <c r="C1405" s="47">
        <f>IF(_imp!$C$1407="","",INDEX(_imp!$F$4:$F$1503,_imp!$C$1407))</f>
        <v/>
      </c>
      <c r="E1405" s="47">
        <f>IF(_imp!$C$1407="","",INDEX(_imp!$G$4:$G$1503,_imp!$C$1407))</f>
        <v/>
      </c>
      <c r="F1405" s="47">
        <f>IF(_imp!$C$1407="","",INDEX(_imp!$H$4:$H$1503,_imp!$C$1407))</f>
        <v/>
      </c>
      <c r="G1405" s="47">
        <f>IF(_imp!$C$1407="","",INDEX(_imp!$I$4:$I$1503,_imp!$C$1407))</f>
        <v/>
      </c>
      <c r="K1405" s="47">
        <f>IF(_imp!$C$1407="","",INDEX(_imp!$J$4:$J$1503,_imp!$C$1407))</f>
        <v/>
      </c>
    </row>
    <row r="1406">
      <c r="A1406" s="47">
        <f>IF(_imp!$C$1408="","",INDEX(_imp!$D$4:$D$1503,_imp!$C$1408))</f>
        <v/>
      </c>
      <c r="B1406" s="47">
        <f>IF(_imp!$C$1408="","",INDEX(_imp!$E$4:$E$1503,_imp!$C$1408))</f>
        <v/>
      </c>
      <c r="C1406" s="47">
        <f>IF(_imp!$C$1408="","",INDEX(_imp!$F$4:$F$1503,_imp!$C$1408))</f>
        <v/>
      </c>
      <c r="E1406" s="47">
        <f>IF(_imp!$C$1408="","",INDEX(_imp!$G$4:$G$1503,_imp!$C$1408))</f>
        <v/>
      </c>
      <c r="F1406" s="47">
        <f>IF(_imp!$C$1408="","",INDEX(_imp!$H$4:$H$1503,_imp!$C$1408))</f>
        <v/>
      </c>
      <c r="G1406" s="47">
        <f>IF(_imp!$C$1408="","",INDEX(_imp!$I$4:$I$1503,_imp!$C$1408))</f>
        <v/>
      </c>
      <c r="K1406" s="47">
        <f>IF(_imp!$C$1408="","",INDEX(_imp!$J$4:$J$1503,_imp!$C$1408))</f>
        <v/>
      </c>
    </row>
    <row r="1407">
      <c r="A1407" s="47">
        <f>IF(_imp!$C$1409="","",INDEX(_imp!$D$4:$D$1503,_imp!$C$1409))</f>
        <v/>
      </c>
      <c r="B1407" s="47">
        <f>IF(_imp!$C$1409="","",INDEX(_imp!$E$4:$E$1503,_imp!$C$1409))</f>
        <v/>
      </c>
      <c r="C1407" s="47">
        <f>IF(_imp!$C$1409="","",INDEX(_imp!$F$4:$F$1503,_imp!$C$1409))</f>
        <v/>
      </c>
      <c r="E1407" s="47">
        <f>IF(_imp!$C$1409="","",INDEX(_imp!$G$4:$G$1503,_imp!$C$1409))</f>
        <v/>
      </c>
      <c r="F1407" s="47">
        <f>IF(_imp!$C$1409="","",INDEX(_imp!$H$4:$H$1503,_imp!$C$1409))</f>
        <v/>
      </c>
      <c r="G1407" s="47">
        <f>IF(_imp!$C$1409="","",INDEX(_imp!$I$4:$I$1503,_imp!$C$1409))</f>
        <v/>
      </c>
      <c r="K1407" s="47">
        <f>IF(_imp!$C$1409="","",INDEX(_imp!$J$4:$J$1503,_imp!$C$1409))</f>
        <v/>
      </c>
    </row>
    <row r="1408">
      <c r="A1408" s="47">
        <f>IF(_imp!$C$1410="","",INDEX(_imp!$D$4:$D$1503,_imp!$C$1410))</f>
        <v/>
      </c>
      <c r="B1408" s="47">
        <f>IF(_imp!$C$1410="","",INDEX(_imp!$E$4:$E$1503,_imp!$C$1410))</f>
        <v/>
      </c>
      <c r="C1408" s="47">
        <f>IF(_imp!$C$1410="","",INDEX(_imp!$F$4:$F$1503,_imp!$C$1410))</f>
        <v/>
      </c>
      <c r="E1408" s="47">
        <f>IF(_imp!$C$1410="","",INDEX(_imp!$G$4:$G$1503,_imp!$C$1410))</f>
        <v/>
      </c>
      <c r="F1408" s="47">
        <f>IF(_imp!$C$1410="","",INDEX(_imp!$H$4:$H$1503,_imp!$C$1410))</f>
        <v/>
      </c>
      <c r="G1408" s="47">
        <f>IF(_imp!$C$1410="","",INDEX(_imp!$I$4:$I$1503,_imp!$C$1410))</f>
        <v/>
      </c>
      <c r="K1408" s="47">
        <f>IF(_imp!$C$1410="","",INDEX(_imp!$J$4:$J$1503,_imp!$C$1410))</f>
        <v/>
      </c>
    </row>
    <row r="1409">
      <c r="A1409" s="47">
        <f>IF(_imp!$C$1411="","",INDEX(_imp!$D$4:$D$1503,_imp!$C$1411))</f>
        <v/>
      </c>
      <c r="B1409" s="47">
        <f>IF(_imp!$C$1411="","",INDEX(_imp!$E$4:$E$1503,_imp!$C$1411))</f>
        <v/>
      </c>
      <c r="C1409" s="47">
        <f>IF(_imp!$C$1411="","",INDEX(_imp!$F$4:$F$1503,_imp!$C$1411))</f>
        <v/>
      </c>
      <c r="E1409" s="47">
        <f>IF(_imp!$C$1411="","",INDEX(_imp!$G$4:$G$1503,_imp!$C$1411))</f>
        <v/>
      </c>
      <c r="F1409" s="47">
        <f>IF(_imp!$C$1411="","",INDEX(_imp!$H$4:$H$1503,_imp!$C$1411))</f>
        <v/>
      </c>
      <c r="G1409" s="47">
        <f>IF(_imp!$C$1411="","",INDEX(_imp!$I$4:$I$1503,_imp!$C$1411))</f>
        <v/>
      </c>
      <c r="K1409" s="47">
        <f>IF(_imp!$C$1411="","",INDEX(_imp!$J$4:$J$1503,_imp!$C$1411))</f>
        <v/>
      </c>
    </row>
    <row r="1410">
      <c r="A1410" s="47">
        <f>IF(_imp!$C$1412="","",INDEX(_imp!$D$4:$D$1503,_imp!$C$1412))</f>
        <v/>
      </c>
      <c r="B1410" s="47">
        <f>IF(_imp!$C$1412="","",INDEX(_imp!$E$4:$E$1503,_imp!$C$1412))</f>
        <v/>
      </c>
      <c r="C1410" s="47">
        <f>IF(_imp!$C$1412="","",INDEX(_imp!$F$4:$F$1503,_imp!$C$1412))</f>
        <v/>
      </c>
      <c r="E1410" s="47">
        <f>IF(_imp!$C$1412="","",INDEX(_imp!$G$4:$G$1503,_imp!$C$1412))</f>
        <v/>
      </c>
      <c r="F1410" s="47">
        <f>IF(_imp!$C$1412="","",INDEX(_imp!$H$4:$H$1503,_imp!$C$1412))</f>
        <v/>
      </c>
      <c r="G1410" s="47">
        <f>IF(_imp!$C$1412="","",INDEX(_imp!$I$4:$I$1503,_imp!$C$1412))</f>
        <v/>
      </c>
      <c r="K1410" s="47">
        <f>IF(_imp!$C$1412="","",INDEX(_imp!$J$4:$J$1503,_imp!$C$1412))</f>
        <v/>
      </c>
    </row>
    <row r="1411">
      <c r="A1411" s="47">
        <f>IF(_imp!$C$1413="","",INDEX(_imp!$D$4:$D$1503,_imp!$C$1413))</f>
        <v/>
      </c>
      <c r="B1411" s="47">
        <f>IF(_imp!$C$1413="","",INDEX(_imp!$E$4:$E$1503,_imp!$C$1413))</f>
        <v/>
      </c>
      <c r="C1411" s="47">
        <f>IF(_imp!$C$1413="","",INDEX(_imp!$F$4:$F$1503,_imp!$C$1413))</f>
        <v/>
      </c>
      <c r="E1411" s="47">
        <f>IF(_imp!$C$1413="","",INDEX(_imp!$G$4:$G$1503,_imp!$C$1413))</f>
        <v/>
      </c>
      <c r="F1411" s="47">
        <f>IF(_imp!$C$1413="","",INDEX(_imp!$H$4:$H$1503,_imp!$C$1413))</f>
        <v/>
      </c>
      <c r="G1411" s="47">
        <f>IF(_imp!$C$1413="","",INDEX(_imp!$I$4:$I$1503,_imp!$C$1413))</f>
        <v/>
      </c>
      <c r="K1411" s="47">
        <f>IF(_imp!$C$1413="","",INDEX(_imp!$J$4:$J$1503,_imp!$C$1413))</f>
        <v/>
      </c>
    </row>
    <row r="1412">
      <c r="A1412" s="47">
        <f>IF(_imp!$C$1414="","",INDEX(_imp!$D$4:$D$1503,_imp!$C$1414))</f>
        <v/>
      </c>
      <c r="B1412" s="47">
        <f>IF(_imp!$C$1414="","",INDEX(_imp!$E$4:$E$1503,_imp!$C$1414))</f>
        <v/>
      </c>
      <c r="C1412" s="47">
        <f>IF(_imp!$C$1414="","",INDEX(_imp!$F$4:$F$1503,_imp!$C$1414))</f>
        <v/>
      </c>
      <c r="E1412" s="47">
        <f>IF(_imp!$C$1414="","",INDEX(_imp!$G$4:$G$1503,_imp!$C$1414))</f>
        <v/>
      </c>
      <c r="F1412" s="47">
        <f>IF(_imp!$C$1414="","",INDEX(_imp!$H$4:$H$1503,_imp!$C$1414))</f>
        <v/>
      </c>
      <c r="G1412" s="47">
        <f>IF(_imp!$C$1414="","",INDEX(_imp!$I$4:$I$1503,_imp!$C$1414))</f>
        <v/>
      </c>
      <c r="K1412" s="47">
        <f>IF(_imp!$C$1414="","",INDEX(_imp!$J$4:$J$1503,_imp!$C$1414))</f>
        <v/>
      </c>
    </row>
    <row r="1413">
      <c r="A1413" s="47">
        <f>IF(_imp!$C$1415="","",INDEX(_imp!$D$4:$D$1503,_imp!$C$1415))</f>
        <v/>
      </c>
      <c r="B1413" s="47">
        <f>IF(_imp!$C$1415="","",INDEX(_imp!$E$4:$E$1503,_imp!$C$1415))</f>
        <v/>
      </c>
      <c r="C1413" s="47">
        <f>IF(_imp!$C$1415="","",INDEX(_imp!$F$4:$F$1503,_imp!$C$1415))</f>
        <v/>
      </c>
      <c r="E1413" s="47">
        <f>IF(_imp!$C$1415="","",INDEX(_imp!$G$4:$G$1503,_imp!$C$1415))</f>
        <v/>
      </c>
      <c r="F1413" s="47">
        <f>IF(_imp!$C$1415="","",INDEX(_imp!$H$4:$H$1503,_imp!$C$1415))</f>
        <v/>
      </c>
      <c r="G1413" s="47">
        <f>IF(_imp!$C$1415="","",INDEX(_imp!$I$4:$I$1503,_imp!$C$1415))</f>
        <v/>
      </c>
      <c r="K1413" s="47">
        <f>IF(_imp!$C$1415="","",INDEX(_imp!$J$4:$J$1503,_imp!$C$1415))</f>
        <v/>
      </c>
    </row>
    <row r="1414">
      <c r="A1414" s="47">
        <f>IF(_imp!$C$1416="","",INDEX(_imp!$D$4:$D$1503,_imp!$C$1416))</f>
        <v/>
      </c>
      <c r="B1414" s="47">
        <f>IF(_imp!$C$1416="","",INDEX(_imp!$E$4:$E$1503,_imp!$C$1416))</f>
        <v/>
      </c>
      <c r="C1414" s="47">
        <f>IF(_imp!$C$1416="","",INDEX(_imp!$F$4:$F$1503,_imp!$C$1416))</f>
        <v/>
      </c>
      <c r="E1414" s="47">
        <f>IF(_imp!$C$1416="","",INDEX(_imp!$G$4:$G$1503,_imp!$C$1416))</f>
        <v/>
      </c>
      <c r="F1414" s="47">
        <f>IF(_imp!$C$1416="","",INDEX(_imp!$H$4:$H$1503,_imp!$C$1416))</f>
        <v/>
      </c>
      <c r="G1414" s="47">
        <f>IF(_imp!$C$1416="","",INDEX(_imp!$I$4:$I$1503,_imp!$C$1416))</f>
        <v/>
      </c>
      <c r="K1414" s="47">
        <f>IF(_imp!$C$1416="","",INDEX(_imp!$J$4:$J$1503,_imp!$C$1416))</f>
        <v/>
      </c>
    </row>
    <row r="1415">
      <c r="A1415" s="47">
        <f>IF(_imp!$C$1417="","",INDEX(_imp!$D$4:$D$1503,_imp!$C$1417))</f>
        <v/>
      </c>
      <c r="B1415" s="47">
        <f>IF(_imp!$C$1417="","",INDEX(_imp!$E$4:$E$1503,_imp!$C$1417))</f>
        <v/>
      </c>
      <c r="C1415" s="47">
        <f>IF(_imp!$C$1417="","",INDEX(_imp!$F$4:$F$1503,_imp!$C$1417))</f>
        <v/>
      </c>
      <c r="E1415" s="47">
        <f>IF(_imp!$C$1417="","",INDEX(_imp!$G$4:$G$1503,_imp!$C$1417))</f>
        <v/>
      </c>
      <c r="F1415" s="47">
        <f>IF(_imp!$C$1417="","",INDEX(_imp!$H$4:$H$1503,_imp!$C$1417))</f>
        <v/>
      </c>
      <c r="G1415" s="47">
        <f>IF(_imp!$C$1417="","",INDEX(_imp!$I$4:$I$1503,_imp!$C$1417))</f>
        <v/>
      </c>
      <c r="K1415" s="47">
        <f>IF(_imp!$C$1417="","",INDEX(_imp!$J$4:$J$1503,_imp!$C$1417))</f>
        <v/>
      </c>
    </row>
    <row r="1416">
      <c r="A1416" s="47">
        <f>IF(_imp!$C$1418="","",INDEX(_imp!$D$4:$D$1503,_imp!$C$1418))</f>
        <v/>
      </c>
      <c r="B1416" s="47">
        <f>IF(_imp!$C$1418="","",INDEX(_imp!$E$4:$E$1503,_imp!$C$1418))</f>
        <v/>
      </c>
      <c r="C1416" s="47">
        <f>IF(_imp!$C$1418="","",INDEX(_imp!$F$4:$F$1503,_imp!$C$1418))</f>
        <v/>
      </c>
      <c r="E1416" s="47">
        <f>IF(_imp!$C$1418="","",INDEX(_imp!$G$4:$G$1503,_imp!$C$1418))</f>
        <v/>
      </c>
      <c r="F1416" s="47">
        <f>IF(_imp!$C$1418="","",INDEX(_imp!$H$4:$H$1503,_imp!$C$1418))</f>
        <v/>
      </c>
      <c r="G1416" s="47">
        <f>IF(_imp!$C$1418="","",INDEX(_imp!$I$4:$I$1503,_imp!$C$1418))</f>
        <v/>
      </c>
      <c r="K1416" s="47">
        <f>IF(_imp!$C$1418="","",INDEX(_imp!$J$4:$J$1503,_imp!$C$1418))</f>
        <v/>
      </c>
    </row>
    <row r="1417">
      <c r="A1417" s="47">
        <f>IF(_imp!$C$1419="","",INDEX(_imp!$D$4:$D$1503,_imp!$C$1419))</f>
        <v/>
      </c>
      <c r="B1417" s="47">
        <f>IF(_imp!$C$1419="","",INDEX(_imp!$E$4:$E$1503,_imp!$C$1419))</f>
        <v/>
      </c>
      <c r="C1417" s="47">
        <f>IF(_imp!$C$1419="","",INDEX(_imp!$F$4:$F$1503,_imp!$C$1419))</f>
        <v/>
      </c>
      <c r="E1417" s="47">
        <f>IF(_imp!$C$1419="","",INDEX(_imp!$G$4:$G$1503,_imp!$C$1419))</f>
        <v/>
      </c>
      <c r="F1417" s="47">
        <f>IF(_imp!$C$1419="","",INDEX(_imp!$H$4:$H$1503,_imp!$C$1419))</f>
        <v/>
      </c>
      <c r="G1417" s="47">
        <f>IF(_imp!$C$1419="","",INDEX(_imp!$I$4:$I$1503,_imp!$C$1419))</f>
        <v/>
      </c>
      <c r="K1417" s="47">
        <f>IF(_imp!$C$1419="","",INDEX(_imp!$J$4:$J$1503,_imp!$C$1419))</f>
        <v/>
      </c>
    </row>
    <row r="1418">
      <c r="A1418" s="47">
        <f>IF(_imp!$C$1420="","",INDEX(_imp!$D$4:$D$1503,_imp!$C$1420))</f>
        <v/>
      </c>
      <c r="B1418" s="47">
        <f>IF(_imp!$C$1420="","",INDEX(_imp!$E$4:$E$1503,_imp!$C$1420))</f>
        <v/>
      </c>
      <c r="C1418" s="47">
        <f>IF(_imp!$C$1420="","",INDEX(_imp!$F$4:$F$1503,_imp!$C$1420))</f>
        <v/>
      </c>
      <c r="E1418" s="47">
        <f>IF(_imp!$C$1420="","",INDEX(_imp!$G$4:$G$1503,_imp!$C$1420))</f>
        <v/>
      </c>
      <c r="F1418" s="47">
        <f>IF(_imp!$C$1420="","",INDEX(_imp!$H$4:$H$1503,_imp!$C$1420))</f>
        <v/>
      </c>
      <c r="G1418" s="47">
        <f>IF(_imp!$C$1420="","",INDEX(_imp!$I$4:$I$1503,_imp!$C$1420))</f>
        <v/>
      </c>
      <c r="K1418" s="47">
        <f>IF(_imp!$C$1420="","",INDEX(_imp!$J$4:$J$1503,_imp!$C$1420))</f>
        <v/>
      </c>
    </row>
    <row r="1419">
      <c r="A1419" s="47">
        <f>IF(_imp!$C$1421="","",INDEX(_imp!$D$4:$D$1503,_imp!$C$1421))</f>
        <v/>
      </c>
      <c r="B1419" s="47">
        <f>IF(_imp!$C$1421="","",INDEX(_imp!$E$4:$E$1503,_imp!$C$1421))</f>
        <v/>
      </c>
      <c r="C1419" s="47">
        <f>IF(_imp!$C$1421="","",INDEX(_imp!$F$4:$F$1503,_imp!$C$1421))</f>
        <v/>
      </c>
      <c r="E1419" s="47">
        <f>IF(_imp!$C$1421="","",INDEX(_imp!$G$4:$G$1503,_imp!$C$1421))</f>
        <v/>
      </c>
      <c r="F1419" s="47">
        <f>IF(_imp!$C$1421="","",INDEX(_imp!$H$4:$H$1503,_imp!$C$1421))</f>
        <v/>
      </c>
      <c r="G1419" s="47">
        <f>IF(_imp!$C$1421="","",INDEX(_imp!$I$4:$I$1503,_imp!$C$1421))</f>
        <v/>
      </c>
      <c r="K1419" s="47">
        <f>IF(_imp!$C$1421="","",INDEX(_imp!$J$4:$J$1503,_imp!$C$1421))</f>
        <v/>
      </c>
    </row>
    <row r="1420">
      <c r="A1420" s="47">
        <f>IF(_imp!$C$1422="","",INDEX(_imp!$D$4:$D$1503,_imp!$C$1422))</f>
        <v/>
      </c>
      <c r="B1420" s="47">
        <f>IF(_imp!$C$1422="","",INDEX(_imp!$E$4:$E$1503,_imp!$C$1422))</f>
        <v/>
      </c>
      <c r="C1420" s="47">
        <f>IF(_imp!$C$1422="","",INDEX(_imp!$F$4:$F$1503,_imp!$C$1422))</f>
        <v/>
      </c>
      <c r="E1420" s="47">
        <f>IF(_imp!$C$1422="","",INDEX(_imp!$G$4:$G$1503,_imp!$C$1422))</f>
        <v/>
      </c>
      <c r="F1420" s="47">
        <f>IF(_imp!$C$1422="","",INDEX(_imp!$H$4:$H$1503,_imp!$C$1422))</f>
        <v/>
      </c>
      <c r="G1420" s="47">
        <f>IF(_imp!$C$1422="","",INDEX(_imp!$I$4:$I$1503,_imp!$C$1422))</f>
        <v/>
      </c>
      <c r="K1420" s="47">
        <f>IF(_imp!$C$1422="","",INDEX(_imp!$J$4:$J$1503,_imp!$C$1422))</f>
        <v/>
      </c>
    </row>
    <row r="1421">
      <c r="A1421" s="47">
        <f>IF(_imp!$C$1423="","",INDEX(_imp!$D$4:$D$1503,_imp!$C$1423))</f>
        <v/>
      </c>
      <c r="B1421" s="47">
        <f>IF(_imp!$C$1423="","",INDEX(_imp!$E$4:$E$1503,_imp!$C$1423))</f>
        <v/>
      </c>
      <c r="C1421" s="47">
        <f>IF(_imp!$C$1423="","",INDEX(_imp!$F$4:$F$1503,_imp!$C$1423))</f>
        <v/>
      </c>
      <c r="E1421" s="47">
        <f>IF(_imp!$C$1423="","",INDEX(_imp!$G$4:$G$1503,_imp!$C$1423))</f>
        <v/>
      </c>
      <c r="F1421" s="47">
        <f>IF(_imp!$C$1423="","",INDEX(_imp!$H$4:$H$1503,_imp!$C$1423))</f>
        <v/>
      </c>
      <c r="G1421" s="47">
        <f>IF(_imp!$C$1423="","",INDEX(_imp!$I$4:$I$1503,_imp!$C$1423))</f>
        <v/>
      </c>
      <c r="K1421" s="47">
        <f>IF(_imp!$C$1423="","",INDEX(_imp!$J$4:$J$1503,_imp!$C$1423))</f>
        <v/>
      </c>
    </row>
    <row r="1422">
      <c r="A1422" s="47">
        <f>IF(_imp!$C$1424="","",INDEX(_imp!$D$4:$D$1503,_imp!$C$1424))</f>
        <v/>
      </c>
      <c r="B1422" s="47">
        <f>IF(_imp!$C$1424="","",INDEX(_imp!$E$4:$E$1503,_imp!$C$1424))</f>
        <v/>
      </c>
      <c r="C1422" s="47">
        <f>IF(_imp!$C$1424="","",INDEX(_imp!$F$4:$F$1503,_imp!$C$1424))</f>
        <v/>
      </c>
      <c r="E1422" s="47">
        <f>IF(_imp!$C$1424="","",INDEX(_imp!$G$4:$G$1503,_imp!$C$1424))</f>
        <v/>
      </c>
      <c r="F1422" s="47">
        <f>IF(_imp!$C$1424="","",INDEX(_imp!$H$4:$H$1503,_imp!$C$1424))</f>
        <v/>
      </c>
      <c r="G1422" s="47">
        <f>IF(_imp!$C$1424="","",INDEX(_imp!$I$4:$I$1503,_imp!$C$1424))</f>
        <v/>
      </c>
      <c r="K1422" s="47">
        <f>IF(_imp!$C$1424="","",INDEX(_imp!$J$4:$J$1503,_imp!$C$1424))</f>
        <v/>
      </c>
    </row>
    <row r="1423">
      <c r="A1423" s="47">
        <f>IF(_imp!$C$1425="","",INDEX(_imp!$D$4:$D$1503,_imp!$C$1425))</f>
        <v/>
      </c>
      <c r="B1423" s="47">
        <f>IF(_imp!$C$1425="","",INDEX(_imp!$E$4:$E$1503,_imp!$C$1425))</f>
        <v/>
      </c>
      <c r="C1423" s="47">
        <f>IF(_imp!$C$1425="","",INDEX(_imp!$F$4:$F$1503,_imp!$C$1425))</f>
        <v/>
      </c>
      <c r="E1423" s="47">
        <f>IF(_imp!$C$1425="","",INDEX(_imp!$G$4:$G$1503,_imp!$C$1425))</f>
        <v/>
      </c>
      <c r="F1423" s="47">
        <f>IF(_imp!$C$1425="","",INDEX(_imp!$H$4:$H$1503,_imp!$C$1425))</f>
        <v/>
      </c>
      <c r="G1423" s="47">
        <f>IF(_imp!$C$1425="","",INDEX(_imp!$I$4:$I$1503,_imp!$C$1425))</f>
        <v/>
      </c>
      <c r="K1423" s="47">
        <f>IF(_imp!$C$1425="","",INDEX(_imp!$J$4:$J$1503,_imp!$C$1425))</f>
        <v/>
      </c>
    </row>
    <row r="1424">
      <c r="A1424" s="47">
        <f>IF(_imp!$C$1426="","",INDEX(_imp!$D$4:$D$1503,_imp!$C$1426))</f>
        <v/>
      </c>
      <c r="B1424" s="47">
        <f>IF(_imp!$C$1426="","",INDEX(_imp!$E$4:$E$1503,_imp!$C$1426))</f>
        <v/>
      </c>
      <c r="C1424" s="47">
        <f>IF(_imp!$C$1426="","",INDEX(_imp!$F$4:$F$1503,_imp!$C$1426))</f>
        <v/>
      </c>
      <c r="E1424" s="47">
        <f>IF(_imp!$C$1426="","",INDEX(_imp!$G$4:$G$1503,_imp!$C$1426))</f>
        <v/>
      </c>
      <c r="F1424" s="47">
        <f>IF(_imp!$C$1426="","",INDEX(_imp!$H$4:$H$1503,_imp!$C$1426))</f>
        <v/>
      </c>
      <c r="G1424" s="47">
        <f>IF(_imp!$C$1426="","",INDEX(_imp!$I$4:$I$1503,_imp!$C$1426))</f>
        <v/>
      </c>
      <c r="K1424" s="47">
        <f>IF(_imp!$C$1426="","",INDEX(_imp!$J$4:$J$1503,_imp!$C$1426))</f>
        <v/>
      </c>
    </row>
    <row r="1425">
      <c r="A1425" s="47">
        <f>IF(_imp!$C$1427="","",INDEX(_imp!$D$4:$D$1503,_imp!$C$1427))</f>
        <v/>
      </c>
      <c r="B1425" s="47">
        <f>IF(_imp!$C$1427="","",INDEX(_imp!$E$4:$E$1503,_imp!$C$1427))</f>
        <v/>
      </c>
      <c r="C1425" s="47">
        <f>IF(_imp!$C$1427="","",INDEX(_imp!$F$4:$F$1503,_imp!$C$1427))</f>
        <v/>
      </c>
      <c r="E1425" s="47">
        <f>IF(_imp!$C$1427="","",INDEX(_imp!$G$4:$G$1503,_imp!$C$1427))</f>
        <v/>
      </c>
      <c r="F1425" s="47">
        <f>IF(_imp!$C$1427="","",INDEX(_imp!$H$4:$H$1503,_imp!$C$1427))</f>
        <v/>
      </c>
      <c r="G1425" s="47">
        <f>IF(_imp!$C$1427="","",INDEX(_imp!$I$4:$I$1503,_imp!$C$1427))</f>
        <v/>
      </c>
      <c r="K1425" s="47">
        <f>IF(_imp!$C$1427="","",INDEX(_imp!$J$4:$J$1503,_imp!$C$1427))</f>
        <v/>
      </c>
    </row>
    <row r="1426">
      <c r="A1426" s="47">
        <f>IF(_imp!$C$1428="","",INDEX(_imp!$D$4:$D$1503,_imp!$C$1428))</f>
        <v/>
      </c>
      <c r="B1426" s="47">
        <f>IF(_imp!$C$1428="","",INDEX(_imp!$E$4:$E$1503,_imp!$C$1428))</f>
        <v/>
      </c>
      <c r="C1426" s="47">
        <f>IF(_imp!$C$1428="","",INDEX(_imp!$F$4:$F$1503,_imp!$C$1428))</f>
        <v/>
      </c>
      <c r="E1426" s="47">
        <f>IF(_imp!$C$1428="","",INDEX(_imp!$G$4:$G$1503,_imp!$C$1428))</f>
        <v/>
      </c>
      <c r="F1426" s="47">
        <f>IF(_imp!$C$1428="","",INDEX(_imp!$H$4:$H$1503,_imp!$C$1428))</f>
        <v/>
      </c>
      <c r="G1426" s="47">
        <f>IF(_imp!$C$1428="","",INDEX(_imp!$I$4:$I$1503,_imp!$C$1428))</f>
        <v/>
      </c>
      <c r="K1426" s="47">
        <f>IF(_imp!$C$1428="","",INDEX(_imp!$J$4:$J$1503,_imp!$C$1428))</f>
        <v/>
      </c>
    </row>
    <row r="1427">
      <c r="A1427" s="47">
        <f>IF(_imp!$C$1429="","",INDEX(_imp!$D$4:$D$1503,_imp!$C$1429))</f>
        <v/>
      </c>
      <c r="B1427" s="47">
        <f>IF(_imp!$C$1429="","",INDEX(_imp!$E$4:$E$1503,_imp!$C$1429))</f>
        <v/>
      </c>
      <c r="C1427" s="47">
        <f>IF(_imp!$C$1429="","",INDEX(_imp!$F$4:$F$1503,_imp!$C$1429))</f>
        <v/>
      </c>
      <c r="E1427" s="47">
        <f>IF(_imp!$C$1429="","",INDEX(_imp!$G$4:$G$1503,_imp!$C$1429))</f>
        <v/>
      </c>
      <c r="F1427" s="47">
        <f>IF(_imp!$C$1429="","",INDEX(_imp!$H$4:$H$1503,_imp!$C$1429))</f>
        <v/>
      </c>
      <c r="G1427" s="47">
        <f>IF(_imp!$C$1429="","",INDEX(_imp!$I$4:$I$1503,_imp!$C$1429))</f>
        <v/>
      </c>
      <c r="K1427" s="47">
        <f>IF(_imp!$C$1429="","",INDEX(_imp!$J$4:$J$1503,_imp!$C$1429))</f>
        <v/>
      </c>
    </row>
    <row r="1428">
      <c r="A1428" s="47">
        <f>IF(_imp!$C$1430="","",INDEX(_imp!$D$4:$D$1503,_imp!$C$1430))</f>
        <v/>
      </c>
      <c r="B1428" s="47">
        <f>IF(_imp!$C$1430="","",INDEX(_imp!$E$4:$E$1503,_imp!$C$1430))</f>
        <v/>
      </c>
      <c r="C1428" s="47">
        <f>IF(_imp!$C$1430="","",INDEX(_imp!$F$4:$F$1503,_imp!$C$1430))</f>
        <v/>
      </c>
      <c r="E1428" s="47">
        <f>IF(_imp!$C$1430="","",INDEX(_imp!$G$4:$G$1503,_imp!$C$1430))</f>
        <v/>
      </c>
      <c r="F1428" s="47">
        <f>IF(_imp!$C$1430="","",INDEX(_imp!$H$4:$H$1503,_imp!$C$1430))</f>
        <v/>
      </c>
      <c r="G1428" s="47">
        <f>IF(_imp!$C$1430="","",INDEX(_imp!$I$4:$I$1503,_imp!$C$1430))</f>
        <v/>
      </c>
      <c r="K1428" s="47">
        <f>IF(_imp!$C$1430="","",INDEX(_imp!$J$4:$J$1503,_imp!$C$1430))</f>
        <v/>
      </c>
    </row>
    <row r="1429">
      <c r="A1429" s="47">
        <f>IF(_imp!$C$1431="","",INDEX(_imp!$D$4:$D$1503,_imp!$C$1431))</f>
        <v/>
      </c>
      <c r="B1429" s="47">
        <f>IF(_imp!$C$1431="","",INDEX(_imp!$E$4:$E$1503,_imp!$C$1431))</f>
        <v/>
      </c>
      <c r="C1429" s="47">
        <f>IF(_imp!$C$1431="","",INDEX(_imp!$F$4:$F$1503,_imp!$C$1431))</f>
        <v/>
      </c>
      <c r="E1429" s="47">
        <f>IF(_imp!$C$1431="","",INDEX(_imp!$G$4:$G$1503,_imp!$C$1431))</f>
        <v/>
      </c>
      <c r="F1429" s="47">
        <f>IF(_imp!$C$1431="","",INDEX(_imp!$H$4:$H$1503,_imp!$C$1431))</f>
        <v/>
      </c>
      <c r="G1429" s="47">
        <f>IF(_imp!$C$1431="","",INDEX(_imp!$I$4:$I$1503,_imp!$C$1431))</f>
        <v/>
      </c>
      <c r="K1429" s="47">
        <f>IF(_imp!$C$1431="","",INDEX(_imp!$J$4:$J$1503,_imp!$C$1431))</f>
        <v/>
      </c>
    </row>
    <row r="1430">
      <c r="A1430" s="47">
        <f>IF(_imp!$C$1432="","",INDEX(_imp!$D$4:$D$1503,_imp!$C$1432))</f>
        <v/>
      </c>
      <c r="B1430" s="47">
        <f>IF(_imp!$C$1432="","",INDEX(_imp!$E$4:$E$1503,_imp!$C$1432))</f>
        <v/>
      </c>
      <c r="C1430" s="47">
        <f>IF(_imp!$C$1432="","",INDEX(_imp!$F$4:$F$1503,_imp!$C$1432))</f>
        <v/>
      </c>
      <c r="E1430" s="47">
        <f>IF(_imp!$C$1432="","",INDEX(_imp!$G$4:$G$1503,_imp!$C$1432))</f>
        <v/>
      </c>
      <c r="F1430" s="47">
        <f>IF(_imp!$C$1432="","",INDEX(_imp!$H$4:$H$1503,_imp!$C$1432))</f>
        <v/>
      </c>
      <c r="G1430" s="47">
        <f>IF(_imp!$C$1432="","",INDEX(_imp!$I$4:$I$1503,_imp!$C$1432))</f>
        <v/>
      </c>
      <c r="K1430" s="47">
        <f>IF(_imp!$C$1432="","",INDEX(_imp!$J$4:$J$1503,_imp!$C$1432))</f>
        <v/>
      </c>
    </row>
    <row r="1431">
      <c r="A1431" s="47">
        <f>IF(_imp!$C$1433="","",INDEX(_imp!$D$4:$D$1503,_imp!$C$1433))</f>
        <v/>
      </c>
      <c r="B1431" s="47">
        <f>IF(_imp!$C$1433="","",INDEX(_imp!$E$4:$E$1503,_imp!$C$1433))</f>
        <v/>
      </c>
      <c r="C1431" s="47">
        <f>IF(_imp!$C$1433="","",INDEX(_imp!$F$4:$F$1503,_imp!$C$1433))</f>
        <v/>
      </c>
      <c r="E1431" s="47">
        <f>IF(_imp!$C$1433="","",INDEX(_imp!$G$4:$G$1503,_imp!$C$1433))</f>
        <v/>
      </c>
      <c r="F1431" s="47">
        <f>IF(_imp!$C$1433="","",INDEX(_imp!$H$4:$H$1503,_imp!$C$1433))</f>
        <v/>
      </c>
      <c r="G1431" s="47">
        <f>IF(_imp!$C$1433="","",INDEX(_imp!$I$4:$I$1503,_imp!$C$1433))</f>
        <v/>
      </c>
      <c r="K1431" s="47">
        <f>IF(_imp!$C$1433="","",INDEX(_imp!$J$4:$J$1503,_imp!$C$1433))</f>
        <v/>
      </c>
    </row>
    <row r="1432">
      <c r="A1432" s="47">
        <f>IF(_imp!$C$1434="","",INDEX(_imp!$D$4:$D$1503,_imp!$C$1434))</f>
        <v/>
      </c>
      <c r="B1432" s="47">
        <f>IF(_imp!$C$1434="","",INDEX(_imp!$E$4:$E$1503,_imp!$C$1434))</f>
        <v/>
      </c>
      <c r="C1432" s="47">
        <f>IF(_imp!$C$1434="","",INDEX(_imp!$F$4:$F$1503,_imp!$C$1434))</f>
        <v/>
      </c>
      <c r="E1432" s="47">
        <f>IF(_imp!$C$1434="","",INDEX(_imp!$G$4:$G$1503,_imp!$C$1434))</f>
        <v/>
      </c>
      <c r="F1432" s="47">
        <f>IF(_imp!$C$1434="","",INDEX(_imp!$H$4:$H$1503,_imp!$C$1434))</f>
        <v/>
      </c>
      <c r="G1432" s="47">
        <f>IF(_imp!$C$1434="","",INDEX(_imp!$I$4:$I$1503,_imp!$C$1434))</f>
        <v/>
      </c>
      <c r="K1432" s="47">
        <f>IF(_imp!$C$1434="","",INDEX(_imp!$J$4:$J$1503,_imp!$C$1434))</f>
        <v/>
      </c>
    </row>
    <row r="1433">
      <c r="A1433" s="47">
        <f>IF(_imp!$C$1435="","",INDEX(_imp!$D$4:$D$1503,_imp!$C$1435))</f>
        <v/>
      </c>
      <c r="B1433" s="47">
        <f>IF(_imp!$C$1435="","",INDEX(_imp!$E$4:$E$1503,_imp!$C$1435))</f>
        <v/>
      </c>
      <c r="C1433" s="47">
        <f>IF(_imp!$C$1435="","",INDEX(_imp!$F$4:$F$1503,_imp!$C$1435))</f>
        <v/>
      </c>
      <c r="E1433" s="47">
        <f>IF(_imp!$C$1435="","",INDEX(_imp!$G$4:$G$1503,_imp!$C$1435))</f>
        <v/>
      </c>
      <c r="F1433" s="47">
        <f>IF(_imp!$C$1435="","",INDEX(_imp!$H$4:$H$1503,_imp!$C$1435))</f>
        <v/>
      </c>
      <c r="G1433" s="47">
        <f>IF(_imp!$C$1435="","",INDEX(_imp!$I$4:$I$1503,_imp!$C$1435))</f>
        <v/>
      </c>
      <c r="K1433" s="47">
        <f>IF(_imp!$C$1435="","",INDEX(_imp!$J$4:$J$1503,_imp!$C$1435))</f>
        <v/>
      </c>
    </row>
    <row r="1434">
      <c r="A1434" s="47">
        <f>IF(_imp!$C$1436="","",INDEX(_imp!$D$4:$D$1503,_imp!$C$1436))</f>
        <v/>
      </c>
      <c r="B1434" s="47">
        <f>IF(_imp!$C$1436="","",INDEX(_imp!$E$4:$E$1503,_imp!$C$1436))</f>
        <v/>
      </c>
      <c r="C1434" s="47">
        <f>IF(_imp!$C$1436="","",INDEX(_imp!$F$4:$F$1503,_imp!$C$1436))</f>
        <v/>
      </c>
      <c r="E1434" s="47">
        <f>IF(_imp!$C$1436="","",INDEX(_imp!$G$4:$G$1503,_imp!$C$1436))</f>
        <v/>
      </c>
      <c r="F1434" s="47">
        <f>IF(_imp!$C$1436="","",INDEX(_imp!$H$4:$H$1503,_imp!$C$1436))</f>
        <v/>
      </c>
      <c r="G1434" s="47">
        <f>IF(_imp!$C$1436="","",INDEX(_imp!$I$4:$I$1503,_imp!$C$1436))</f>
        <v/>
      </c>
      <c r="K1434" s="47">
        <f>IF(_imp!$C$1436="","",INDEX(_imp!$J$4:$J$1503,_imp!$C$1436))</f>
        <v/>
      </c>
    </row>
    <row r="1435">
      <c r="A1435" s="47">
        <f>IF(_imp!$C$1437="","",INDEX(_imp!$D$4:$D$1503,_imp!$C$1437))</f>
        <v/>
      </c>
      <c r="B1435" s="47">
        <f>IF(_imp!$C$1437="","",INDEX(_imp!$E$4:$E$1503,_imp!$C$1437))</f>
        <v/>
      </c>
      <c r="C1435" s="47">
        <f>IF(_imp!$C$1437="","",INDEX(_imp!$F$4:$F$1503,_imp!$C$1437))</f>
        <v/>
      </c>
      <c r="E1435" s="47">
        <f>IF(_imp!$C$1437="","",INDEX(_imp!$G$4:$G$1503,_imp!$C$1437))</f>
        <v/>
      </c>
      <c r="F1435" s="47">
        <f>IF(_imp!$C$1437="","",INDEX(_imp!$H$4:$H$1503,_imp!$C$1437))</f>
        <v/>
      </c>
      <c r="G1435" s="47">
        <f>IF(_imp!$C$1437="","",INDEX(_imp!$I$4:$I$1503,_imp!$C$1437))</f>
        <v/>
      </c>
      <c r="K1435" s="47">
        <f>IF(_imp!$C$1437="","",INDEX(_imp!$J$4:$J$1503,_imp!$C$1437))</f>
        <v/>
      </c>
    </row>
    <row r="1436">
      <c r="A1436" s="47">
        <f>IF(_imp!$C$1438="","",INDEX(_imp!$D$4:$D$1503,_imp!$C$1438))</f>
        <v/>
      </c>
      <c r="B1436" s="47">
        <f>IF(_imp!$C$1438="","",INDEX(_imp!$E$4:$E$1503,_imp!$C$1438))</f>
        <v/>
      </c>
      <c r="C1436" s="47">
        <f>IF(_imp!$C$1438="","",INDEX(_imp!$F$4:$F$1503,_imp!$C$1438))</f>
        <v/>
      </c>
      <c r="E1436" s="47">
        <f>IF(_imp!$C$1438="","",INDEX(_imp!$G$4:$G$1503,_imp!$C$1438))</f>
        <v/>
      </c>
      <c r="F1436" s="47">
        <f>IF(_imp!$C$1438="","",INDEX(_imp!$H$4:$H$1503,_imp!$C$1438))</f>
        <v/>
      </c>
      <c r="G1436" s="47">
        <f>IF(_imp!$C$1438="","",INDEX(_imp!$I$4:$I$1503,_imp!$C$1438))</f>
        <v/>
      </c>
      <c r="K1436" s="47">
        <f>IF(_imp!$C$1438="","",INDEX(_imp!$J$4:$J$1503,_imp!$C$1438))</f>
        <v/>
      </c>
    </row>
    <row r="1437">
      <c r="A1437" s="47">
        <f>IF(_imp!$C$1439="","",INDEX(_imp!$D$4:$D$1503,_imp!$C$1439))</f>
        <v/>
      </c>
      <c r="B1437" s="47">
        <f>IF(_imp!$C$1439="","",INDEX(_imp!$E$4:$E$1503,_imp!$C$1439))</f>
        <v/>
      </c>
      <c r="C1437" s="47">
        <f>IF(_imp!$C$1439="","",INDEX(_imp!$F$4:$F$1503,_imp!$C$1439))</f>
        <v/>
      </c>
      <c r="E1437" s="47">
        <f>IF(_imp!$C$1439="","",INDEX(_imp!$G$4:$G$1503,_imp!$C$1439))</f>
        <v/>
      </c>
      <c r="F1437" s="47">
        <f>IF(_imp!$C$1439="","",INDEX(_imp!$H$4:$H$1503,_imp!$C$1439))</f>
        <v/>
      </c>
      <c r="G1437" s="47">
        <f>IF(_imp!$C$1439="","",INDEX(_imp!$I$4:$I$1503,_imp!$C$1439))</f>
        <v/>
      </c>
      <c r="K1437" s="47">
        <f>IF(_imp!$C$1439="","",INDEX(_imp!$J$4:$J$1503,_imp!$C$1439))</f>
        <v/>
      </c>
    </row>
    <row r="1438">
      <c r="A1438" s="47">
        <f>IF(_imp!$C$1440="","",INDEX(_imp!$D$4:$D$1503,_imp!$C$1440))</f>
        <v/>
      </c>
      <c r="B1438" s="47">
        <f>IF(_imp!$C$1440="","",INDEX(_imp!$E$4:$E$1503,_imp!$C$1440))</f>
        <v/>
      </c>
      <c r="C1438" s="47">
        <f>IF(_imp!$C$1440="","",INDEX(_imp!$F$4:$F$1503,_imp!$C$1440))</f>
        <v/>
      </c>
      <c r="E1438" s="47">
        <f>IF(_imp!$C$1440="","",INDEX(_imp!$G$4:$G$1503,_imp!$C$1440))</f>
        <v/>
      </c>
      <c r="F1438" s="47">
        <f>IF(_imp!$C$1440="","",INDEX(_imp!$H$4:$H$1503,_imp!$C$1440))</f>
        <v/>
      </c>
      <c r="G1438" s="47">
        <f>IF(_imp!$C$1440="","",INDEX(_imp!$I$4:$I$1503,_imp!$C$1440))</f>
        <v/>
      </c>
      <c r="K1438" s="47">
        <f>IF(_imp!$C$1440="","",INDEX(_imp!$J$4:$J$1503,_imp!$C$1440))</f>
        <v/>
      </c>
    </row>
    <row r="1439">
      <c r="A1439" s="47">
        <f>IF(_imp!$C$1441="","",INDEX(_imp!$D$4:$D$1503,_imp!$C$1441))</f>
        <v/>
      </c>
      <c r="B1439" s="47">
        <f>IF(_imp!$C$1441="","",INDEX(_imp!$E$4:$E$1503,_imp!$C$1441))</f>
        <v/>
      </c>
      <c r="C1439" s="47">
        <f>IF(_imp!$C$1441="","",INDEX(_imp!$F$4:$F$1503,_imp!$C$1441))</f>
        <v/>
      </c>
      <c r="E1439" s="47">
        <f>IF(_imp!$C$1441="","",INDEX(_imp!$G$4:$G$1503,_imp!$C$1441))</f>
        <v/>
      </c>
      <c r="F1439" s="47">
        <f>IF(_imp!$C$1441="","",INDEX(_imp!$H$4:$H$1503,_imp!$C$1441))</f>
        <v/>
      </c>
      <c r="G1439" s="47">
        <f>IF(_imp!$C$1441="","",INDEX(_imp!$I$4:$I$1503,_imp!$C$1441))</f>
        <v/>
      </c>
      <c r="K1439" s="47">
        <f>IF(_imp!$C$1441="","",INDEX(_imp!$J$4:$J$1503,_imp!$C$1441))</f>
        <v/>
      </c>
    </row>
    <row r="1440">
      <c r="A1440" s="47">
        <f>IF(_imp!$C$1442="","",INDEX(_imp!$D$4:$D$1503,_imp!$C$1442))</f>
        <v/>
      </c>
      <c r="B1440" s="47">
        <f>IF(_imp!$C$1442="","",INDEX(_imp!$E$4:$E$1503,_imp!$C$1442))</f>
        <v/>
      </c>
      <c r="C1440" s="47">
        <f>IF(_imp!$C$1442="","",INDEX(_imp!$F$4:$F$1503,_imp!$C$1442))</f>
        <v/>
      </c>
      <c r="E1440" s="47">
        <f>IF(_imp!$C$1442="","",INDEX(_imp!$G$4:$G$1503,_imp!$C$1442))</f>
        <v/>
      </c>
      <c r="F1440" s="47">
        <f>IF(_imp!$C$1442="","",INDEX(_imp!$H$4:$H$1503,_imp!$C$1442))</f>
        <v/>
      </c>
      <c r="G1440" s="47">
        <f>IF(_imp!$C$1442="","",INDEX(_imp!$I$4:$I$1503,_imp!$C$1442))</f>
        <v/>
      </c>
      <c r="K1440" s="47">
        <f>IF(_imp!$C$1442="","",INDEX(_imp!$J$4:$J$1503,_imp!$C$1442))</f>
        <v/>
      </c>
    </row>
    <row r="1441">
      <c r="A1441" s="47">
        <f>IF(_imp!$C$1443="","",INDEX(_imp!$D$4:$D$1503,_imp!$C$1443))</f>
        <v/>
      </c>
      <c r="B1441" s="47">
        <f>IF(_imp!$C$1443="","",INDEX(_imp!$E$4:$E$1503,_imp!$C$1443))</f>
        <v/>
      </c>
      <c r="C1441" s="47">
        <f>IF(_imp!$C$1443="","",INDEX(_imp!$F$4:$F$1503,_imp!$C$1443))</f>
        <v/>
      </c>
      <c r="E1441" s="47">
        <f>IF(_imp!$C$1443="","",INDEX(_imp!$G$4:$G$1503,_imp!$C$1443))</f>
        <v/>
      </c>
      <c r="F1441" s="47">
        <f>IF(_imp!$C$1443="","",INDEX(_imp!$H$4:$H$1503,_imp!$C$1443))</f>
        <v/>
      </c>
      <c r="G1441" s="47">
        <f>IF(_imp!$C$1443="","",INDEX(_imp!$I$4:$I$1503,_imp!$C$1443))</f>
        <v/>
      </c>
      <c r="K1441" s="47">
        <f>IF(_imp!$C$1443="","",INDEX(_imp!$J$4:$J$1503,_imp!$C$1443))</f>
        <v/>
      </c>
    </row>
    <row r="1442">
      <c r="A1442" s="47">
        <f>IF(_imp!$C$1444="","",INDEX(_imp!$D$4:$D$1503,_imp!$C$1444))</f>
        <v/>
      </c>
      <c r="B1442" s="47">
        <f>IF(_imp!$C$1444="","",INDEX(_imp!$E$4:$E$1503,_imp!$C$1444))</f>
        <v/>
      </c>
      <c r="C1442" s="47">
        <f>IF(_imp!$C$1444="","",INDEX(_imp!$F$4:$F$1503,_imp!$C$1444))</f>
        <v/>
      </c>
      <c r="E1442" s="47">
        <f>IF(_imp!$C$1444="","",INDEX(_imp!$G$4:$G$1503,_imp!$C$1444))</f>
        <v/>
      </c>
      <c r="F1442" s="47">
        <f>IF(_imp!$C$1444="","",INDEX(_imp!$H$4:$H$1503,_imp!$C$1444))</f>
        <v/>
      </c>
      <c r="G1442" s="47">
        <f>IF(_imp!$C$1444="","",INDEX(_imp!$I$4:$I$1503,_imp!$C$1444))</f>
        <v/>
      </c>
      <c r="K1442" s="47">
        <f>IF(_imp!$C$1444="","",INDEX(_imp!$J$4:$J$1503,_imp!$C$1444))</f>
        <v/>
      </c>
    </row>
    <row r="1443">
      <c r="A1443" s="47">
        <f>IF(_imp!$C$1445="","",INDEX(_imp!$D$4:$D$1503,_imp!$C$1445))</f>
        <v/>
      </c>
      <c r="B1443" s="47">
        <f>IF(_imp!$C$1445="","",INDEX(_imp!$E$4:$E$1503,_imp!$C$1445))</f>
        <v/>
      </c>
      <c r="C1443" s="47">
        <f>IF(_imp!$C$1445="","",INDEX(_imp!$F$4:$F$1503,_imp!$C$1445))</f>
        <v/>
      </c>
      <c r="E1443" s="47">
        <f>IF(_imp!$C$1445="","",INDEX(_imp!$G$4:$G$1503,_imp!$C$1445))</f>
        <v/>
      </c>
      <c r="F1443" s="47">
        <f>IF(_imp!$C$1445="","",INDEX(_imp!$H$4:$H$1503,_imp!$C$1445))</f>
        <v/>
      </c>
      <c r="G1443" s="47">
        <f>IF(_imp!$C$1445="","",INDEX(_imp!$I$4:$I$1503,_imp!$C$1445))</f>
        <v/>
      </c>
      <c r="K1443" s="47">
        <f>IF(_imp!$C$1445="","",INDEX(_imp!$J$4:$J$1503,_imp!$C$1445))</f>
        <v/>
      </c>
    </row>
    <row r="1444">
      <c r="A1444" s="47">
        <f>IF(_imp!$C$1446="","",INDEX(_imp!$D$4:$D$1503,_imp!$C$1446))</f>
        <v/>
      </c>
      <c r="B1444" s="47">
        <f>IF(_imp!$C$1446="","",INDEX(_imp!$E$4:$E$1503,_imp!$C$1446))</f>
        <v/>
      </c>
      <c r="C1444" s="47">
        <f>IF(_imp!$C$1446="","",INDEX(_imp!$F$4:$F$1503,_imp!$C$1446))</f>
        <v/>
      </c>
      <c r="E1444" s="47">
        <f>IF(_imp!$C$1446="","",INDEX(_imp!$G$4:$G$1503,_imp!$C$1446))</f>
        <v/>
      </c>
      <c r="F1444" s="47">
        <f>IF(_imp!$C$1446="","",INDEX(_imp!$H$4:$H$1503,_imp!$C$1446))</f>
        <v/>
      </c>
      <c r="G1444" s="47">
        <f>IF(_imp!$C$1446="","",INDEX(_imp!$I$4:$I$1503,_imp!$C$1446))</f>
        <v/>
      </c>
      <c r="K1444" s="47">
        <f>IF(_imp!$C$1446="","",INDEX(_imp!$J$4:$J$1503,_imp!$C$1446))</f>
        <v/>
      </c>
    </row>
    <row r="1445">
      <c r="A1445" s="47">
        <f>IF(_imp!$C$1447="","",INDEX(_imp!$D$4:$D$1503,_imp!$C$1447))</f>
        <v/>
      </c>
      <c r="B1445" s="47">
        <f>IF(_imp!$C$1447="","",INDEX(_imp!$E$4:$E$1503,_imp!$C$1447))</f>
        <v/>
      </c>
      <c r="C1445" s="47">
        <f>IF(_imp!$C$1447="","",INDEX(_imp!$F$4:$F$1503,_imp!$C$1447))</f>
        <v/>
      </c>
      <c r="E1445" s="47">
        <f>IF(_imp!$C$1447="","",INDEX(_imp!$G$4:$G$1503,_imp!$C$1447))</f>
        <v/>
      </c>
      <c r="F1445" s="47">
        <f>IF(_imp!$C$1447="","",INDEX(_imp!$H$4:$H$1503,_imp!$C$1447))</f>
        <v/>
      </c>
      <c r="G1445" s="47">
        <f>IF(_imp!$C$1447="","",INDEX(_imp!$I$4:$I$1503,_imp!$C$1447))</f>
        <v/>
      </c>
      <c r="K1445" s="47">
        <f>IF(_imp!$C$1447="","",INDEX(_imp!$J$4:$J$1503,_imp!$C$1447))</f>
        <v/>
      </c>
    </row>
    <row r="1446">
      <c r="A1446" s="47">
        <f>IF(_imp!$C$1448="","",INDEX(_imp!$D$4:$D$1503,_imp!$C$1448))</f>
        <v/>
      </c>
      <c r="B1446" s="47">
        <f>IF(_imp!$C$1448="","",INDEX(_imp!$E$4:$E$1503,_imp!$C$1448))</f>
        <v/>
      </c>
      <c r="C1446" s="47">
        <f>IF(_imp!$C$1448="","",INDEX(_imp!$F$4:$F$1503,_imp!$C$1448))</f>
        <v/>
      </c>
      <c r="E1446" s="47">
        <f>IF(_imp!$C$1448="","",INDEX(_imp!$G$4:$G$1503,_imp!$C$1448))</f>
        <v/>
      </c>
      <c r="F1446" s="47">
        <f>IF(_imp!$C$1448="","",INDEX(_imp!$H$4:$H$1503,_imp!$C$1448))</f>
        <v/>
      </c>
      <c r="G1446" s="47">
        <f>IF(_imp!$C$1448="","",INDEX(_imp!$I$4:$I$1503,_imp!$C$1448))</f>
        <v/>
      </c>
      <c r="K1446" s="47">
        <f>IF(_imp!$C$1448="","",INDEX(_imp!$J$4:$J$1503,_imp!$C$1448))</f>
        <v/>
      </c>
    </row>
    <row r="1447">
      <c r="A1447" s="47">
        <f>IF(_imp!$C$1449="","",INDEX(_imp!$D$4:$D$1503,_imp!$C$1449))</f>
        <v/>
      </c>
      <c r="B1447" s="47">
        <f>IF(_imp!$C$1449="","",INDEX(_imp!$E$4:$E$1503,_imp!$C$1449))</f>
        <v/>
      </c>
      <c r="C1447" s="47">
        <f>IF(_imp!$C$1449="","",INDEX(_imp!$F$4:$F$1503,_imp!$C$1449))</f>
        <v/>
      </c>
      <c r="E1447" s="47">
        <f>IF(_imp!$C$1449="","",INDEX(_imp!$G$4:$G$1503,_imp!$C$1449))</f>
        <v/>
      </c>
      <c r="F1447" s="47">
        <f>IF(_imp!$C$1449="","",INDEX(_imp!$H$4:$H$1503,_imp!$C$1449))</f>
        <v/>
      </c>
      <c r="G1447" s="47">
        <f>IF(_imp!$C$1449="","",INDEX(_imp!$I$4:$I$1503,_imp!$C$1449))</f>
        <v/>
      </c>
      <c r="K1447" s="47">
        <f>IF(_imp!$C$1449="","",INDEX(_imp!$J$4:$J$1503,_imp!$C$1449))</f>
        <v/>
      </c>
    </row>
    <row r="1448">
      <c r="A1448" s="47">
        <f>IF(_imp!$C$1450="","",INDEX(_imp!$D$4:$D$1503,_imp!$C$1450))</f>
        <v/>
      </c>
      <c r="B1448" s="47">
        <f>IF(_imp!$C$1450="","",INDEX(_imp!$E$4:$E$1503,_imp!$C$1450))</f>
        <v/>
      </c>
      <c r="C1448" s="47">
        <f>IF(_imp!$C$1450="","",INDEX(_imp!$F$4:$F$1503,_imp!$C$1450))</f>
        <v/>
      </c>
      <c r="E1448" s="47">
        <f>IF(_imp!$C$1450="","",INDEX(_imp!$G$4:$G$1503,_imp!$C$1450))</f>
        <v/>
      </c>
      <c r="F1448" s="47">
        <f>IF(_imp!$C$1450="","",INDEX(_imp!$H$4:$H$1503,_imp!$C$1450))</f>
        <v/>
      </c>
      <c r="G1448" s="47">
        <f>IF(_imp!$C$1450="","",INDEX(_imp!$I$4:$I$1503,_imp!$C$1450))</f>
        <v/>
      </c>
      <c r="K1448" s="47">
        <f>IF(_imp!$C$1450="","",INDEX(_imp!$J$4:$J$1503,_imp!$C$1450))</f>
        <v/>
      </c>
    </row>
    <row r="1449">
      <c r="A1449" s="47">
        <f>IF(_imp!$C$1451="","",INDEX(_imp!$D$4:$D$1503,_imp!$C$1451))</f>
        <v/>
      </c>
      <c r="B1449" s="47">
        <f>IF(_imp!$C$1451="","",INDEX(_imp!$E$4:$E$1503,_imp!$C$1451))</f>
        <v/>
      </c>
      <c r="C1449" s="47">
        <f>IF(_imp!$C$1451="","",INDEX(_imp!$F$4:$F$1503,_imp!$C$1451))</f>
        <v/>
      </c>
      <c r="E1449" s="47">
        <f>IF(_imp!$C$1451="","",INDEX(_imp!$G$4:$G$1503,_imp!$C$1451))</f>
        <v/>
      </c>
      <c r="F1449" s="47">
        <f>IF(_imp!$C$1451="","",INDEX(_imp!$H$4:$H$1503,_imp!$C$1451))</f>
        <v/>
      </c>
      <c r="G1449" s="47">
        <f>IF(_imp!$C$1451="","",INDEX(_imp!$I$4:$I$1503,_imp!$C$1451))</f>
        <v/>
      </c>
      <c r="K1449" s="47">
        <f>IF(_imp!$C$1451="","",INDEX(_imp!$J$4:$J$1503,_imp!$C$1451))</f>
        <v/>
      </c>
    </row>
    <row r="1450">
      <c r="A1450" s="47">
        <f>IF(_imp!$C$1452="","",INDEX(_imp!$D$4:$D$1503,_imp!$C$1452))</f>
        <v/>
      </c>
      <c r="B1450" s="47">
        <f>IF(_imp!$C$1452="","",INDEX(_imp!$E$4:$E$1503,_imp!$C$1452))</f>
        <v/>
      </c>
      <c r="C1450" s="47">
        <f>IF(_imp!$C$1452="","",INDEX(_imp!$F$4:$F$1503,_imp!$C$1452))</f>
        <v/>
      </c>
      <c r="E1450" s="47">
        <f>IF(_imp!$C$1452="","",INDEX(_imp!$G$4:$G$1503,_imp!$C$1452))</f>
        <v/>
      </c>
      <c r="F1450" s="47">
        <f>IF(_imp!$C$1452="","",INDEX(_imp!$H$4:$H$1503,_imp!$C$1452))</f>
        <v/>
      </c>
      <c r="G1450" s="47">
        <f>IF(_imp!$C$1452="","",INDEX(_imp!$I$4:$I$1503,_imp!$C$1452))</f>
        <v/>
      </c>
      <c r="K1450" s="47">
        <f>IF(_imp!$C$1452="","",INDEX(_imp!$J$4:$J$1503,_imp!$C$1452))</f>
        <v/>
      </c>
    </row>
    <row r="1451">
      <c r="A1451" s="47">
        <f>IF(_imp!$C$1453="","",INDEX(_imp!$D$4:$D$1503,_imp!$C$1453))</f>
        <v/>
      </c>
      <c r="B1451" s="47">
        <f>IF(_imp!$C$1453="","",INDEX(_imp!$E$4:$E$1503,_imp!$C$1453))</f>
        <v/>
      </c>
      <c r="C1451" s="47">
        <f>IF(_imp!$C$1453="","",INDEX(_imp!$F$4:$F$1503,_imp!$C$1453))</f>
        <v/>
      </c>
      <c r="E1451" s="47">
        <f>IF(_imp!$C$1453="","",INDEX(_imp!$G$4:$G$1503,_imp!$C$1453))</f>
        <v/>
      </c>
      <c r="F1451" s="47">
        <f>IF(_imp!$C$1453="","",INDEX(_imp!$H$4:$H$1503,_imp!$C$1453))</f>
        <v/>
      </c>
      <c r="G1451" s="47">
        <f>IF(_imp!$C$1453="","",INDEX(_imp!$I$4:$I$1503,_imp!$C$1453))</f>
        <v/>
      </c>
      <c r="K1451" s="47">
        <f>IF(_imp!$C$1453="","",INDEX(_imp!$J$4:$J$1503,_imp!$C$1453))</f>
        <v/>
      </c>
    </row>
    <row r="1452">
      <c r="A1452" s="47">
        <f>IF(_imp!$C$1454="","",INDEX(_imp!$D$4:$D$1503,_imp!$C$1454))</f>
        <v/>
      </c>
      <c r="B1452" s="47">
        <f>IF(_imp!$C$1454="","",INDEX(_imp!$E$4:$E$1503,_imp!$C$1454))</f>
        <v/>
      </c>
      <c r="C1452" s="47">
        <f>IF(_imp!$C$1454="","",INDEX(_imp!$F$4:$F$1503,_imp!$C$1454))</f>
        <v/>
      </c>
      <c r="E1452" s="47">
        <f>IF(_imp!$C$1454="","",INDEX(_imp!$G$4:$G$1503,_imp!$C$1454))</f>
        <v/>
      </c>
      <c r="F1452" s="47">
        <f>IF(_imp!$C$1454="","",INDEX(_imp!$H$4:$H$1503,_imp!$C$1454))</f>
        <v/>
      </c>
      <c r="G1452" s="47">
        <f>IF(_imp!$C$1454="","",INDEX(_imp!$I$4:$I$1503,_imp!$C$1454))</f>
        <v/>
      </c>
      <c r="K1452" s="47">
        <f>IF(_imp!$C$1454="","",INDEX(_imp!$J$4:$J$1503,_imp!$C$1454))</f>
        <v/>
      </c>
    </row>
    <row r="1453">
      <c r="A1453" s="47">
        <f>IF(_imp!$C$1455="","",INDEX(_imp!$D$4:$D$1503,_imp!$C$1455))</f>
        <v/>
      </c>
      <c r="B1453" s="47">
        <f>IF(_imp!$C$1455="","",INDEX(_imp!$E$4:$E$1503,_imp!$C$1455))</f>
        <v/>
      </c>
      <c r="C1453" s="47">
        <f>IF(_imp!$C$1455="","",INDEX(_imp!$F$4:$F$1503,_imp!$C$1455))</f>
        <v/>
      </c>
      <c r="E1453" s="47">
        <f>IF(_imp!$C$1455="","",INDEX(_imp!$G$4:$G$1503,_imp!$C$1455))</f>
        <v/>
      </c>
      <c r="F1453" s="47">
        <f>IF(_imp!$C$1455="","",INDEX(_imp!$H$4:$H$1503,_imp!$C$1455))</f>
        <v/>
      </c>
      <c r="G1453" s="47">
        <f>IF(_imp!$C$1455="","",INDEX(_imp!$I$4:$I$1503,_imp!$C$1455))</f>
        <v/>
      </c>
      <c r="K1453" s="47">
        <f>IF(_imp!$C$1455="","",INDEX(_imp!$J$4:$J$1503,_imp!$C$1455))</f>
        <v/>
      </c>
    </row>
    <row r="1454">
      <c r="A1454" s="47">
        <f>IF(_imp!$C$1456="","",INDEX(_imp!$D$4:$D$1503,_imp!$C$1456))</f>
        <v/>
      </c>
      <c r="B1454" s="47">
        <f>IF(_imp!$C$1456="","",INDEX(_imp!$E$4:$E$1503,_imp!$C$1456))</f>
        <v/>
      </c>
      <c r="C1454" s="47">
        <f>IF(_imp!$C$1456="","",INDEX(_imp!$F$4:$F$1503,_imp!$C$1456))</f>
        <v/>
      </c>
      <c r="E1454" s="47">
        <f>IF(_imp!$C$1456="","",INDEX(_imp!$G$4:$G$1503,_imp!$C$1456))</f>
        <v/>
      </c>
      <c r="F1454" s="47">
        <f>IF(_imp!$C$1456="","",INDEX(_imp!$H$4:$H$1503,_imp!$C$1456))</f>
        <v/>
      </c>
      <c r="G1454" s="47">
        <f>IF(_imp!$C$1456="","",INDEX(_imp!$I$4:$I$1503,_imp!$C$1456))</f>
        <v/>
      </c>
      <c r="K1454" s="47">
        <f>IF(_imp!$C$1456="","",INDEX(_imp!$J$4:$J$1503,_imp!$C$1456))</f>
        <v/>
      </c>
    </row>
    <row r="1455">
      <c r="A1455" s="47">
        <f>IF(_imp!$C$1457="","",INDEX(_imp!$D$4:$D$1503,_imp!$C$1457))</f>
        <v/>
      </c>
      <c r="B1455" s="47">
        <f>IF(_imp!$C$1457="","",INDEX(_imp!$E$4:$E$1503,_imp!$C$1457))</f>
        <v/>
      </c>
      <c r="C1455" s="47">
        <f>IF(_imp!$C$1457="","",INDEX(_imp!$F$4:$F$1503,_imp!$C$1457))</f>
        <v/>
      </c>
      <c r="E1455" s="47">
        <f>IF(_imp!$C$1457="","",INDEX(_imp!$G$4:$G$1503,_imp!$C$1457))</f>
        <v/>
      </c>
      <c r="F1455" s="47">
        <f>IF(_imp!$C$1457="","",INDEX(_imp!$H$4:$H$1503,_imp!$C$1457))</f>
        <v/>
      </c>
      <c r="G1455" s="47">
        <f>IF(_imp!$C$1457="","",INDEX(_imp!$I$4:$I$1503,_imp!$C$1457))</f>
        <v/>
      </c>
      <c r="K1455" s="47">
        <f>IF(_imp!$C$1457="","",INDEX(_imp!$J$4:$J$1503,_imp!$C$1457))</f>
        <v/>
      </c>
    </row>
    <row r="1456">
      <c r="A1456" s="47">
        <f>IF(_imp!$C$1458="","",INDEX(_imp!$D$4:$D$1503,_imp!$C$1458))</f>
        <v/>
      </c>
      <c r="B1456" s="47">
        <f>IF(_imp!$C$1458="","",INDEX(_imp!$E$4:$E$1503,_imp!$C$1458))</f>
        <v/>
      </c>
      <c r="C1456" s="47">
        <f>IF(_imp!$C$1458="","",INDEX(_imp!$F$4:$F$1503,_imp!$C$1458))</f>
        <v/>
      </c>
      <c r="E1456" s="47">
        <f>IF(_imp!$C$1458="","",INDEX(_imp!$G$4:$G$1503,_imp!$C$1458))</f>
        <v/>
      </c>
      <c r="F1456" s="47">
        <f>IF(_imp!$C$1458="","",INDEX(_imp!$H$4:$H$1503,_imp!$C$1458))</f>
        <v/>
      </c>
      <c r="G1456" s="47">
        <f>IF(_imp!$C$1458="","",INDEX(_imp!$I$4:$I$1503,_imp!$C$1458))</f>
        <v/>
      </c>
      <c r="K1456" s="47">
        <f>IF(_imp!$C$1458="","",INDEX(_imp!$J$4:$J$1503,_imp!$C$1458))</f>
        <v/>
      </c>
    </row>
    <row r="1457">
      <c r="A1457" s="47">
        <f>IF(_imp!$C$1459="","",INDEX(_imp!$D$4:$D$1503,_imp!$C$1459))</f>
        <v/>
      </c>
      <c r="B1457" s="47">
        <f>IF(_imp!$C$1459="","",INDEX(_imp!$E$4:$E$1503,_imp!$C$1459))</f>
        <v/>
      </c>
      <c r="C1457" s="47">
        <f>IF(_imp!$C$1459="","",INDEX(_imp!$F$4:$F$1503,_imp!$C$1459))</f>
        <v/>
      </c>
      <c r="E1457" s="47">
        <f>IF(_imp!$C$1459="","",INDEX(_imp!$G$4:$G$1503,_imp!$C$1459))</f>
        <v/>
      </c>
      <c r="F1457" s="47">
        <f>IF(_imp!$C$1459="","",INDEX(_imp!$H$4:$H$1503,_imp!$C$1459))</f>
        <v/>
      </c>
      <c r="G1457" s="47">
        <f>IF(_imp!$C$1459="","",INDEX(_imp!$I$4:$I$1503,_imp!$C$1459))</f>
        <v/>
      </c>
      <c r="K1457" s="47">
        <f>IF(_imp!$C$1459="","",INDEX(_imp!$J$4:$J$1503,_imp!$C$1459))</f>
        <v/>
      </c>
    </row>
    <row r="1458">
      <c r="A1458" s="47">
        <f>IF(_imp!$C$1460="","",INDEX(_imp!$D$4:$D$1503,_imp!$C$1460))</f>
        <v/>
      </c>
      <c r="B1458" s="47">
        <f>IF(_imp!$C$1460="","",INDEX(_imp!$E$4:$E$1503,_imp!$C$1460))</f>
        <v/>
      </c>
      <c r="C1458" s="47">
        <f>IF(_imp!$C$1460="","",INDEX(_imp!$F$4:$F$1503,_imp!$C$1460))</f>
        <v/>
      </c>
      <c r="E1458" s="47">
        <f>IF(_imp!$C$1460="","",INDEX(_imp!$G$4:$G$1503,_imp!$C$1460))</f>
        <v/>
      </c>
      <c r="F1458" s="47">
        <f>IF(_imp!$C$1460="","",INDEX(_imp!$H$4:$H$1503,_imp!$C$1460))</f>
        <v/>
      </c>
      <c r="G1458" s="47">
        <f>IF(_imp!$C$1460="","",INDEX(_imp!$I$4:$I$1503,_imp!$C$1460))</f>
        <v/>
      </c>
      <c r="K1458" s="47">
        <f>IF(_imp!$C$1460="","",INDEX(_imp!$J$4:$J$1503,_imp!$C$1460))</f>
        <v/>
      </c>
    </row>
    <row r="1459">
      <c r="A1459" s="47">
        <f>IF(_imp!$C$1461="","",INDEX(_imp!$D$4:$D$1503,_imp!$C$1461))</f>
        <v/>
      </c>
      <c r="B1459" s="47">
        <f>IF(_imp!$C$1461="","",INDEX(_imp!$E$4:$E$1503,_imp!$C$1461))</f>
        <v/>
      </c>
      <c r="C1459" s="47">
        <f>IF(_imp!$C$1461="","",INDEX(_imp!$F$4:$F$1503,_imp!$C$1461))</f>
        <v/>
      </c>
      <c r="E1459" s="47">
        <f>IF(_imp!$C$1461="","",INDEX(_imp!$G$4:$G$1503,_imp!$C$1461))</f>
        <v/>
      </c>
      <c r="F1459" s="47">
        <f>IF(_imp!$C$1461="","",INDEX(_imp!$H$4:$H$1503,_imp!$C$1461))</f>
        <v/>
      </c>
      <c r="G1459" s="47">
        <f>IF(_imp!$C$1461="","",INDEX(_imp!$I$4:$I$1503,_imp!$C$1461))</f>
        <v/>
      </c>
      <c r="K1459" s="47">
        <f>IF(_imp!$C$1461="","",INDEX(_imp!$J$4:$J$1503,_imp!$C$1461))</f>
        <v/>
      </c>
    </row>
    <row r="1460">
      <c r="A1460" s="47">
        <f>IF(_imp!$C$1462="","",INDEX(_imp!$D$4:$D$1503,_imp!$C$1462))</f>
        <v/>
      </c>
      <c r="B1460" s="47">
        <f>IF(_imp!$C$1462="","",INDEX(_imp!$E$4:$E$1503,_imp!$C$1462))</f>
        <v/>
      </c>
      <c r="C1460" s="47">
        <f>IF(_imp!$C$1462="","",INDEX(_imp!$F$4:$F$1503,_imp!$C$1462))</f>
        <v/>
      </c>
      <c r="E1460" s="47">
        <f>IF(_imp!$C$1462="","",INDEX(_imp!$G$4:$G$1503,_imp!$C$1462))</f>
        <v/>
      </c>
      <c r="F1460" s="47">
        <f>IF(_imp!$C$1462="","",INDEX(_imp!$H$4:$H$1503,_imp!$C$1462))</f>
        <v/>
      </c>
      <c r="G1460" s="47">
        <f>IF(_imp!$C$1462="","",INDEX(_imp!$I$4:$I$1503,_imp!$C$1462))</f>
        <v/>
      </c>
      <c r="K1460" s="47">
        <f>IF(_imp!$C$1462="","",INDEX(_imp!$J$4:$J$1503,_imp!$C$1462))</f>
        <v/>
      </c>
    </row>
    <row r="1461">
      <c r="A1461" s="47">
        <f>IF(_imp!$C$1463="","",INDEX(_imp!$D$4:$D$1503,_imp!$C$1463))</f>
        <v/>
      </c>
      <c r="B1461" s="47">
        <f>IF(_imp!$C$1463="","",INDEX(_imp!$E$4:$E$1503,_imp!$C$1463))</f>
        <v/>
      </c>
      <c r="C1461" s="47">
        <f>IF(_imp!$C$1463="","",INDEX(_imp!$F$4:$F$1503,_imp!$C$1463))</f>
        <v/>
      </c>
      <c r="E1461" s="47">
        <f>IF(_imp!$C$1463="","",INDEX(_imp!$G$4:$G$1503,_imp!$C$1463))</f>
        <v/>
      </c>
      <c r="F1461" s="47">
        <f>IF(_imp!$C$1463="","",INDEX(_imp!$H$4:$H$1503,_imp!$C$1463))</f>
        <v/>
      </c>
      <c r="G1461" s="47">
        <f>IF(_imp!$C$1463="","",INDEX(_imp!$I$4:$I$1503,_imp!$C$1463))</f>
        <v/>
      </c>
      <c r="K1461" s="47">
        <f>IF(_imp!$C$1463="","",INDEX(_imp!$J$4:$J$1503,_imp!$C$1463))</f>
        <v/>
      </c>
    </row>
    <row r="1462">
      <c r="A1462" s="47">
        <f>IF(_imp!$C$1464="","",INDEX(_imp!$D$4:$D$1503,_imp!$C$1464))</f>
        <v/>
      </c>
      <c r="B1462" s="47">
        <f>IF(_imp!$C$1464="","",INDEX(_imp!$E$4:$E$1503,_imp!$C$1464))</f>
        <v/>
      </c>
      <c r="C1462" s="47">
        <f>IF(_imp!$C$1464="","",INDEX(_imp!$F$4:$F$1503,_imp!$C$1464))</f>
        <v/>
      </c>
      <c r="E1462" s="47">
        <f>IF(_imp!$C$1464="","",INDEX(_imp!$G$4:$G$1503,_imp!$C$1464))</f>
        <v/>
      </c>
      <c r="F1462" s="47">
        <f>IF(_imp!$C$1464="","",INDEX(_imp!$H$4:$H$1503,_imp!$C$1464))</f>
        <v/>
      </c>
      <c r="G1462" s="47">
        <f>IF(_imp!$C$1464="","",INDEX(_imp!$I$4:$I$1503,_imp!$C$1464))</f>
        <v/>
      </c>
      <c r="K1462" s="47">
        <f>IF(_imp!$C$1464="","",INDEX(_imp!$J$4:$J$1503,_imp!$C$1464))</f>
        <v/>
      </c>
    </row>
    <row r="1463">
      <c r="A1463" s="47">
        <f>IF(_imp!$C$1465="","",INDEX(_imp!$D$4:$D$1503,_imp!$C$1465))</f>
        <v/>
      </c>
      <c r="B1463" s="47">
        <f>IF(_imp!$C$1465="","",INDEX(_imp!$E$4:$E$1503,_imp!$C$1465))</f>
        <v/>
      </c>
      <c r="C1463" s="47">
        <f>IF(_imp!$C$1465="","",INDEX(_imp!$F$4:$F$1503,_imp!$C$1465))</f>
        <v/>
      </c>
      <c r="E1463" s="47">
        <f>IF(_imp!$C$1465="","",INDEX(_imp!$G$4:$G$1503,_imp!$C$1465))</f>
        <v/>
      </c>
      <c r="F1463" s="47">
        <f>IF(_imp!$C$1465="","",INDEX(_imp!$H$4:$H$1503,_imp!$C$1465))</f>
        <v/>
      </c>
      <c r="G1463" s="47">
        <f>IF(_imp!$C$1465="","",INDEX(_imp!$I$4:$I$1503,_imp!$C$1465))</f>
        <v/>
      </c>
      <c r="K1463" s="47">
        <f>IF(_imp!$C$1465="","",INDEX(_imp!$J$4:$J$1503,_imp!$C$1465))</f>
        <v/>
      </c>
    </row>
    <row r="1464">
      <c r="A1464" s="47">
        <f>IF(_imp!$C$1466="","",INDEX(_imp!$D$4:$D$1503,_imp!$C$1466))</f>
        <v/>
      </c>
      <c r="B1464" s="47">
        <f>IF(_imp!$C$1466="","",INDEX(_imp!$E$4:$E$1503,_imp!$C$1466))</f>
        <v/>
      </c>
      <c r="C1464" s="47">
        <f>IF(_imp!$C$1466="","",INDEX(_imp!$F$4:$F$1503,_imp!$C$1466))</f>
        <v/>
      </c>
      <c r="E1464" s="47">
        <f>IF(_imp!$C$1466="","",INDEX(_imp!$G$4:$G$1503,_imp!$C$1466))</f>
        <v/>
      </c>
      <c r="F1464" s="47">
        <f>IF(_imp!$C$1466="","",INDEX(_imp!$H$4:$H$1503,_imp!$C$1466))</f>
        <v/>
      </c>
      <c r="G1464" s="47">
        <f>IF(_imp!$C$1466="","",INDEX(_imp!$I$4:$I$1503,_imp!$C$1466))</f>
        <v/>
      </c>
      <c r="K1464" s="47">
        <f>IF(_imp!$C$1466="","",INDEX(_imp!$J$4:$J$1503,_imp!$C$1466))</f>
        <v/>
      </c>
    </row>
    <row r="1465">
      <c r="A1465" s="47">
        <f>IF(_imp!$C$1467="","",INDEX(_imp!$D$4:$D$1503,_imp!$C$1467))</f>
        <v/>
      </c>
      <c r="B1465" s="47">
        <f>IF(_imp!$C$1467="","",INDEX(_imp!$E$4:$E$1503,_imp!$C$1467))</f>
        <v/>
      </c>
      <c r="C1465" s="47">
        <f>IF(_imp!$C$1467="","",INDEX(_imp!$F$4:$F$1503,_imp!$C$1467))</f>
        <v/>
      </c>
      <c r="E1465" s="47">
        <f>IF(_imp!$C$1467="","",INDEX(_imp!$G$4:$G$1503,_imp!$C$1467))</f>
        <v/>
      </c>
      <c r="F1465" s="47">
        <f>IF(_imp!$C$1467="","",INDEX(_imp!$H$4:$H$1503,_imp!$C$1467))</f>
        <v/>
      </c>
      <c r="G1465" s="47">
        <f>IF(_imp!$C$1467="","",INDEX(_imp!$I$4:$I$1503,_imp!$C$1467))</f>
        <v/>
      </c>
      <c r="K1465" s="47">
        <f>IF(_imp!$C$1467="","",INDEX(_imp!$J$4:$J$1503,_imp!$C$1467))</f>
        <v/>
      </c>
    </row>
    <row r="1466">
      <c r="A1466" s="47">
        <f>IF(_imp!$C$1468="","",INDEX(_imp!$D$4:$D$1503,_imp!$C$1468))</f>
        <v/>
      </c>
      <c r="B1466" s="47">
        <f>IF(_imp!$C$1468="","",INDEX(_imp!$E$4:$E$1503,_imp!$C$1468))</f>
        <v/>
      </c>
      <c r="C1466" s="47">
        <f>IF(_imp!$C$1468="","",INDEX(_imp!$F$4:$F$1503,_imp!$C$1468))</f>
        <v/>
      </c>
      <c r="E1466" s="47">
        <f>IF(_imp!$C$1468="","",INDEX(_imp!$G$4:$G$1503,_imp!$C$1468))</f>
        <v/>
      </c>
      <c r="F1466" s="47">
        <f>IF(_imp!$C$1468="","",INDEX(_imp!$H$4:$H$1503,_imp!$C$1468))</f>
        <v/>
      </c>
      <c r="G1466" s="47">
        <f>IF(_imp!$C$1468="","",INDEX(_imp!$I$4:$I$1503,_imp!$C$1468))</f>
        <v/>
      </c>
      <c r="K1466" s="47">
        <f>IF(_imp!$C$1468="","",INDEX(_imp!$J$4:$J$1503,_imp!$C$1468))</f>
        <v/>
      </c>
    </row>
    <row r="1467">
      <c r="A1467" s="47">
        <f>IF(_imp!$C$1469="","",INDEX(_imp!$D$4:$D$1503,_imp!$C$1469))</f>
        <v/>
      </c>
      <c r="B1467" s="47">
        <f>IF(_imp!$C$1469="","",INDEX(_imp!$E$4:$E$1503,_imp!$C$1469))</f>
        <v/>
      </c>
      <c r="C1467" s="47">
        <f>IF(_imp!$C$1469="","",INDEX(_imp!$F$4:$F$1503,_imp!$C$1469))</f>
        <v/>
      </c>
      <c r="E1467" s="47">
        <f>IF(_imp!$C$1469="","",INDEX(_imp!$G$4:$G$1503,_imp!$C$1469))</f>
        <v/>
      </c>
      <c r="F1467" s="47">
        <f>IF(_imp!$C$1469="","",INDEX(_imp!$H$4:$H$1503,_imp!$C$1469))</f>
        <v/>
      </c>
      <c r="G1467" s="47">
        <f>IF(_imp!$C$1469="","",INDEX(_imp!$I$4:$I$1503,_imp!$C$1469))</f>
        <v/>
      </c>
      <c r="K1467" s="47">
        <f>IF(_imp!$C$1469="","",INDEX(_imp!$J$4:$J$1503,_imp!$C$1469))</f>
        <v/>
      </c>
    </row>
    <row r="1468">
      <c r="A1468" s="47">
        <f>IF(_imp!$C$1470="","",INDEX(_imp!$D$4:$D$1503,_imp!$C$1470))</f>
        <v/>
      </c>
      <c r="B1468" s="47">
        <f>IF(_imp!$C$1470="","",INDEX(_imp!$E$4:$E$1503,_imp!$C$1470))</f>
        <v/>
      </c>
      <c r="C1468" s="47">
        <f>IF(_imp!$C$1470="","",INDEX(_imp!$F$4:$F$1503,_imp!$C$1470))</f>
        <v/>
      </c>
      <c r="E1468" s="47">
        <f>IF(_imp!$C$1470="","",INDEX(_imp!$G$4:$G$1503,_imp!$C$1470))</f>
        <v/>
      </c>
      <c r="F1468" s="47">
        <f>IF(_imp!$C$1470="","",INDEX(_imp!$H$4:$H$1503,_imp!$C$1470))</f>
        <v/>
      </c>
      <c r="G1468" s="47">
        <f>IF(_imp!$C$1470="","",INDEX(_imp!$I$4:$I$1503,_imp!$C$1470))</f>
        <v/>
      </c>
      <c r="K1468" s="47">
        <f>IF(_imp!$C$1470="","",INDEX(_imp!$J$4:$J$1503,_imp!$C$1470))</f>
        <v/>
      </c>
    </row>
    <row r="1469">
      <c r="A1469" s="47">
        <f>IF(_imp!$C$1471="","",INDEX(_imp!$D$4:$D$1503,_imp!$C$1471))</f>
        <v/>
      </c>
      <c r="B1469" s="47">
        <f>IF(_imp!$C$1471="","",INDEX(_imp!$E$4:$E$1503,_imp!$C$1471))</f>
        <v/>
      </c>
      <c r="C1469" s="47">
        <f>IF(_imp!$C$1471="","",INDEX(_imp!$F$4:$F$1503,_imp!$C$1471))</f>
        <v/>
      </c>
      <c r="E1469" s="47">
        <f>IF(_imp!$C$1471="","",INDEX(_imp!$G$4:$G$1503,_imp!$C$1471))</f>
        <v/>
      </c>
      <c r="F1469" s="47">
        <f>IF(_imp!$C$1471="","",INDEX(_imp!$H$4:$H$1503,_imp!$C$1471))</f>
        <v/>
      </c>
      <c r="G1469" s="47">
        <f>IF(_imp!$C$1471="","",INDEX(_imp!$I$4:$I$1503,_imp!$C$1471))</f>
        <v/>
      </c>
      <c r="K1469" s="47">
        <f>IF(_imp!$C$1471="","",INDEX(_imp!$J$4:$J$1503,_imp!$C$1471))</f>
        <v/>
      </c>
    </row>
    <row r="1470">
      <c r="A1470" s="47">
        <f>IF(_imp!$C$1472="","",INDEX(_imp!$D$4:$D$1503,_imp!$C$1472))</f>
        <v/>
      </c>
      <c r="B1470" s="47">
        <f>IF(_imp!$C$1472="","",INDEX(_imp!$E$4:$E$1503,_imp!$C$1472))</f>
        <v/>
      </c>
      <c r="C1470" s="47">
        <f>IF(_imp!$C$1472="","",INDEX(_imp!$F$4:$F$1503,_imp!$C$1472))</f>
        <v/>
      </c>
      <c r="E1470" s="47">
        <f>IF(_imp!$C$1472="","",INDEX(_imp!$G$4:$G$1503,_imp!$C$1472))</f>
        <v/>
      </c>
      <c r="F1470" s="47">
        <f>IF(_imp!$C$1472="","",INDEX(_imp!$H$4:$H$1503,_imp!$C$1472))</f>
        <v/>
      </c>
      <c r="G1470" s="47">
        <f>IF(_imp!$C$1472="","",INDEX(_imp!$I$4:$I$1503,_imp!$C$1472))</f>
        <v/>
      </c>
      <c r="K1470" s="47">
        <f>IF(_imp!$C$1472="","",INDEX(_imp!$J$4:$J$1503,_imp!$C$1472))</f>
        <v/>
      </c>
    </row>
    <row r="1471">
      <c r="A1471" s="47">
        <f>IF(_imp!$C$1473="","",INDEX(_imp!$D$4:$D$1503,_imp!$C$1473))</f>
        <v/>
      </c>
      <c r="B1471" s="47">
        <f>IF(_imp!$C$1473="","",INDEX(_imp!$E$4:$E$1503,_imp!$C$1473))</f>
        <v/>
      </c>
      <c r="C1471" s="47">
        <f>IF(_imp!$C$1473="","",INDEX(_imp!$F$4:$F$1503,_imp!$C$1473))</f>
        <v/>
      </c>
      <c r="E1471" s="47">
        <f>IF(_imp!$C$1473="","",INDEX(_imp!$G$4:$G$1503,_imp!$C$1473))</f>
        <v/>
      </c>
      <c r="F1471" s="47">
        <f>IF(_imp!$C$1473="","",INDEX(_imp!$H$4:$H$1503,_imp!$C$1473))</f>
        <v/>
      </c>
      <c r="G1471" s="47">
        <f>IF(_imp!$C$1473="","",INDEX(_imp!$I$4:$I$1503,_imp!$C$1473))</f>
        <v/>
      </c>
      <c r="K1471" s="47">
        <f>IF(_imp!$C$1473="","",INDEX(_imp!$J$4:$J$1503,_imp!$C$1473))</f>
        <v/>
      </c>
    </row>
    <row r="1472">
      <c r="A1472" s="47">
        <f>IF(_imp!$C$1474="","",INDEX(_imp!$D$4:$D$1503,_imp!$C$1474))</f>
        <v/>
      </c>
      <c r="B1472" s="47">
        <f>IF(_imp!$C$1474="","",INDEX(_imp!$E$4:$E$1503,_imp!$C$1474))</f>
        <v/>
      </c>
      <c r="C1472" s="47">
        <f>IF(_imp!$C$1474="","",INDEX(_imp!$F$4:$F$1503,_imp!$C$1474))</f>
        <v/>
      </c>
      <c r="E1472" s="47">
        <f>IF(_imp!$C$1474="","",INDEX(_imp!$G$4:$G$1503,_imp!$C$1474))</f>
        <v/>
      </c>
      <c r="F1472" s="47">
        <f>IF(_imp!$C$1474="","",INDEX(_imp!$H$4:$H$1503,_imp!$C$1474))</f>
        <v/>
      </c>
      <c r="G1472" s="47">
        <f>IF(_imp!$C$1474="","",INDEX(_imp!$I$4:$I$1503,_imp!$C$1474))</f>
        <v/>
      </c>
      <c r="K1472" s="47">
        <f>IF(_imp!$C$1474="","",INDEX(_imp!$J$4:$J$1503,_imp!$C$1474))</f>
        <v/>
      </c>
    </row>
    <row r="1473">
      <c r="A1473" s="47">
        <f>IF(_imp!$C$1475="","",INDEX(_imp!$D$4:$D$1503,_imp!$C$1475))</f>
        <v/>
      </c>
      <c r="B1473" s="47">
        <f>IF(_imp!$C$1475="","",INDEX(_imp!$E$4:$E$1503,_imp!$C$1475))</f>
        <v/>
      </c>
      <c r="C1473" s="47">
        <f>IF(_imp!$C$1475="","",INDEX(_imp!$F$4:$F$1503,_imp!$C$1475))</f>
        <v/>
      </c>
      <c r="E1473" s="47">
        <f>IF(_imp!$C$1475="","",INDEX(_imp!$G$4:$G$1503,_imp!$C$1475))</f>
        <v/>
      </c>
      <c r="F1473" s="47">
        <f>IF(_imp!$C$1475="","",INDEX(_imp!$H$4:$H$1503,_imp!$C$1475))</f>
        <v/>
      </c>
      <c r="G1473" s="47">
        <f>IF(_imp!$C$1475="","",INDEX(_imp!$I$4:$I$1503,_imp!$C$1475))</f>
        <v/>
      </c>
      <c r="K1473" s="47">
        <f>IF(_imp!$C$1475="","",INDEX(_imp!$J$4:$J$1503,_imp!$C$1475))</f>
        <v/>
      </c>
    </row>
    <row r="1474">
      <c r="A1474" s="47">
        <f>IF(_imp!$C$1476="","",INDEX(_imp!$D$4:$D$1503,_imp!$C$1476))</f>
        <v/>
      </c>
      <c r="B1474" s="47">
        <f>IF(_imp!$C$1476="","",INDEX(_imp!$E$4:$E$1503,_imp!$C$1476))</f>
        <v/>
      </c>
      <c r="C1474" s="47">
        <f>IF(_imp!$C$1476="","",INDEX(_imp!$F$4:$F$1503,_imp!$C$1476))</f>
        <v/>
      </c>
      <c r="E1474" s="47">
        <f>IF(_imp!$C$1476="","",INDEX(_imp!$G$4:$G$1503,_imp!$C$1476))</f>
        <v/>
      </c>
      <c r="F1474" s="47">
        <f>IF(_imp!$C$1476="","",INDEX(_imp!$H$4:$H$1503,_imp!$C$1476))</f>
        <v/>
      </c>
      <c r="G1474" s="47">
        <f>IF(_imp!$C$1476="","",INDEX(_imp!$I$4:$I$1503,_imp!$C$1476))</f>
        <v/>
      </c>
      <c r="K1474" s="47">
        <f>IF(_imp!$C$1476="","",INDEX(_imp!$J$4:$J$1503,_imp!$C$1476))</f>
        <v/>
      </c>
    </row>
    <row r="1475">
      <c r="A1475" s="47">
        <f>IF(_imp!$C$1477="","",INDEX(_imp!$D$4:$D$1503,_imp!$C$1477))</f>
        <v/>
      </c>
      <c r="B1475" s="47">
        <f>IF(_imp!$C$1477="","",INDEX(_imp!$E$4:$E$1503,_imp!$C$1477))</f>
        <v/>
      </c>
      <c r="C1475" s="47">
        <f>IF(_imp!$C$1477="","",INDEX(_imp!$F$4:$F$1503,_imp!$C$1477))</f>
        <v/>
      </c>
      <c r="E1475" s="47">
        <f>IF(_imp!$C$1477="","",INDEX(_imp!$G$4:$G$1503,_imp!$C$1477))</f>
        <v/>
      </c>
      <c r="F1475" s="47">
        <f>IF(_imp!$C$1477="","",INDEX(_imp!$H$4:$H$1503,_imp!$C$1477))</f>
        <v/>
      </c>
      <c r="G1475" s="47">
        <f>IF(_imp!$C$1477="","",INDEX(_imp!$I$4:$I$1503,_imp!$C$1477))</f>
        <v/>
      </c>
      <c r="K1475" s="47">
        <f>IF(_imp!$C$1477="","",INDEX(_imp!$J$4:$J$1503,_imp!$C$1477))</f>
        <v/>
      </c>
    </row>
    <row r="1476">
      <c r="A1476" s="47">
        <f>IF(_imp!$C$1478="","",INDEX(_imp!$D$4:$D$1503,_imp!$C$1478))</f>
        <v/>
      </c>
      <c r="B1476" s="47">
        <f>IF(_imp!$C$1478="","",INDEX(_imp!$E$4:$E$1503,_imp!$C$1478))</f>
        <v/>
      </c>
      <c r="C1476" s="47">
        <f>IF(_imp!$C$1478="","",INDEX(_imp!$F$4:$F$1503,_imp!$C$1478))</f>
        <v/>
      </c>
      <c r="E1476" s="47">
        <f>IF(_imp!$C$1478="","",INDEX(_imp!$G$4:$G$1503,_imp!$C$1478))</f>
        <v/>
      </c>
      <c r="F1476" s="47">
        <f>IF(_imp!$C$1478="","",INDEX(_imp!$H$4:$H$1503,_imp!$C$1478))</f>
        <v/>
      </c>
      <c r="G1476" s="47">
        <f>IF(_imp!$C$1478="","",INDEX(_imp!$I$4:$I$1503,_imp!$C$1478))</f>
        <v/>
      </c>
      <c r="K1476" s="47">
        <f>IF(_imp!$C$1478="","",INDEX(_imp!$J$4:$J$1503,_imp!$C$1478))</f>
        <v/>
      </c>
    </row>
    <row r="1477">
      <c r="A1477" s="47">
        <f>IF(_imp!$C$1479="","",INDEX(_imp!$D$4:$D$1503,_imp!$C$1479))</f>
        <v/>
      </c>
      <c r="B1477" s="47">
        <f>IF(_imp!$C$1479="","",INDEX(_imp!$E$4:$E$1503,_imp!$C$1479))</f>
        <v/>
      </c>
      <c r="C1477" s="47">
        <f>IF(_imp!$C$1479="","",INDEX(_imp!$F$4:$F$1503,_imp!$C$1479))</f>
        <v/>
      </c>
      <c r="E1477" s="47">
        <f>IF(_imp!$C$1479="","",INDEX(_imp!$G$4:$G$1503,_imp!$C$1479))</f>
        <v/>
      </c>
      <c r="F1477" s="47">
        <f>IF(_imp!$C$1479="","",INDEX(_imp!$H$4:$H$1503,_imp!$C$1479))</f>
        <v/>
      </c>
      <c r="G1477" s="47">
        <f>IF(_imp!$C$1479="","",INDEX(_imp!$I$4:$I$1503,_imp!$C$1479))</f>
        <v/>
      </c>
      <c r="K1477" s="47">
        <f>IF(_imp!$C$1479="","",INDEX(_imp!$J$4:$J$1503,_imp!$C$1479))</f>
        <v/>
      </c>
    </row>
    <row r="1478">
      <c r="A1478" s="47">
        <f>IF(_imp!$C$1480="","",INDEX(_imp!$D$4:$D$1503,_imp!$C$1480))</f>
        <v/>
      </c>
      <c r="B1478" s="47">
        <f>IF(_imp!$C$1480="","",INDEX(_imp!$E$4:$E$1503,_imp!$C$1480))</f>
        <v/>
      </c>
      <c r="C1478" s="47">
        <f>IF(_imp!$C$1480="","",INDEX(_imp!$F$4:$F$1503,_imp!$C$1480))</f>
        <v/>
      </c>
      <c r="E1478" s="47">
        <f>IF(_imp!$C$1480="","",INDEX(_imp!$G$4:$G$1503,_imp!$C$1480))</f>
        <v/>
      </c>
      <c r="F1478" s="47">
        <f>IF(_imp!$C$1480="","",INDEX(_imp!$H$4:$H$1503,_imp!$C$1480))</f>
        <v/>
      </c>
      <c r="G1478" s="47">
        <f>IF(_imp!$C$1480="","",INDEX(_imp!$I$4:$I$1503,_imp!$C$1480))</f>
        <v/>
      </c>
      <c r="K1478" s="47">
        <f>IF(_imp!$C$1480="","",INDEX(_imp!$J$4:$J$1503,_imp!$C$1480))</f>
        <v/>
      </c>
    </row>
    <row r="1479">
      <c r="A1479" s="47">
        <f>IF(_imp!$C$1481="","",INDEX(_imp!$D$4:$D$1503,_imp!$C$1481))</f>
        <v/>
      </c>
      <c r="B1479" s="47">
        <f>IF(_imp!$C$1481="","",INDEX(_imp!$E$4:$E$1503,_imp!$C$1481))</f>
        <v/>
      </c>
      <c r="C1479" s="47">
        <f>IF(_imp!$C$1481="","",INDEX(_imp!$F$4:$F$1503,_imp!$C$1481))</f>
        <v/>
      </c>
      <c r="E1479" s="47">
        <f>IF(_imp!$C$1481="","",INDEX(_imp!$G$4:$G$1503,_imp!$C$1481))</f>
        <v/>
      </c>
      <c r="F1479" s="47">
        <f>IF(_imp!$C$1481="","",INDEX(_imp!$H$4:$H$1503,_imp!$C$1481))</f>
        <v/>
      </c>
      <c r="G1479" s="47">
        <f>IF(_imp!$C$1481="","",INDEX(_imp!$I$4:$I$1503,_imp!$C$1481))</f>
        <v/>
      </c>
      <c r="K1479" s="47">
        <f>IF(_imp!$C$1481="","",INDEX(_imp!$J$4:$J$1503,_imp!$C$1481))</f>
        <v/>
      </c>
    </row>
    <row r="1480">
      <c r="A1480" s="47">
        <f>IF(_imp!$C$1482="","",INDEX(_imp!$D$4:$D$1503,_imp!$C$1482))</f>
        <v/>
      </c>
      <c r="B1480" s="47">
        <f>IF(_imp!$C$1482="","",INDEX(_imp!$E$4:$E$1503,_imp!$C$1482))</f>
        <v/>
      </c>
      <c r="C1480" s="47">
        <f>IF(_imp!$C$1482="","",INDEX(_imp!$F$4:$F$1503,_imp!$C$1482))</f>
        <v/>
      </c>
      <c r="E1480" s="47">
        <f>IF(_imp!$C$1482="","",INDEX(_imp!$G$4:$G$1503,_imp!$C$1482))</f>
        <v/>
      </c>
      <c r="F1480" s="47">
        <f>IF(_imp!$C$1482="","",INDEX(_imp!$H$4:$H$1503,_imp!$C$1482))</f>
        <v/>
      </c>
      <c r="G1480" s="47">
        <f>IF(_imp!$C$1482="","",INDEX(_imp!$I$4:$I$1503,_imp!$C$1482))</f>
        <v/>
      </c>
      <c r="K1480" s="47">
        <f>IF(_imp!$C$1482="","",INDEX(_imp!$J$4:$J$1503,_imp!$C$1482))</f>
        <v/>
      </c>
    </row>
    <row r="1481">
      <c r="A1481" s="47">
        <f>IF(_imp!$C$1483="","",INDEX(_imp!$D$4:$D$1503,_imp!$C$1483))</f>
        <v/>
      </c>
      <c r="B1481" s="47">
        <f>IF(_imp!$C$1483="","",INDEX(_imp!$E$4:$E$1503,_imp!$C$1483))</f>
        <v/>
      </c>
      <c r="C1481" s="47">
        <f>IF(_imp!$C$1483="","",INDEX(_imp!$F$4:$F$1503,_imp!$C$1483))</f>
        <v/>
      </c>
      <c r="E1481" s="47">
        <f>IF(_imp!$C$1483="","",INDEX(_imp!$G$4:$G$1503,_imp!$C$1483))</f>
        <v/>
      </c>
      <c r="F1481" s="47">
        <f>IF(_imp!$C$1483="","",INDEX(_imp!$H$4:$H$1503,_imp!$C$1483))</f>
        <v/>
      </c>
      <c r="G1481" s="47">
        <f>IF(_imp!$C$1483="","",INDEX(_imp!$I$4:$I$1503,_imp!$C$1483))</f>
        <v/>
      </c>
      <c r="K1481" s="47">
        <f>IF(_imp!$C$1483="","",INDEX(_imp!$J$4:$J$1503,_imp!$C$1483))</f>
        <v/>
      </c>
    </row>
    <row r="1482">
      <c r="A1482" s="47">
        <f>IF(_imp!$C$1484="","",INDEX(_imp!$D$4:$D$1503,_imp!$C$1484))</f>
        <v/>
      </c>
      <c r="B1482" s="47">
        <f>IF(_imp!$C$1484="","",INDEX(_imp!$E$4:$E$1503,_imp!$C$1484))</f>
        <v/>
      </c>
      <c r="C1482" s="47">
        <f>IF(_imp!$C$1484="","",INDEX(_imp!$F$4:$F$1503,_imp!$C$1484))</f>
        <v/>
      </c>
      <c r="E1482" s="47">
        <f>IF(_imp!$C$1484="","",INDEX(_imp!$G$4:$G$1503,_imp!$C$1484))</f>
        <v/>
      </c>
      <c r="F1482" s="47">
        <f>IF(_imp!$C$1484="","",INDEX(_imp!$H$4:$H$1503,_imp!$C$1484))</f>
        <v/>
      </c>
      <c r="G1482" s="47">
        <f>IF(_imp!$C$1484="","",INDEX(_imp!$I$4:$I$1503,_imp!$C$1484))</f>
        <v/>
      </c>
      <c r="K1482" s="47">
        <f>IF(_imp!$C$1484="","",INDEX(_imp!$J$4:$J$1503,_imp!$C$1484))</f>
        <v/>
      </c>
    </row>
    <row r="1483">
      <c r="A1483" s="47">
        <f>IF(_imp!$C$1485="","",INDEX(_imp!$D$4:$D$1503,_imp!$C$1485))</f>
        <v/>
      </c>
      <c r="B1483" s="47">
        <f>IF(_imp!$C$1485="","",INDEX(_imp!$E$4:$E$1503,_imp!$C$1485))</f>
        <v/>
      </c>
      <c r="C1483" s="47">
        <f>IF(_imp!$C$1485="","",INDEX(_imp!$F$4:$F$1503,_imp!$C$1485))</f>
        <v/>
      </c>
      <c r="E1483" s="47">
        <f>IF(_imp!$C$1485="","",INDEX(_imp!$G$4:$G$1503,_imp!$C$1485))</f>
        <v/>
      </c>
      <c r="F1483" s="47">
        <f>IF(_imp!$C$1485="","",INDEX(_imp!$H$4:$H$1503,_imp!$C$1485))</f>
        <v/>
      </c>
      <c r="G1483" s="47">
        <f>IF(_imp!$C$1485="","",INDEX(_imp!$I$4:$I$1503,_imp!$C$1485))</f>
        <v/>
      </c>
      <c r="K1483" s="47">
        <f>IF(_imp!$C$1485="","",INDEX(_imp!$J$4:$J$1503,_imp!$C$1485))</f>
        <v/>
      </c>
    </row>
    <row r="1484">
      <c r="A1484" s="47">
        <f>IF(_imp!$C$1486="","",INDEX(_imp!$D$4:$D$1503,_imp!$C$1486))</f>
        <v/>
      </c>
      <c r="B1484" s="47">
        <f>IF(_imp!$C$1486="","",INDEX(_imp!$E$4:$E$1503,_imp!$C$1486))</f>
        <v/>
      </c>
      <c r="C1484" s="47">
        <f>IF(_imp!$C$1486="","",INDEX(_imp!$F$4:$F$1503,_imp!$C$1486))</f>
        <v/>
      </c>
      <c r="E1484" s="47">
        <f>IF(_imp!$C$1486="","",INDEX(_imp!$G$4:$G$1503,_imp!$C$1486))</f>
        <v/>
      </c>
      <c r="F1484" s="47">
        <f>IF(_imp!$C$1486="","",INDEX(_imp!$H$4:$H$1503,_imp!$C$1486))</f>
        <v/>
      </c>
      <c r="G1484" s="47">
        <f>IF(_imp!$C$1486="","",INDEX(_imp!$I$4:$I$1503,_imp!$C$1486))</f>
        <v/>
      </c>
      <c r="K1484" s="47">
        <f>IF(_imp!$C$1486="","",INDEX(_imp!$J$4:$J$1503,_imp!$C$1486))</f>
        <v/>
      </c>
    </row>
    <row r="1485">
      <c r="A1485" s="47">
        <f>IF(_imp!$C$1487="","",INDEX(_imp!$D$4:$D$1503,_imp!$C$1487))</f>
        <v/>
      </c>
      <c r="B1485" s="47">
        <f>IF(_imp!$C$1487="","",INDEX(_imp!$E$4:$E$1503,_imp!$C$1487))</f>
        <v/>
      </c>
      <c r="C1485" s="47">
        <f>IF(_imp!$C$1487="","",INDEX(_imp!$F$4:$F$1503,_imp!$C$1487))</f>
        <v/>
      </c>
      <c r="E1485" s="47">
        <f>IF(_imp!$C$1487="","",INDEX(_imp!$G$4:$G$1503,_imp!$C$1487))</f>
        <v/>
      </c>
      <c r="F1485" s="47">
        <f>IF(_imp!$C$1487="","",INDEX(_imp!$H$4:$H$1503,_imp!$C$1487))</f>
        <v/>
      </c>
      <c r="G1485" s="47">
        <f>IF(_imp!$C$1487="","",INDEX(_imp!$I$4:$I$1503,_imp!$C$1487))</f>
        <v/>
      </c>
      <c r="K1485" s="47">
        <f>IF(_imp!$C$1487="","",INDEX(_imp!$J$4:$J$1503,_imp!$C$1487))</f>
        <v/>
      </c>
    </row>
    <row r="1486">
      <c r="A1486" s="47">
        <f>IF(_imp!$C$1488="","",INDEX(_imp!$D$4:$D$1503,_imp!$C$1488))</f>
        <v/>
      </c>
      <c r="B1486" s="47">
        <f>IF(_imp!$C$1488="","",INDEX(_imp!$E$4:$E$1503,_imp!$C$1488))</f>
        <v/>
      </c>
      <c r="C1486" s="47">
        <f>IF(_imp!$C$1488="","",INDEX(_imp!$F$4:$F$1503,_imp!$C$1488))</f>
        <v/>
      </c>
      <c r="E1486" s="47">
        <f>IF(_imp!$C$1488="","",INDEX(_imp!$G$4:$G$1503,_imp!$C$1488))</f>
        <v/>
      </c>
      <c r="F1486" s="47">
        <f>IF(_imp!$C$1488="","",INDEX(_imp!$H$4:$H$1503,_imp!$C$1488))</f>
        <v/>
      </c>
      <c r="G1486" s="47">
        <f>IF(_imp!$C$1488="","",INDEX(_imp!$I$4:$I$1503,_imp!$C$1488))</f>
        <v/>
      </c>
      <c r="K1486" s="47">
        <f>IF(_imp!$C$1488="","",INDEX(_imp!$J$4:$J$1503,_imp!$C$1488))</f>
        <v/>
      </c>
    </row>
    <row r="1487">
      <c r="A1487" s="47">
        <f>IF(_imp!$C$1489="","",INDEX(_imp!$D$4:$D$1503,_imp!$C$1489))</f>
        <v/>
      </c>
      <c r="B1487" s="47">
        <f>IF(_imp!$C$1489="","",INDEX(_imp!$E$4:$E$1503,_imp!$C$1489))</f>
        <v/>
      </c>
      <c r="C1487" s="47">
        <f>IF(_imp!$C$1489="","",INDEX(_imp!$F$4:$F$1503,_imp!$C$1489))</f>
        <v/>
      </c>
      <c r="E1487" s="47">
        <f>IF(_imp!$C$1489="","",INDEX(_imp!$G$4:$G$1503,_imp!$C$1489))</f>
        <v/>
      </c>
      <c r="F1487" s="47">
        <f>IF(_imp!$C$1489="","",INDEX(_imp!$H$4:$H$1503,_imp!$C$1489))</f>
        <v/>
      </c>
      <c r="G1487" s="47">
        <f>IF(_imp!$C$1489="","",INDEX(_imp!$I$4:$I$1503,_imp!$C$1489))</f>
        <v/>
      </c>
      <c r="K1487" s="47">
        <f>IF(_imp!$C$1489="","",INDEX(_imp!$J$4:$J$1503,_imp!$C$1489))</f>
        <v/>
      </c>
    </row>
    <row r="1488">
      <c r="A1488" s="47">
        <f>IF(_imp!$C$1490="","",INDEX(_imp!$D$4:$D$1503,_imp!$C$1490))</f>
        <v/>
      </c>
      <c r="B1488" s="47">
        <f>IF(_imp!$C$1490="","",INDEX(_imp!$E$4:$E$1503,_imp!$C$1490))</f>
        <v/>
      </c>
      <c r="C1488" s="47">
        <f>IF(_imp!$C$1490="","",INDEX(_imp!$F$4:$F$1503,_imp!$C$1490))</f>
        <v/>
      </c>
      <c r="E1488" s="47">
        <f>IF(_imp!$C$1490="","",INDEX(_imp!$G$4:$G$1503,_imp!$C$1490))</f>
        <v/>
      </c>
      <c r="F1488" s="47">
        <f>IF(_imp!$C$1490="","",INDEX(_imp!$H$4:$H$1503,_imp!$C$1490))</f>
        <v/>
      </c>
      <c r="G1488" s="47">
        <f>IF(_imp!$C$1490="","",INDEX(_imp!$I$4:$I$1503,_imp!$C$1490))</f>
        <v/>
      </c>
      <c r="K1488" s="47">
        <f>IF(_imp!$C$1490="","",INDEX(_imp!$J$4:$J$1503,_imp!$C$1490))</f>
        <v/>
      </c>
    </row>
    <row r="1489">
      <c r="A1489" s="47">
        <f>IF(_imp!$C$1491="","",INDEX(_imp!$D$4:$D$1503,_imp!$C$1491))</f>
        <v/>
      </c>
      <c r="B1489" s="47">
        <f>IF(_imp!$C$1491="","",INDEX(_imp!$E$4:$E$1503,_imp!$C$1491))</f>
        <v/>
      </c>
      <c r="C1489" s="47">
        <f>IF(_imp!$C$1491="","",INDEX(_imp!$F$4:$F$1503,_imp!$C$1491))</f>
        <v/>
      </c>
      <c r="E1489" s="47">
        <f>IF(_imp!$C$1491="","",INDEX(_imp!$G$4:$G$1503,_imp!$C$1491))</f>
        <v/>
      </c>
      <c r="F1489" s="47">
        <f>IF(_imp!$C$1491="","",INDEX(_imp!$H$4:$H$1503,_imp!$C$1491))</f>
        <v/>
      </c>
      <c r="G1489" s="47">
        <f>IF(_imp!$C$1491="","",INDEX(_imp!$I$4:$I$1503,_imp!$C$1491))</f>
        <v/>
      </c>
      <c r="K1489" s="47">
        <f>IF(_imp!$C$1491="","",INDEX(_imp!$J$4:$J$1503,_imp!$C$1491))</f>
        <v/>
      </c>
    </row>
    <row r="1490">
      <c r="A1490" s="47">
        <f>IF(_imp!$C$1492="","",INDEX(_imp!$D$4:$D$1503,_imp!$C$1492))</f>
        <v/>
      </c>
      <c r="B1490" s="47">
        <f>IF(_imp!$C$1492="","",INDEX(_imp!$E$4:$E$1503,_imp!$C$1492))</f>
        <v/>
      </c>
      <c r="C1490" s="47">
        <f>IF(_imp!$C$1492="","",INDEX(_imp!$F$4:$F$1503,_imp!$C$1492))</f>
        <v/>
      </c>
      <c r="E1490" s="47">
        <f>IF(_imp!$C$1492="","",INDEX(_imp!$G$4:$G$1503,_imp!$C$1492))</f>
        <v/>
      </c>
      <c r="F1490" s="47">
        <f>IF(_imp!$C$1492="","",INDEX(_imp!$H$4:$H$1503,_imp!$C$1492))</f>
        <v/>
      </c>
      <c r="G1490" s="47">
        <f>IF(_imp!$C$1492="","",INDEX(_imp!$I$4:$I$1503,_imp!$C$1492))</f>
        <v/>
      </c>
      <c r="K1490" s="47">
        <f>IF(_imp!$C$1492="","",INDEX(_imp!$J$4:$J$1503,_imp!$C$1492))</f>
        <v/>
      </c>
    </row>
    <row r="1491">
      <c r="A1491" s="47">
        <f>IF(_imp!$C$1493="","",INDEX(_imp!$D$4:$D$1503,_imp!$C$1493))</f>
        <v/>
      </c>
      <c r="B1491" s="47">
        <f>IF(_imp!$C$1493="","",INDEX(_imp!$E$4:$E$1503,_imp!$C$1493))</f>
        <v/>
      </c>
      <c r="C1491" s="47">
        <f>IF(_imp!$C$1493="","",INDEX(_imp!$F$4:$F$1503,_imp!$C$1493))</f>
        <v/>
      </c>
      <c r="E1491" s="47">
        <f>IF(_imp!$C$1493="","",INDEX(_imp!$G$4:$G$1503,_imp!$C$1493))</f>
        <v/>
      </c>
      <c r="F1491" s="47">
        <f>IF(_imp!$C$1493="","",INDEX(_imp!$H$4:$H$1503,_imp!$C$1493))</f>
        <v/>
      </c>
      <c r="G1491" s="47">
        <f>IF(_imp!$C$1493="","",INDEX(_imp!$I$4:$I$1503,_imp!$C$1493))</f>
        <v/>
      </c>
      <c r="K1491" s="47">
        <f>IF(_imp!$C$1493="","",INDEX(_imp!$J$4:$J$1503,_imp!$C$1493))</f>
        <v/>
      </c>
    </row>
    <row r="1492">
      <c r="A1492" s="47">
        <f>IF(_imp!$C$1494="","",INDEX(_imp!$D$4:$D$1503,_imp!$C$1494))</f>
        <v/>
      </c>
      <c r="B1492" s="47">
        <f>IF(_imp!$C$1494="","",INDEX(_imp!$E$4:$E$1503,_imp!$C$1494))</f>
        <v/>
      </c>
      <c r="C1492" s="47">
        <f>IF(_imp!$C$1494="","",INDEX(_imp!$F$4:$F$1503,_imp!$C$1494))</f>
        <v/>
      </c>
      <c r="E1492" s="47">
        <f>IF(_imp!$C$1494="","",INDEX(_imp!$G$4:$G$1503,_imp!$C$1494))</f>
        <v/>
      </c>
      <c r="F1492" s="47">
        <f>IF(_imp!$C$1494="","",INDEX(_imp!$H$4:$H$1503,_imp!$C$1494))</f>
        <v/>
      </c>
      <c r="G1492" s="47">
        <f>IF(_imp!$C$1494="","",INDEX(_imp!$I$4:$I$1503,_imp!$C$1494))</f>
        <v/>
      </c>
      <c r="K1492" s="47">
        <f>IF(_imp!$C$1494="","",INDEX(_imp!$J$4:$J$1503,_imp!$C$1494))</f>
        <v/>
      </c>
    </row>
    <row r="1493">
      <c r="A1493" s="47">
        <f>IF(_imp!$C$1495="","",INDEX(_imp!$D$4:$D$1503,_imp!$C$1495))</f>
        <v/>
      </c>
      <c r="B1493" s="47">
        <f>IF(_imp!$C$1495="","",INDEX(_imp!$E$4:$E$1503,_imp!$C$1495))</f>
        <v/>
      </c>
      <c r="C1493" s="47">
        <f>IF(_imp!$C$1495="","",INDEX(_imp!$F$4:$F$1503,_imp!$C$1495))</f>
        <v/>
      </c>
      <c r="E1493" s="47">
        <f>IF(_imp!$C$1495="","",INDEX(_imp!$G$4:$G$1503,_imp!$C$1495))</f>
        <v/>
      </c>
      <c r="F1493" s="47">
        <f>IF(_imp!$C$1495="","",INDEX(_imp!$H$4:$H$1503,_imp!$C$1495))</f>
        <v/>
      </c>
      <c r="G1493" s="47">
        <f>IF(_imp!$C$1495="","",INDEX(_imp!$I$4:$I$1503,_imp!$C$1495))</f>
        <v/>
      </c>
      <c r="K1493" s="47">
        <f>IF(_imp!$C$1495="","",INDEX(_imp!$J$4:$J$1503,_imp!$C$1495))</f>
        <v/>
      </c>
    </row>
    <row r="1494">
      <c r="A1494" s="47">
        <f>IF(_imp!$C$1496="","",INDEX(_imp!$D$4:$D$1503,_imp!$C$1496))</f>
        <v/>
      </c>
      <c r="B1494" s="47">
        <f>IF(_imp!$C$1496="","",INDEX(_imp!$E$4:$E$1503,_imp!$C$1496))</f>
        <v/>
      </c>
      <c r="C1494" s="47">
        <f>IF(_imp!$C$1496="","",INDEX(_imp!$F$4:$F$1503,_imp!$C$1496))</f>
        <v/>
      </c>
      <c r="E1494" s="47">
        <f>IF(_imp!$C$1496="","",INDEX(_imp!$G$4:$G$1503,_imp!$C$1496))</f>
        <v/>
      </c>
      <c r="F1494" s="47">
        <f>IF(_imp!$C$1496="","",INDEX(_imp!$H$4:$H$1503,_imp!$C$1496))</f>
        <v/>
      </c>
      <c r="G1494" s="47">
        <f>IF(_imp!$C$1496="","",INDEX(_imp!$I$4:$I$1503,_imp!$C$1496))</f>
        <v/>
      </c>
      <c r="K1494" s="47">
        <f>IF(_imp!$C$1496="","",INDEX(_imp!$J$4:$J$1503,_imp!$C$1496))</f>
        <v/>
      </c>
    </row>
    <row r="1495">
      <c r="A1495" s="47">
        <f>IF(_imp!$C$1497="","",INDEX(_imp!$D$4:$D$1503,_imp!$C$1497))</f>
        <v/>
      </c>
      <c r="B1495" s="47">
        <f>IF(_imp!$C$1497="","",INDEX(_imp!$E$4:$E$1503,_imp!$C$1497))</f>
        <v/>
      </c>
      <c r="C1495" s="47">
        <f>IF(_imp!$C$1497="","",INDEX(_imp!$F$4:$F$1503,_imp!$C$1497))</f>
        <v/>
      </c>
      <c r="E1495" s="47">
        <f>IF(_imp!$C$1497="","",INDEX(_imp!$G$4:$G$1503,_imp!$C$1497))</f>
        <v/>
      </c>
      <c r="F1495" s="47">
        <f>IF(_imp!$C$1497="","",INDEX(_imp!$H$4:$H$1503,_imp!$C$1497))</f>
        <v/>
      </c>
      <c r="G1495" s="47">
        <f>IF(_imp!$C$1497="","",INDEX(_imp!$I$4:$I$1503,_imp!$C$1497))</f>
        <v/>
      </c>
      <c r="K1495" s="47">
        <f>IF(_imp!$C$1497="","",INDEX(_imp!$J$4:$J$1503,_imp!$C$1497))</f>
        <v/>
      </c>
    </row>
    <row r="1496">
      <c r="A1496" s="47">
        <f>IF(_imp!$C$1498="","",INDEX(_imp!$D$4:$D$1503,_imp!$C$1498))</f>
        <v/>
      </c>
      <c r="B1496" s="47">
        <f>IF(_imp!$C$1498="","",INDEX(_imp!$E$4:$E$1503,_imp!$C$1498))</f>
        <v/>
      </c>
      <c r="C1496" s="47">
        <f>IF(_imp!$C$1498="","",INDEX(_imp!$F$4:$F$1503,_imp!$C$1498))</f>
        <v/>
      </c>
      <c r="E1496" s="47">
        <f>IF(_imp!$C$1498="","",INDEX(_imp!$G$4:$G$1503,_imp!$C$1498))</f>
        <v/>
      </c>
      <c r="F1496" s="47">
        <f>IF(_imp!$C$1498="","",INDEX(_imp!$H$4:$H$1503,_imp!$C$1498))</f>
        <v/>
      </c>
      <c r="G1496" s="47">
        <f>IF(_imp!$C$1498="","",INDEX(_imp!$I$4:$I$1503,_imp!$C$1498))</f>
        <v/>
      </c>
      <c r="K1496" s="47">
        <f>IF(_imp!$C$1498="","",INDEX(_imp!$J$4:$J$1503,_imp!$C$1498))</f>
        <v/>
      </c>
    </row>
    <row r="1497">
      <c r="A1497" s="47">
        <f>IF(_imp!$C$1499="","",INDEX(_imp!$D$4:$D$1503,_imp!$C$1499))</f>
        <v/>
      </c>
      <c r="B1497" s="47">
        <f>IF(_imp!$C$1499="","",INDEX(_imp!$E$4:$E$1503,_imp!$C$1499))</f>
        <v/>
      </c>
      <c r="C1497" s="47">
        <f>IF(_imp!$C$1499="","",INDEX(_imp!$F$4:$F$1503,_imp!$C$1499))</f>
        <v/>
      </c>
      <c r="E1497" s="47">
        <f>IF(_imp!$C$1499="","",INDEX(_imp!$G$4:$G$1503,_imp!$C$1499))</f>
        <v/>
      </c>
      <c r="F1497" s="47">
        <f>IF(_imp!$C$1499="","",INDEX(_imp!$H$4:$H$1503,_imp!$C$1499))</f>
        <v/>
      </c>
      <c r="G1497" s="47">
        <f>IF(_imp!$C$1499="","",INDEX(_imp!$I$4:$I$1503,_imp!$C$1499))</f>
        <v/>
      </c>
      <c r="K1497" s="47">
        <f>IF(_imp!$C$1499="","",INDEX(_imp!$J$4:$J$1503,_imp!$C$1499))</f>
        <v/>
      </c>
    </row>
    <row r="1498">
      <c r="A1498" s="47">
        <f>IF(_imp!$C$1500="","",INDEX(_imp!$D$4:$D$1503,_imp!$C$1500))</f>
        <v/>
      </c>
      <c r="B1498" s="47">
        <f>IF(_imp!$C$1500="","",INDEX(_imp!$E$4:$E$1503,_imp!$C$1500))</f>
        <v/>
      </c>
      <c r="C1498" s="47">
        <f>IF(_imp!$C$1500="","",INDEX(_imp!$F$4:$F$1503,_imp!$C$1500))</f>
        <v/>
      </c>
      <c r="E1498" s="47">
        <f>IF(_imp!$C$1500="","",INDEX(_imp!$G$4:$G$1503,_imp!$C$1500))</f>
        <v/>
      </c>
      <c r="F1498" s="47">
        <f>IF(_imp!$C$1500="","",INDEX(_imp!$H$4:$H$1503,_imp!$C$1500))</f>
        <v/>
      </c>
      <c r="G1498" s="47">
        <f>IF(_imp!$C$1500="","",INDEX(_imp!$I$4:$I$1503,_imp!$C$1500))</f>
        <v/>
      </c>
      <c r="K1498" s="47">
        <f>IF(_imp!$C$1500="","",INDEX(_imp!$J$4:$J$1503,_imp!$C$1500))</f>
        <v/>
      </c>
    </row>
    <row r="1499">
      <c r="A1499" s="47">
        <f>IF(_imp!$C$1501="","",INDEX(_imp!$D$4:$D$1503,_imp!$C$1501))</f>
        <v/>
      </c>
      <c r="B1499" s="47">
        <f>IF(_imp!$C$1501="","",INDEX(_imp!$E$4:$E$1503,_imp!$C$1501))</f>
        <v/>
      </c>
      <c r="C1499" s="47">
        <f>IF(_imp!$C$1501="","",INDEX(_imp!$F$4:$F$1503,_imp!$C$1501))</f>
        <v/>
      </c>
      <c r="E1499" s="47">
        <f>IF(_imp!$C$1501="","",INDEX(_imp!$G$4:$G$1503,_imp!$C$1501))</f>
        <v/>
      </c>
      <c r="F1499" s="47">
        <f>IF(_imp!$C$1501="","",INDEX(_imp!$H$4:$H$1503,_imp!$C$1501))</f>
        <v/>
      </c>
      <c r="G1499" s="47">
        <f>IF(_imp!$C$1501="","",INDEX(_imp!$I$4:$I$1503,_imp!$C$1501))</f>
        <v/>
      </c>
      <c r="K1499" s="47">
        <f>IF(_imp!$C$1501="","",INDEX(_imp!$J$4:$J$1503,_imp!$C$1501))</f>
        <v/>
      </c>
    </row>
    <row r="1500">
      <c r="A1500" s="47">
        <f>IF(_imp!$C$1502="","",INDEX(_imp!$D$4:$D$1503,_imp!$C$1502))</f>
        <v/>
      </c>
      <c r="B1500" s="47">
        <f>IF(_imp!$C$1502="","",INDEX(_imp!$E$4:$E$1503,_imp!$C$1502))</f>
        <v/>
      </c>
      <c r="C1500" s="47">
        <f>IF(_imp!$C$1502="","",INDEX(_imp!$F$4:$F$1503,_imp!$C$1502))</f>
        <v/>
      </c>
      <c r="E1500" s="47">
        <f>IF(_imp!$C$1502="","",INDEX(_imp!$G$4:$G$1503,_imp!$C$1502))</f>
        <v/>
      </c>
      <c r="F1500" s="47">
        <f>IF(_imp!$C$1502="","",INDEX(_imp!$H$4:$H$1503,_imp!$C$1502))</f>
        <v/>
      </c>
      <c r="G1500" s="47">
        <f>IF(_imp!$C$1502="","",INDEX(_imp!$I$4:$I$1503,_imp!$C$1502))</f>
        <v/>
      </c>
      <c r="K1500" s="47">
        <f>IF(_imp!$C$1502="","",INDEX(_imp!$J$4:$J$1503,_imp!$C$1502))</f>
        <v/>
      </c>
    </row>
    <row r="1501">
      <c r="A1501" s="47">
        <f>IF(_imp!$C$1503="","",INDEX(_imp!$D$4:$D$1503,_imp!$C$1503))</f>
        <v/>
      </c>
      <c r="B1501" s="47">
        <f>IF(_imp!$C$1503="","",INDEX(_imp!$E$4:$E$1503,_imp!$C$1503))</f>
        <v/>
      </c>
      <c r="C1501" s="47">
        <f>IF(_imp!$C$1503="","",INDEX(_imp!$F$4:$F$1503,_imp!$C$1503))</f>
        <v/>
      </c>
      <c r="E1501" s="47">
        <f>IF(_imp!$C$1503="","",INDEX(_imp!$G$4:$G$1503,_imp!$C$1503))</f>
        <v/>
      </c>
      <c r="F1501" s="47">
        <f>IF(_imp!$C$1503="","",INDEX(_imp!$H$4:$H$1503,_imp!$C$1503))</f>
        <v/>
      </c>
      <c r="G1501" s="47">
        <f>IF(_imp!$C$1503="","",INDEX(_imp!$I$4:$I$1503,_imp!$C$1503))</f>
        <v/>
      </c>
      <c r="K1501" s="47">
        <f>IF(_imp!$C$1503="","",INDEX(_imp!$J$4:$J$1503,_imp!$C$1503))</f>
        <v/>
      </c>
    </row>
  </sheetData>
  <printOptions horizontalCentered="0"/>
  <pageMargins left="0.4" right="0.4" top="0.5" bottom="0.6" header="0.5" footer="0.5"/>
  <pageSetup orientation="landscape" paperSize="1" fitToHeight="0" fitToWidth="1"/>
  <headerFooter>
    <oddHeader/>
    <oddFooter>&amp;C&amp;"Arial"&amp;8 expiryedge.com · page &amp;P of &amp;N</oddFooter>
    <evenHeader/>
    <evenFooter/>
    <firstHeader/>
    <firstFooter/>
  </headerFooter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52"/>
  <sheetViews>
    <sheetView showGridLines="0"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3" max="3"/>
    <col width="16" customWidth="1" min="5" max="5"/>
    <col width="50" customWidth="1" min="7" max="7"/>
  </cols>
  <sheetData>
    <row r="1">
      <c r="A1" s="13" t="inlineStr">
        <is>
          <t>Role</t>
        </is>
      </c>
      <c r="C1" s="13" t="inlineStr">
        <is>
          <t>State</t>
        </is>
      </c>
      <c r="E1" s="13" t="inlineStr">
        <is>
          <t>Priority</t>
        </is>
      </c>
      <c r="G1" s="48" t="inlineStr">
        <is>
          <t>About these lists</t>
        </is>
      </c>
    </row>
    <row r="2">
      <c r="A2" s="47" t="inlineStr">
        <is>
          <t>CNA</t>
        </is>
      </c>
      <c r="C2" s="47" t="inlineStr">
        <is>
          <t>AL</t>
        </is>
      </c>
      <c r="E2" s="47" t="inlineStr">
        <is>
          <t>Low</t>
        </is>
      </c>
      <c r="G2" s="49" t="inlineStr">
        <is>
          <t>These feed the dropdowns. To add an option, insert a row inside a list (above its last item) so the dropdown range grows with it. Priority must stay Low, Medium or High: ExpiryEdge imports those three values.</t>
        </is>
      </c>
    </row>
    <row r="3">
      <c r="A3" s="47" t="inlineStr">
        <is>
          <t>CMA / med aide</t>
        </is>
      </c>
      <c r="C3" s="47" t="inlineStr">
        <is>
          <t>AK</t>
        </is>
      </c>
      <c r="E3" s="47" t="inlineStr">
        <is>
          <t>Medium</t>
        </is>
      </c>
    </row>
    <row r="4">
      <c r="A4" s="47" t="inlineStr">
        <is>
          <t>Other</t>
        </is>
      </c>
      <c r="C4" s="47" t="inlineStr">
        <is>
          <t>AZ</t>
        </is>
      </c>
      <c r="E4" s="47" t="inlineStr">
        <is>
          <t>High</t>
        </is>
      </c>
    </row>
    <row r="5">
      <c r="C5" s="47" t="inlineStr">
        <is>
          <t>AR</t>
        </is>
      </c>
    </row>
    <row r="6">
      <c r="C6" s="47" t="inlineStr">
        <is>
          <t>CA</t>
        </is>
      </c>
    </row>
    <row r="7">
      <c r="C7" s="47" t="inlineStr">
        <is>
          <t>CO</t>
        </is>
      </c>
    </row>
    <row r="8">
      <c r="C8" s="47" t="inlineStr">
        <is>
          <t>CT</t>
        </is>
      </c>
    </row>
    <row r="9">
      <c r="C9" s="47" t="inlineStr">
        <is>
          <t>DE</t>
        </is>
      </c>
    </row>
    <row r="10">
      <c r="C10" s="47" t="inlineStr">
        <is>
          <t>DC</t>
        </is>
      </c>
    </row>
    <row r="11">
      <c r="C11" s="47" t="inlineStr">
        <is>
          <t>FL</t>
        </is>
      </c>
    </row>
    <row r="12">
      <c r="C12" s="47" t="inlineStr">
        <is>
          <t>GA</t>
        </is>
      </c>
    </row>
    <row r="13">
      <c r="C13" s="47" t="inlineStr">
        <is>
          <t>HI</t>
        </is>
      </c>
    </row>
    <row r="14">
      <c r="C14" s="47" t="inlineStr">
        <is>
          <t>ID</t>
        </is>
      </c>
    </row>
    <row r="15">
      <c r="C15" s="47" t="inlineStr">
        <is>
          <t>IL</t>
        </is>
      </c>
    </row>
    <row r="16">
      <c r="C16" s="47" t="inlineStr">
        <is>
          <t>IN</t>
        </is>
      </c>
    </row>
    <row r="17">
      <c r="C17" s="47" t="inlineStr">
        <is>
          <t>IA</t>
        </is>
      </c>
    </row>
    <row r="18">
      <c r="C18" s="47" t="inlineStr">
        <is>
          <t>KS</t>
        </is>
      </c>
    </row>
    <row r="19">
      <c r="C19" s="47" t="inlineStr">
        <is>
          <t>KY</t>
        </is>
      </c>
    </row>
    <row r="20">
      <c r="C20" s="47" t="inlineStr">
        <is>
          <t>LA</t>
        </is>
      </c>
    </row>
    <row r="21">
      <c r="C21" s="47" t="inlineStr">
        <is>
          <t>ME</t>
        </is>
      </c>
    </row>
    <row r="22">
      <c r="C22" s="47" t="inlineStr">
        <is>
          <t>MD</t>
        </is>
      </c>
    </row>
    <row r="23">
      <c r="C23" s="47" t="inlineStr">
        <is>
          <t>MA</t>
        </is>
      </c>
    </row>
    <row r="24">
      <c r="C24" s="47" t="inlineStr">
        <is>
          <t>MI</t>
        </is>
      </c>
    </row>
    <row r="25">
      <c r="C25" s="47" t="inlineStr">
        <is>
          <t>MN</t>
        </is>
      </c>
    </row>
    <row r="26">
      <c r="C26" s="47" t="inlineStr">
        <is>
          <t>MS</t>
        </is>
      </c>
    </row>
    <row r="27">
      <c r="C27" s="47" t="inlineStr">
        <is>
          <t>MO</t>
        </is>
      </c>
    </row>
    <row r="28">
      <c r="C28" s="47" t="inlineStr">
        <is>
          <t>MT</t>
        </is>
      </c>
    </row>
    <row r="29">
      <c r="C29" s="47" t="inlineStr">
        <is>
          <t>NE</t>
        </is>
      </c>
    </row>
    <row r="30">
      <c r="C30" s="47" t="inlineStr">
        <is>
          <t>NV</t>
        </is>
      </c>
    </row>
    <row r="31">
      <c r="C31" s="47" t="inlineStr">
        <is>
          <t>NH</t>
        </is>
      </c>
    </row>
    <row r="32">
      <c r="C32" s="47" t="inlineStr">
        <is>
          <t>NJ</t>
        </is>
      </c>
    </row>
    <row r="33">
      <c r="C33" s="47" t="inlineStr">
        <is>
          <t>NM</t>
        </is>
      </c>
    </row>
    <row r="34">
      <c r="C34" s="47" t="inlineStr">
        <is>
          <t>NY</t>
        </is>
      </c>
    </row>
    <row r="35">
      <c r="C35" s="47" t="inlineStr">
        <is>
          <t>NC</t>
        </is>
      </c>
    </row>
    <row r="36">
      <c r="C36" s="47" t="inlineStr">
        <is>
          <t>ND</t>
        </is>
      </c>
    </row>
    <row r="37">
      <c r="C37" s="47" t="inlineStr">
        <is>
          <t>OH</t>
        </is>
      </c>
    </row>
    <row r="38">
      <c r="C38" s="47" t="inlineStr">
        <is>
          <t>OK</t>
        </is>
      </c>
    </row>
    <row r="39">
      <c r="C39" s="47" t="inlineStr">
        <is>
          <t>OR</t>
        </is>
      </c>
    </row>
    <row r="40">
      <c r="C40" s="47" t="inlineStr">
        <is>
          <t>PA</t>
        </is>
      </c>
    </row>
    <row r="41">
      <c r="C41" s="47" t="inlineStr">
        <is>
          <t>RI</t>
        </is>
      </c>
    </row>
    <row r="42">
      <c r="C42" s="47" t="inlineStr">
        <is>
          <t>SC</t>
        </is>
      </c>
    </row>
    <row r="43">
      <c r="C43" s="47" t="inlineStr">
        <is>
          <t>SD</t>
        </is>
      </c>
    </row>
    <row r="44">
      <c r="C44" s="47" t="inlineStr">
        <is>
          <t>TN</t>
        </is>
      </c>
    </row>
    <row r="45">
      <c r="C45" s="47" t="inlineStr">
        <is>
          <t>TX</t>
        </is>
      </c>
    </row>
    <row r="46">
      <c r="C46" s="47" t="inlineStr">
        <is>
          <t>UT</t>
        </is>
      </c>
    </row>
    <row r="47">
      <c r="C47" s="47" t="inlineStr">
        <is>
          <t>VT</t>
        </is>
      </c>
    </row>
    <row r="48">
      <c r="C48" s="47" t="inlineStr">
        <is>
          <t>VA</t>
        </is>
      </c>
    </row>
    <row r="49">
      <c r="C49" s="47" t="inlineStr">
        <is>
          <t>WA</t>
        </is>
      </c>
    </row>
    <row r="50">
      <c r="C50" s="47" t="inlineStr">
        <is>
          <t>WV</t>
        </is>
      </c>
    </row>
    <row r="51">
      <c r="C51" s="47" t="inlineStr">
        <is>
          <t>WI</t>
        </is>
      </c>
    </row>
    <row r="52">
      <c r="C52" s="47" t="inlineStr">
        <is>
          <t>WY</t>
        </is>
      </c>
    </row>
  </sheetData>
  <printOptions horizontalCentered="0"/>
  <pageMargins left="0.4" right="0.4" top="0.5" bottom="0.6" header="0.5" footer="0.5"/>
  <pageSetup orientation="portrait" paperSize="1" fitToHeight="0" fitToWidth="1"/>
  <headerFooter>
    <oddHeader/>
    <oddFooter>&amp;C&amp;"Arial"&amp;8 expiryedge.com · 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3:E503"/>
  <sheetViews>
    <sheetView tabSelected="0" workbookViewId="0">
      <selection activeCell="A1" sqref="A1"/>
    </sheetView>
  </sheetViews>
  <sheetFormatPr baseColWidth="8" defaultRowHeight="15"/>
  <sheetData>
    <row r="3">
      <c r="A3" t="inlineStr">
        <is>
          <t>next_key</t>
        </is>
      </c>
      <c r="B3" t="inlineStr">
        <is>
          <t>import_seq</t>
        </is>
      </c>
      <c r="C3" t="inlineStr">
        <is>
          <t>kth_key</t>
        </is>
      </c>
      <c r="D3" t="inlineStr">
        <is>
          <t>kth_pos</t>
        </is>
      </c>
      <c r="E3" t="inlineStr">
        <is>
          <t>import_pos</t>
        </is>
      </c>
    </row>
    <row r="4">
      <c r="A4">
        <f>IF(AND(LEN('Aides'!A4)&gt;0,ISNUMBER('Aides'!I4)),'Aides'!I4+1/100000,"")</f>
        <v/>
      </c>
      <c r="B4">
        <f>IF(AND(LEN('Aides'!A4)&gt;0,ISNUMBER('Aides'!I4)),MAX($B$3:B3)+1,"")</f>
        <v/>
      </c>
      <c r="C4">
        <f>IFERROR(SMALL($A$4:$A$503,1),"")</f>
        <v/>
      </c>
      <c r="D4">
        <f>IF(C4="","",MATCH(C4,$A$4:$A$503,0))</f>
        <v/>
      </c>
      <c r="E4">
        <f>IFERROR(MATCH(1,$B$4:$B$503,0),"")</f>
        <v/>
      </c>
    </row>
    <row r="5">
      <c r="A5">
        <f>IF(AND(LEN('Aides'!A5)&gt;0,ISNUMBER('Aides'!I5)),'Aides'!I5+2/100000,"")</f>
        <v/>
      </c>
      <c r="B5">
        <f>IF(AND(LEN('Aides'!A5)&gt;0,ISNUMBER('Aides'!I5)),MAX($B$3:B4)+1,"")</f>
        <v/>
      </c>
      <c r="C5">
        <f>IFERROR(SMALL($A$4:$A$503,2),"")</f>
        <v/>
      </c>
      <c r="D5">
        <f>IF(C5="","",MATCH(C5,$A$4:$A$503,0))</f>
        <v/>
      </c>
      <c r="E5">
        <f>IFERROR(MATCH(2,$B$4:$B$503,0),"")</f>
        <v/>
      </c>
    </row>
    <row r="6">
      <c r="A6">
        <f>IF(AND(LEN('Aides'!A6)&gt;0,ISNUMBER('Aides'!I6)),'Aides'!I6+3/100000,"")</f>
        <v/>
      </c>
      <c r="B6">
        <f>IF(AND(LEN('Aides'!A6)&gt;0,ISNUMBER('Aides'!I6)),MAX($B$3:B5)+1,"")</f>
        <v/>
      </c>
      <c r="C6">
        <f>IFERROR(SMALL($A$4:$A$503,3),"")</f>
        <v/>
      </c>
      <c r="D6">
        <f>IF(C6="","",MATCH(C6,$A$4:$A$503,0))</f>
        <v/>
      </c>
      <c r="E6">
        <f>IFERROR(MATCH(3,$B$4:$B$503,0),"")</f>
        <v/>
      </c>
    </row>
    <row r="7">
      <c r="A7">
        <f>IF(AND(LEN('Aides'!A7)&gt;0,ISNUMBER('Aides'!I7)),'Aides'!I7+4/100000,"")</f>
        <v/>
      </c>
      <c r="B7">
        <f>IF(AND(LEN('Aides'!A7)&gt;0,ISNUMBER('Aides'!I7)),MAX($B$3:B6)+1,"")</f>
        <v/>
      </c>
      <c r="C7">
        <f>IFERROR(SMALL($A$4:$A$503,4),"")</f>
        <v/>
      </c>
      <c r="D7">
        <f>IF(C7="","",MATCH(C7,$A$4:$A$503,0))</f>
        <v/>
      </c>
      <c r="E7">
        <f>IFERROR(MATCH(4,$B$4:$B$503,0),"")</f>
        <v/>
      </c>
    </row>
    <row r="8">
      <c r="A8">
        <f>IF(AND(LEN('Aides'!A8)&gt;0,ISNUMBER('Aides'!I8)),'Aides'!I8+5/100000,"")</f>
        <v/>
      </c>
      <c r="B8">
        <f>IF(AND(LEN('Aides'!A8)&gt;0,ISNUMBER('Aides'!I8)),MAX($B$3:B7)+1,"")</f>
        <v/>
      </c>
      <c r="C8">
        <f>IFERROR(SMALL($A$4:$A$503,5),"")</f>
        <v/>
      </c>
      <c r="D8">
        <f>IF(C8="","",MATCH(C8,$A$4:$A$503,0))</f>
        <v/>
      </c>
      <c r="E8">
        <f>IFERROR(MATCH(5,$B$4:$B$503,0),"")</f>
        <v/>
      </c>
    </row>
    <row r="9">
      <c r="A9">
        <f>IF(AND(LEN('Aides'!A9)&gt;0,ISNUMBER('Aides'!I9)),'Aides'!I9+6/100000,"")</f>
        <v/>
      </c>
      <c r="B9">
        <f>IF(AND(LEN('Aides'!A9)&gt;0,ISNUMBER('Aides'!I9)),MAX($B$3:B8)+1,"")</f>
        <v/>
      </c>
      <c r="C9">
        <f>IFERROR(SMALL($A$4:$A$503,6),"")</f>
        <v/>
      </c>
      <c r="D9">
        <f>IF(C9="","",MATCH(C9,$A$4:$A$503,0))</f>
        <v/>
      </c>
      <c r="E9">
        <f>IFERROR(MATCH(6,$B$4:$B$503,0),"")</f>
        <v/>
      </c>
    </row>
    <row r="10">
      <c r="A10">
        <f>IF(AND(LEN('Aides'!A10)&gt;0,ISNUMBER('Aides'!I10)),'Aides'!I10+7/100000,"")</f>
        <v/>
      </c>
      <c r="B10">
        <f>IF(AND(LEN('Aides'!A10)&gt;0,ISNUMBER('Aides'!I10)),MAX($B$3:B9)+1,"")</f>
        <v/>
      </c>
      <c r="C10">
        <f>IFERROR(SMALL($A$4:$A$503,7),"")</f>
        <v/>
      </c>
      <c r="D10">
        <f>IF(C10="","",MATCH(C10,$A$4:$A$503,0))</f>
        <v/>
      </c>
      <c r="E10">
        <f>IFERROR(MATCH(7,$B$4:$B$503,0),"")</f>
        <v/>
      </c>
    </row>
    <row r="11">
      <c r="A11">
        <f>IF(AND(LEN('Aides'!A11)&gt;0,ISNUMBER('Aides'!I11)),'Aides'!I11+8/100000,"")</f>
        <v/>
      </c>
      <c r="B11">
        <f>IF(AND(LEN('Aides'!A11)&gt;0,ISNUMBER('Aides'!I11)),MAX($B$3:B10)+1,"")</f>
        <v/>
      </c>
      <c r="C11">
        <f>IFERROR(SMALL($A$4:$A$503,8),"")</f>
        <v/>
      </c>
      <c r="D11">
        <f>IF(C11="","",MATCH(C11,$A$4:$A$503,0))</f>
        <v/>
      </c>
      <c r="E11">
        <f>IFERROR(MATCH(8,$B$4:$B$503,0),"")</f>
        <v/>
      </c>
    </row>
    <row r="12">
      <c r="A12">
        <f>IF(AND(LEN('Aides'!A12)&gt;0,ISNUMBER('Aides'!I12)),'Aides'!I12+9/100000,"")</f>
        <v/>
      </c>
      <c r="B12">
        <f>IF(AND(LEN('Aides'!A12)&gt;0,ISNUMBER('Aides'!I12)),MAX($B$3:B11)+1,"")</f>
        <v/>
      </c>
      <c r="C12">
        <f>IFERROR(SMALL($A$4:$A$503,9),"")</f>
        <v/>
      </c>
      <c r="D12">
        <f>IF(C12="","",MATCH(C12,$A$4:$A$503,0))</f>
        <v/>
      </c>
      <c r="E12">
        <f>IFERROR(MATCH(9,$B$4:$B$503,0),"")</f>
        <v/>
      </c>
    </row>
    <row r="13">
      <c r="A13">
        <f>IF(AND(LEN('Aides'!A13)&gt;0,ISNUMBER('Aides'!I13)),'Aides'!I13+10/100000,"")</f>
        <v/>
      </c>
      <c r="B13">
        <f>IF(AND(LEN('Aides'!A13)&gt;0,ISNUMBER('Aides'!I13)),MAX($B$3:B12)+1,"")</f>
        <v/>
      </c>
      <c r="C13">
        <f>IFERROR(SMALL($A$4:$A$503,10),"")</f>
        <v/>
      </c>
      <c r="D13">
        <f>IF(C13="","",MATCH(C13,$A$4:$A$503,0))</f>
        <v/>
      </c>
      <c r="E13">
        <f>IFERROR(MATCH(10,$B$4:$B$503,0),"")</f>
        <v/>
      </c>
    </row>
    <row r="14">
      <c r="A14">
        <f>IF(AND(LEN('Aides'!A14)&gt;0,ISNUMBER('Aides'!I14)),'Aides'!I14+11/100000,"")</f>
        <v/>
      </c>
      <c r="B14">
        <f>IF(AND(LEN('Aides'!A14)&gt;0,ISNUMBER('Aides'!I14)),MAX($B$3:B13)+1,"")</f>
        <v/>
      </c>
      <c r="E14">
        <f>IFERROR(MATCH(11,$B$4:$B$503,0),"")</f>
        <v/>
      </c>
    </row>
    <row r="15">
      <c r="A15">
        <f>IF(AND(LEN('Aides'!A15)&gt;0,ISNUMBER('Aides'!I15)),'Aides'!I15+12/100000,"")</f>
        <v/>
      </c>
      <c r="B15">
        <f>IF(AND(LEN('Aides'!A15)&gt;0,ISNUMBER('Aides'!I15)),MAX($B$3:B14)+1,"")</f>
        <v/>
      </c>
      <c r="E15">
        <f>IFERROR(MATCH(12,$B$4:$B$503,0),"")</f>
        <v/>
      </c>
    </row>
    <row r="16">
      <c r="A16">
        <f>IF(AND(LEN('Aides'!A16)&gt;0,ISNUMBER('Aides'!I16)),'Aides'!I16+13/100000,"")</f>
        <v/>
      </c>
      <c r="B16">
        <f>IF(AND(LEN('Aides'!A16)&gt;0,ISNUMBER('Aides'!I16)),MAX($B$3:B15)+1,"")</f>
        <v/>
      </c>
      <c r="E16">
        <f>IFERROR(MATCH(13,$B$4:$B$503,0),"")</f>
        <v/>
      </c>
    </row>
    <row r="17">
      <c r="A17">
        <f>IF(AND(LEN('Aides'!A17)&gt;0,ISNUMBER('Aides'!I17)),'Aides'!I17+14/100000,"")</f>
        <v/>
      </c>
      <c r="B17">
        <f>IF(AND(LEN('Aides'!A17)&gt;0,ISNUMBER('Aides'!I17)),MAX($B$3:B16)+1,"")</f>
        <v/>
      </c>
      <c r="E17">
        <f>IFERROR(MATCH(14,$B$4:$B$503,0),"")</f>
        <v/>
      </c>
    </row>
    <row r="18">
      <c r="A18">
        <f>IF(AND(LEN('Aides'!A18)&gt;0,ISNUMBER('Aides'!I18)),'Aides'!I18+15/100000,"")</f>
        <v/>
      </c>
      <c r="B18">
        <f>IF(AND(LEN('Aides'!A18)&gt;0,ISNUMBER('Aides'!I18)),MAX($B$3:B17)+1,"")</f>
        <v/>
      </c>
      <c r="E18">
        <f>IFERROR(MATCH(15,$B$4:$B$503,0),"")</f>
        <v/>
      </c>
    </row>
    <row r="19">
      <c r="A19">
        <f>IF(AND(LEN('Aides'!A19)&gt;0,ISNUMBER('Aides'!I19)),'Aides'!I19+16/100000,"")</f>
        <v/>
      </c>
      <c r="B19">
        <f>IF(AND(LEN('Aides'!A19)&gt;0,ISNUMBER('Aides'!I19)),MAX($B$3:B18)+1,"")</f>
        <v/>
      </c>
      <c r="E19">
        <f>IFERROR(MATCH(16,$B$4:$B$503,0),"")</f>
        <v/>
      </c>
    </row>
    <row r="20">
      <c r="A20">
        <f>IF(AND(LEN('Aides'!A20)&gt;0,ISNUMBER('Aides'!I20)),'Aides'!I20+17/100000,"")</f>
        <v/>
      </c>
      <c r="B20">
        <f>IF(AND(LEN('Aides'!A20)&gt;0,ISNUMBER('Aides'!I20)),MAX($B$3:B19)+1,"")</f>
        <v/>
      </c>
      <c r="E20">
        <f>IFERROR(MATCH(17,$B$4:$B$503,0),"")</f>
        <v/>
      </c>
    </row>
    <row r="21">
      <c r="A21">
        <f>IF(AND(LEN('Aides'!A21)&gt;0,ISNUMBER('Aides'!I21)),'Aides'!I21+18/100000,"")</f>
        <v/>
      </c>
      <c r="B21">
        <f>IF(AND(LEN('Aides'!A21)&gt;0,ISNUMBER('Aides'!I21)),MAX($B$3:B20)+1,"")</f>
        <v/>
      </c>
      <c r="E21">
        <f>IFERROR(MATCH(18,$B$4:$B$503,0),"")</f>
        <v/>
      </c>
    </row>
    <row r="22">
      <c r="A22">
        <f>IF(AND(LEN('Aides'!A22)&gt;0,ISNUMBER('Aides'!I22)),'Aides'!I22+19/100000,"")</f>
        <v/>
      </c>
      <c r="B22">
        <f>IF(AND(LEN('Aides'!A22)&gt;0,ISNUMBER('Aides'!I22)),MAX($B$3:B21)+1,"")</f>
        <v/>
      </c>
      <c r="E22">
        <f>IFERROR(MATCH(19,$B$4:$B$503,0),"")</f>
        <v/>
      </c>
    </row>
    <row r="23">
      <c r="A23">
        <f>IF(AND(LEN('Aides'!A23)&gt;0,ISNUMBER('Aides'!I23)),'Aides'!I23+20/100000,"")</f>
        <v/>
      </c>
      <c r="B23">
        <f>IF(AND(LEN('Aides'!A23)&gt;0,ISNUMBER('Aides'!I23)),MAX($B$3:B22)+1,"")</f>
        <v/>
      </c>
      <c r="E23">
        <f>IFERROR(MATCH(20,$B$4:$B$503,0),"")</f>
        <v/>
      </c>
    </row>
    <row r="24">
      <c r="A24">
        <f>IF(AND(LEN('Aides'!A24)&gt;0,ISNUMBER('Aides'!I24)),'Aides'!I24+21/100000,"")</f>
        <v/>
      </c>
      <c r="B24">
        <f>IF(AND(LEN('Aides'!A24)&gt;0,ISNUMBER('Aides'!I24)),MAX($B$3:B23)+1,"")</f>
        <v/>
      </c>
      <c r="E24">
        <f>IFERROR(MATCH(21,$B$4:$B$503,0),"")</f>
        <v/>
      </c>
    </row>
    <row r="25">
      <c r="A25">
        <f>IF(AND(LEN('Aides'!A25)&gt;0,ISNUMBER('Aides'!I25)),'Aides'!I25+22/100000,"")</f>
        <v/>
      </c>
      <c r="B25">
        <f>IF(AND(LEN('Aides'!A25)&gt;0,ISNUMBER('Aides'!I25)),MAX($B$3:B24)+1,"")</f>
        <v/>
      </c>
      <c r="E25">
        <f>IFERROR(MATCH(22,$B$4:$B$503,0),"")</f>
        <v/>
      </c>
    </row>
    <row r="26">
      <c r="A26">
        <f>IF(AND(LEN('Aides'!A26)&gt;0,ISNUMBER('Aides'!I26)),'Aides'!I26+23/100000,"")</f>
        <v/>
      </c>
      <c r="B26">
        <f>IF(AND(LEN('Aides'!A26)&gt;0,ISNUMBER('Aides'!I26)),MAX($B$3:B25)+1,"")</f>
        <v/>
      </c>
      <c r="E26">
        <f>IFERROR(MATCH(23,$B$4:$B$503,0),"")</f>
        <v/>
      </c>
    </row>
    <row r="27">
      <c r="A27">
        <f>IF(AND(LEN('Aides'!A27)&gt;0,ISNUMBER('Aides'!I27)),'Aides'!I27+24/100000,"")</f>
        <v/>
      </c>
      <c r="B27">
        <f>IF(AND(LEN('Aides'!A27)&gt;0,ISNUMBER('Aides'!I27)),MAX($B$3:B26)+1,"")</f>
        <v/>
      </c>
      <c r="E27">
        <f>IFERROR(MATCH(24,$B$4:$B$503,0),"")</f>
        <v/>
      </c>
    </row>
    <row r="28">
      <c r="A28">
        <f>IF(AND(LEN('Aides'!A28)&gt;0,ISNUMBER('Aides'!I28)),'Aides'!I28+25/100000,"")</f>
        <v/>
      </c>
      <c r="B28">
        <f>IF(AND(LEN('Aides'!A28)&gt;0,ISNUMBER('Aides'!I28)),MAX($B$3:B27)+1,"")</f>
        <v/>
      </c>
      <c r="E28">
        <f>IFERROR(MATCH(25,$B$4:$B$503,0),"")</f>
        <v/>
      </c>
    </row>
    <row r="29">
      <c r="A29">
        <f>IF(AND(LEN('Aides'!A29)&gt;0,ISNUMBER('Aides'!I29)),'Aides'!I29+26/100000,"")</f>
        <v/>
      </c>
      <c r="B29">
        <f>IF(AND(LEN('Aides'!A29)&gt;0,ISNUMBER('Aides'!I29)),MAX($B$3:B28)+1,"")</f>
        <v/>
      </c>
      <c r="E29">
        <f>IFERROR(MATCH(26,$B$4:$B$503,0),"")</f>
        <v/>
      </c>
    </row>
    <row r="30">
      <c r="A30">
        <f>IF(AND(LEN('Aides'!A30)&gt;0,ISNUMBER('Aides'!I30)),'Aides'!I30+27/100000,"")</f>
        <v/>
      </c>
      <c r="B30">
        <f>IF(AND(LEN('Aides'!A30)&gt;0,ISNUMBER('Aides'!I30)),MAX($B$3:B29)+1,"")</f>
        <v/>
      </c>
      <c r="E30">
        <f>IFERROR(MATCH(27,$B$4:$B$503,0),"")</f>
        <v/>
      </c>
    </row>
    <row r="31">
      <c r="A31">
        <f>IF(AND(LEN('Aides'!A31)&gt;0,ISNUMBER('Aides'!I31)),'Aides'!I31+28/100000,"")</f>
        <v/>
      </c>
      <c r="B31">
        <f>IF(AND(LEN('Aides'!A31)&gt;0,ISNUMBER('Aides'!I31)),MAX($B$3:B30)+1,"")</f>
        <v/>
      </c>
      <c r="E31">
        <f>IFERROR(MATCH(28,$B$4:$B$503,0),"")</f>
        <v/>
      </c>
    </row>
    <row r="32">
      <c r="A32">
        <f>IF(AND(LEN('Aides'!A32)&gt;0,ISNUMBER('Aides'!I32)),'Aides'!I32+29/100000,"")</f>
        <v/>
      </c>
      <c r="B32">
        <f>IF(AND(LEN('Aides'!A32)&gt;0,ISNUMBER('Aides'!I32)),MAX($B$3:B31)+1,"")</f>
        <v/>
      </c>
      <c r="E32">
        <f>IFERROR(MATCH(29,$B$4:$B$503,0),"")</f>
        <v/>
      </c>
    </row>
    <row r="33">
      <c r="A33">
        <f>IF(AND(LEN('Aides'!A33)&gt;0,ISNUMBER('Aides'!I33)),'Aides'!I33+30/100000,"")</f>
        <v/>
      </c>
      <c r="B33">
        <f>IF(AND(LEN('Aides'!A33)&gt;0,ISNUMBER('Aides'!I33)),MAX($B$3:B32)+1,"")</f>
        <v/>
      </c>
      <c r="E33">
        <f>IFERROR(MATCH(30,$B$4:$B$503,0),"")</f>
        <v/>
      </c>
    </row>
    <row r="34">
      <c r="A34">
        <f>IF(AND(LEN('Aides'!A34)&gt;0,ISNUMBER('Aides'!I34)),'Aides'!I34+31/100000,"")</f>
        <v/>
      </c>
      <c r="B34">
        <f>IF(AND(LEN('Aides'!A34)&gt;0,ISNUMBER('Aides'!I34)),MAX($B$3:B33)+1,"")</f>
        <v/>
      </c>
      <c r="E34">
        <f>IFERROR(MATCH(31,$B$4:$B$503,0),"")</f>
        <v/>
      </c>
    </row>
    <row r="35">
      <c r="A35">
        <f>IF(AND(LEN('Aides'!A35)&gt;0,ISNUMBER('Aides'!I35)),'Aides'!I35+32/100000,"")</f>
        <v/>
      </c>
      <c r="B35">
        <f>IF(AND(LEN('Aides'!A35)&gt;0,ISNUMBER('Aides'!I35)),MAX($B$3:B34)+1,"")</f>
        <v/>
      </c>
      <c r="E35">
        <f>IFERROR(MATCH(32,$B$4:$B$503,0),"")</f>
        <v/>
      </c>
    </row>
    <row r="36">
      <c r="A36">
        <f>IF(AND(LEN('Aides'!A36)&gt;0,ISNUMBER('Aides'!I36)),'Aides'!I36+33/100000,"")</f>
        <v/>
      </c>
      <c r="B36">
        <f>IF(AND(LEN('Aides'!A36)&gt;0,ISNUMBER('Aides'!I36)),MAX($B$3:B35)+1,"")</f>
        <v/>
      </c>
      <c r="E36">
        <f>IFERROR(MATCH(33,$B$4:$B$503,0),"")</f>
        <v/>
      </c>
    </row>
    <row r="37">
      <c r="A37">
        <f>IF(AND(LEN('Aides'!A37)&gt;0,ISNUMBER('Aides'!I37)),'Aides'!I37+34/100000,"")</f>
        <v/>
      </c>
      <c r="B37">
        <f>IF(AND(LEN('Aides'!A37)&gt;0,ISNUMBER('Aides'!I37)),MAX($B$3:B36)+1,"")</f>
        <v/>
      </c>
      <c r="E37">
        <f>IFERROR(MATCH(34,$B$4:$B$503,0),"")</f>
        <v/>
      </c>
    </row>
    <row r="38">
      <c r="A38">
        <f>IF(AND(LEN('Aides'!A38)&gt;0,ISNUMBER('Aides'!I38)),'Aides'!I38+35/100000,"")</f>
        <v/>
      </c>
      <c r="B38">
        <f>IF(AND(LEN('Aides'!A38)&gt;0,ISNUMBER('Aides'!I38)),MAX($B$3:B37)+1,"")</f>
        <v/>
      </c>
      <c r="E38">
        <f>IFERROR(MATCH(35,$B$4:$B$503,0),"")</f>
        <v/>
      </c>
    </row>
    <row r="39">
      <c r="A39">
        <f>IF(AND(LEN('Aides'!A39)&gt;0,ISNUMBER('Aides'!I39)),'Aides'!I39+36/100000,"")</f>
        <v/>
      </c>
      <c r="B39">
        <f>IF(AND(LEN('Aides'!A39)&gt;0,ISNUMBER('Aides'!I39)),MAX($B$3:B38)+1,"")</f>
        <v/>
      </c>
      <c r="E39">
        <f>IFERROR(MATCH(36,$B$4:$B$503,0),"")</f>
        <v/>
      </c>
    </row>
    <row r="40">
      <c r="A40">
        <f>IF(AND(LEN('Aides'!A40)&gt;0,ISNUMBER('Aides'!I40)),'Aides'!I40+37/100000,"")</f>
        <v/>
      </c>
      <c r="B40">
        <f>IF(AND(LEN('Aides'!A40)&gt;0,ISNUMBER('Aides'!I40)),MAX($B$3:B39)+1,"")</f>
        <v/>
      </c>
      <c r="E40">
        <f>IFERROR(MATCH(37,$B$4:$B$503,0),"")</f>
        <v/>
      </c>
    </row>
    <row r="41">
      <c r="A41">
        <f>IF(AND(LEN('Aides'!A41)&gt;0,ISNUMBER('Aides'!I41)),'Aides'!I41+38/100000,"")</f>
        <v/>
      </c>
      <c r="B41">
        <f>IF(AND(LEN('Aides'!A41)&gt;0,ISNUMBER('Aides'!I41)),MAX($B$3:B40)+1,"")</f>
        <v/>
      </c>
      <c r="E41">
        <f>IFERROR(MATCH(38,$B$4:$B$503,0),"")</f>
        <v/>
      </c>
    </row>
    <row r="42">
      <c r="A42">
        <f>IF(AND(LEN('Aides'!A42)&gt;0,ISNUMBER('Aides'!I42)),'Aides'!I42+39/100000,"")</f>
        <v/>
      </c>
      <c r="B42">
        <f>IF(AND(LEN('Aides'!A42)&gt;0,ISNUMBER('Aides'!I42)),MAX($B$3:B41)+1,"")</f>
        <v/>
      </c>
      <c r="E42">
        <f>IFERROR(MATCH(39,$B$4:$B$503,0),"")</f>
        <v/>
      </c>
    </row>
    <row r="43">
      <c r="A43">
        <f>IF(AND(LEN('Aides'!A43)&gt;0,ISNUMBER('Aides'!I43)),'Aides'!I43+40/100000,"")</f>
        <v/>
      </c>
      <c r="B43">
        <f>IF(AND(LEN('Aides'!A43)&gt;0,ISNUMBER('Aides'!I43)),MAX($B$3:B42)+1,"")</f>
        <v/>
      </c>
      <c r="E43">
        <f>IFERROR(MATCH(40,$B$4:$B$503,0),"")</f>
        <v/>
      </c>
    </row>
    <row r="44">
      <c r="A44">
        <f>IF(AND(LEN('Aides'!A44)&gt;0,ISNUMBER('Aides'!I44)),'Aides'!I44+41/100000,"")</f>
        <v/>
      </c>
      <c r="B44">
        <f>IF(AND(LEN('Aides'!A44)&gt;0,ISNUMBER('Aides'!I44)),MAX($B$3:B43)+1,"")</f>
        <v/>
      </c>
      <c r="E44">
        <f>IFERROR(MATCH(41,$B$4:$B$503,0),"")</f>
        <v/>
      </c>
    </row>
    <row r="45">
      <c r="A45">
        <f>IF(AND(LEN('Aides'!A45)&gt;0,ISNUMBER('Aides'!I45)),'Aides'!I45+42/100000,"")</f>
        <v/>
      </c>
      <c r="B45">
        <f>IF(AND(LEN('Aides'!A45)&gt;0,ISNUMBER('Aides'!I45)),MAX($B$3:B44)+1,"")</f>
        <v/>
      </c>
      <c r="E45">
        <f>IFERROR(MATCH(42,$B$4:$B$503,0),"")</f>
        <v/>
      </c>
    </row>
    <row r="46">
      <c r="A46">
        <f>IF(AND(LEN('Aides'!A46)&gt;0,ISNUMBER('Aides'!I46)),'Aides'!I46+43/100000,"")</f>
        <v/>
      </c>
      <c r="B46">
        <f>IF(AND(LEN('Aides'!A46)&gt;0,ISNUMBER('Aides'!I46)),MAX($B$3:B45)+1,"")</f>
        <v/>
      </c>
      <c r="E46">
        <f>IFERROR(MATCH(43,$B$4:$B$503,0),"")</f>
        <v/>
      </c>
    </row>
    <row r="47">
      <c r="A47">
        <f>IF(AND(LEN('Aides'!A47)&gt;0,ISNUMBER('Aides'!I47)),'Aides'!I47+44/100000,"")</f>
        <v/>
      </c>
      <c r="B47">
        <f>IF(AND(LEN('Aides'!A47)&gt;0,ISNUMBER('Aides'!I47)),MAX($B$3:B46)+1,"")</f>
        <v/>
      </c>
      <c r="E47">
        <f>IFERROR(MATCH(44,$B$4:$B$503,0),"")</f>
        <v/>
      </c>
    </row>
    <row r="48">
      <c r="A48">
        <f>IF(AND(LEN('Aides'!A48)&gt;0,ISNUMBER('Aides'!I48)),'Aides'!I48+45/100000,"")</f>
        <v/>
      </c>
      <c r="B48">
        <f>IF(AND(LEN('Aides'!A48)&gt;0,ISNUMBER('Aides'!I48)),MAX($B$3:B47)+1,"")</f>
        <v/>
      </c>
      <c r="E48">
        <f>IFERROR(MATCH(45,$B$4:$B$503,0),"")</f>
        <v/>
      </c>
    </row>
    <row r="49">
      <c r="A49">
        <f>IF(AND(LEN('Aides'!A49)&gt;0,ISNUMBER('Aides'!I49)),'Aides'!I49+46/100000,"")</f>
        <v/>
      </c>
      <c r="B49">
        <f>IF(AND(LEN('Aides'!A49)&gt;0,ISNUMBER('Aides'!I49)),MAX($B$3:B48)+1,"")</f>
        <v/>
      </c>
      <c r="E49">
        <f>IFERROR(MATCH(46,$B$4:$B$503,0),"")</f>
        <v/>
      </c>
    </row>
    <row r="50">
      <c r="A50">
        <f>IF(AND(LEN('Aides'!A50)&gt;0,ISNUMBER('Aides'!I50)),'Aides'!I50+47/100000,"")</f>
        <v/>
      </c>
      <c r="B50">
        <f>IF(AND(LEN('Aides'!A50)&gt;0,ISNUMBER('Aides'!I50)),MAX($B$3:B49)+1,"")</f>
        <v/>
      </c>
      <c r="E50">
        <f>IFERROR(MATCH(47,$B$4:$B$503,0),"")</f>
        <v/>
      </c>
    </row>
    <row r="51">
      <c r="A51">
        <f>IF(AND(LEN('Aides'!A51)&gt;0,ISNUMBER('Aides'!I51)),'Aides'!I51+48/100000,"")</f>
        <v/>
      </c>
      <c r="B51">
        <f>IF(AND(LEN('Aides'!A51)&gt;0,ISNUMBER('Aides'!I51)),MAX($B$3:B50)+1,"")</f>
        <v/>
      </c>
      <c r="E51">
        <f>IFERROR(MATCH(48,$B$4:$B$503,0),"")</f>
        <v/>
      </c>
    </row>
    <row r="52">
      <c r="A52">
        <f>IF(AND(LEN('Aides'!A52)&gt;0,ISNUMBER('Aides'!I52)),'Aides'!I52+49/100000,"")</f>
        <v/>
      </c>
      <c r="B52">
        <f>IF(AND(LEN('Aides'!A52)&gt;0,ISNUMBER('Aides'!I52)),MAX($B$3:B51)+1,"")</f>
        <v/>
      </c>
      <c r="E52">
        <f>IFERROR(MATCH(49,$B$4:$B$503,0),"")</f>
        <v/>
      </c>
    </row>
    <row r="53">
      <c r="A53">
        <f>IF(AND(LEN('Aides'!A53)&gt;0,ISNUMBER('Aides'!I53)),'Aides'!I53+50/100000,"")</f>
        <v/>
      </c>
      <c r="B53">
        <f>IF(AND(LEN('Aides'!A53)&gt;0,ISNUMBER('Aides'!I53)),MAX($B$3:B52)+1,"")</f>
        <v/>
      </c>
      <c r="E53">
        <f>IFERROR(MATCH(50,$B$4:$B$503,0),"")</f>
        <v/>
      </c>
    </row>
    <row r="54">
      <c r="A54">
        <f>IF(AND(LEN('Aides'!A54)&gt;0,ISNUMBER('Aides'!I54)),'Aides'!I54+51/100000,"")</f>
        <v/>
      </c>
      <c r="B54">
        <f>IF(AND(LEN('Aides'!A54)&gt;0,ISNUMBER('Aides'!I54)),MAX($B$3:B53)+1,"")</f>
        <v/>
      </c>
      <c r="E54">
        <f>IFERROR(MATCH(51,$B$4:$B$503,0),"")</f>
        <v/>
      </c>
    </row>
    <row r="55">
      <c r="A55">
        <f>IF(AND(LEN('Aides'!A55)&gt;0,ISNUMBER('Aides'!I55)),'Aides'!I55+52/100000,"")</f>
        <v/>
      </c>
      <c r="B55">
        <f>IF(AND(LEN('Aides'!A55)&gt;0,ISNUMBER('Aides'!I55)),MAX($B$3:B54)+1,"")</f>
        <v/>
      </c>
      <c r="E55">
        <f>IFERROR(MATCH(52,$B$4:$B$503,0),"")</f>
        <v/>
      </c>
    </row>
    <row r="56">
      <c r="A56">
        <f>IF(AND(LEN('Aides'!A56)&gt;0,ISNUMBER('Aides'!I56)),'Aides'!I56+53/100000,"")</f>
        <v/>
      </c>
      <c r="B56">
        <f>IF(AND(LEN('Aides'!A56)&gt;0,ISNUMBER('Aides'!I56)),MAX($B$3:B55)+1,"")</f>
        <v/>
      </c>
      <c r="E56">
        <f>IFERROR(MATCH(53,$B$4:$B$503,0),"")</f>
        <v/>
      </c>
    </row>
    <row r="57">
      <c r="A57">
        <f>IF(AND(LEN('Aides'!A57)&gt;0,ISNUMBER('Aides'!I57)),'Aides'!I57+54/100000,"")</f>
        <v/>
      </c>
      <c r="B57">
        <f>IF(AND(LEN('Aides'!A57)&gt;0,ISNUMBER('Aides'!I57)),MAX($B$3:B56)+1,"")</f>
        <v/>
      </c>
      <c r="E57">
        <f>IFERROR(MATCH(54,$B$4:$B$503,0),"")</f>
        <v/>
      </c>
    </row>
    <row r="58">
      <c r="A58">
        <f>IF(AND(LEN('Aides'!A58)&gt;0,ISNUMBER('Aides'!I58)),'Aides'!I58+55/100000,"")</f>
        <v/>
      </c>
      <c r="B58">
        <f>IF(AND(LEN('Aides'!A58)&gt;0,ISNUMBER('Aides'!I58)),MAX($B$3:B57)+1,"")</f>
        <v/>
      </c>
      <c r="E58">
        <f>IFERROR(MATCH(55,$B$4:$B$503,0),"")</f>
        <v/>
      </c>
    </row>
    <row r="59">
      <c r="A59">
        <f>IF(AND(LEN('Aides'!A59)&gt;0,ISNUMBER('Aides'!I59)),'Aides'!I59+56/100000,"")</f>
        <v/>
      </c>
      <c r="B59">
        <f>IF(AND(LEN('Aides'!A59)&gt;0,ISNUMBER('Aides'!I59)),MAX($B$3:B58)+1,"")</f>
        <v/>
      </c>
      <c r="E59">
        <f>IFERROR(MATCH(56,$B$4:$B$503,0),"")</f>
        <v/>
      </c>
    </row>
    <row r="60">
      <c r="A60">
        <f>IF(AND(LEN('Aides'!A60)&gt;0,ISNUMBER('Aides'!I60)),'Aides'!I60+57/100000,"")</f>
        <v/>
      </c>
      <c r="B60">
        <f>IF(AND(LEN('Aides'!A60)&gt;0,ISNUMBER('Aides'!I60)),MAX($B$3:B59)+1,"")</f>
        <v/>
      </c>
      <c r="E60">
        <f>IFERROR(MATCH(57,$B$4:$B$503,0),"")</f>
        <v/>
      </c>
    </row>
    <row r="61">
      <c r="A61">
        <f>IF(AND(LEN('Aides'!A61)&gt;0,ISNUMBER('Aides'!I61)),'Aides'!I61+58/100000,"")</f>
        <v/>
      </c>
      <c r="B61">
        <f>IF(AND(LEN('Aides'!A61)&gt;0,ISNUMBER('Aides'!I61)),MAX($B$3:B60)+1,"")</f>
        <v/>
      </c>
      <c r="E61">
        <f>IFERROR(MATCH(58,$B$4:$B$503,0),"")</f>
        <v/>
      </c>
    </row>
    <row r="62">
      <c r="A62">
        <f>IF(AND(LEN('Aides'!A62)&gt;0,ISNUMBER('Aides'!I62)),'Aides'!I62+59/100000,"")</f>
        <v/>
      </c>
      <c r="B62">
        <f>IF(AND(LEN('Aides'!A62)&gt;0,ISNUMBER('Aides'!I62)),MAX($B$3:B61)+1,"")</f>
        <v/>
      </c>
      <c r="E62">
        <f>IFERROR(MATCH(59,$B$4:$B$503,0),"")</f>
        <v/>
      </c>
    </row>
    <row r="63">
      <c r="A63">
        <f>IF(AND(LEN('Aides'!A63)&gt;0,ISNUMBER('Aides'!I63)),'Aides'!I63+60/100000,"")</f>
        <v/>
      </c>
      <c r="B63">
        <f>IF(AND(LEN('Aides'!A63)&gt;0,ISNUMBER('Aides'!I63)),MAX($B$3:B62)+1,"")</f>
        <v/>
      </c>
      <c r="E63">
        <f>IFERROR(MATCH(60,$B$4:$B$503,0),"")</f>
        <v/>
      </c>
    </row>
    <row r="64">
      <c r="A64">
        <f>IF(AND(LEN('Aides'!A64)&gt;0,ISNUMBER('Aides'!I64)),'Aides'!I64+61/100000,"")</f>
        <v/>
      </c>
      <c r="B64">
        <f>IF(AND(LEN('Aides'!A64)&gt;0,ISNUMBER('Aides'!I64)),MAX($B$3:B63)+1,"")</f>
        <v/>
      </c>
      <c r="E64">
        <f>IFERROR(MATCH(61,$B$4:$B$503,0),"")</f>
        <v/>
      </c>
    </row>
    <row r="65">
      <c r="A65">
        <f>IF(AND(LEN('Aides'!A65)&gt;0,ISNUMBER('Aides'!I65)),'Aides'!I65+62/100000,"")</f>
        <v/>
      </c>
      <c r="B65">
        <f>IF(AND(LEN('Aides'!A65)&gt;0,ISNUMBER('Aides'!I65)),MAX($B$3:B64)+1,"")</f>
        <v/>
      </c>
      <c r="E65">
        <f>IFERROR(MATCH(62,$B$4:$B$503,0),"")</f>
        <v/>
      </c>
    </row>
    <row r="66">
      <c r="A66">
        <f>IF(AND(LEN('Aides'!A66)&gt;0,ISNUMBER('Aides'!I66)),'Aides'!I66+63/100000,"")</f>
        <v/>
      </c>
      <c r="B66">
        <f>IF(AND(LEN('Aides'!A66)&gt;0,ISNUMBER('Aides'!I66)),MAX($B$3:B65)+1,"")</f>
        <v/>
      </c>
      <c r="E66">
        <f>IFERROR(MATCH(63,$B$4:$B$503,0),"")</f>
        <v/>
      </c>
    </row>
    <row r="67">
      <c r="A67">
        <f>IF(AND(LEN('Aides'!A67)&gt;0,ISNUMBER('Aides'!I67)),'Aides'!I67+64/100000,"")</f>
        <v/>
      </c>
      <c r="B67">
        <f>IF(AND(LEN('Aides'!A67)&gt;0,ISNUMBER('Aides'!I67)),MAX($B$3:B66)+1,"")</f>
        <v/>
      </c>
      <c r="E67">
        <f>IFERROR(MATCH(64,$B$4:$B$503,0),"")</f>
        <v/>
      </c>
    </row>
    <row r="68">
      <c r="A68">
        <f>IF(AND(LEN('Aides'!A68)&gt;0,ISNUMBER('Aides'!I68)),'Aides'!I68+65/100000,"")</f>
        <v/>
      </c>
      <c r="B68">
        <f>IF(AND(LEN('Aides'!A68)&gt;0,ISNUMBER('Aides'!I68)),MAX($B$3:B67)+1,"")</f>
        <v/>
      </c>
      <c r="E68">
        <f>IFERROR(MATCH(65,$B$4:$B$503,0),"")</f>
        <v/>
      </c>
    </row>
    <row r="69">
      <c r="A69">
        <f>IF(AND(LEN('Aides'!A69)&gt;0,ISNUMBER('Aides'!I69)),'Aides'!I69+66/100000,"")</f>
        <v/>
      </c>
      <c r="B69">
        <f>IF(AND(LEN('Aides'!A69)&gt;0,ISNUMBER('Aides'!I69)),MAX($B$3:B68)+1,"")</f>
        <v/>
      </c>
      <c r="E69">
        <f>IFERROR(MATCH(66,$B$4:$B$503,0),"")</f>
        <v/>
      </c>
    </row>
    <row r="70">
      <c r="A70">
        <f>IF(AND(LEN('Aides'!A70)&gt;0,ISNUMBER('Aides'!I70)),'Aides'!I70+67/100000,"")</f>
        <v/>
      </c>
      <c r="B70">
        <f>IF(AND(LEN('Aides'!A70)&gt;0,ISNUMBER('Aides'!I70)),MAX($B$3:B69)+1,"")</f>
        <v/>
      </c>
      <c r="E70">
        <f>IFERROR(MATCH(67,$B$4:$B$503,0),"")</f>
        <v/>
      </c>
    </row>
    <row r="71">
      <c r="A71">
        <f>IF(AND(LEN('Aides'!A71)&gt;0,ISNUMBER('Aides'!I71)),'Aides'!I71+68/100000,"")</f>
        <v/>
      </c>
      <c r="B71">
        <f>IF(AND(LEN('Aides'!A71)&gt;0,ISNUMBER('Aides'!I71)),MAX($B$3:B70)+1,"")</f>
        <v/>
      </c>
      <c r="E71">
        <f>IFERROR(MATCH(68,$B$4:$B$503,0),"")</f>
        <v/>
      </c>
    </row>
    <row r="72">
      <c r="A72">
        <f>IF(AND(LEN('Aides'!A72)&gt;0,ISNUMBER('Aides'!I72)),'Aides'!I72+69/100000,"")</f>
        <v/>
      </c>
      <c r="B72">
        <f>IF(AND(LEN('Aides'!A72)&gt;0,ISNUMBER('Aides'!I72)),MAX($B$3:B71)+1,"")</f>
        <v/>
      </c>
      <c r="E72">
        <f>IFERROR(MATCH(69,$B$4:$B$503,0),"")</f>
        <v/>
      </c>
    </row>
    <row r="73">
      <c r="A73">
        <f>IF(AND(LEN('Aides'!A73)&gt;0,ISNUMBER('Aides'!I73)),'Aides'!I73+70/100000,"")</f>
        <v/>
      </c>
      <c r="B73">
        <f>IF(AND(LEN('Aides'!A73)&gt;0,ISNUMBER('Aides'!I73)),MAX($B$3:B72)+1,"")</f>
        <v/>
      </c>
      <c r="E73">
        <f>IFERROR(MATCH(70,$B$4:$B$503,0),"")</f>
        <v/>
      </c>
    </row>
    <row r="74">
      <c r="A74">
        <f>IF(AND(LEN('Aides'!A74)&gt;0,ISNUMBER('Aides'!I74)),'Aides'!I74+71/100000,"")</f>
        <v/>
      </c>
      <c r="B74">
        <f>IF(AND(LEN('Aides'!A74)&gt;0,ISNUMBER('Aides'!I74)),MAX($B$3:B73)+1,"")</f>
        <v/>
      </c>
      <c r="E74">
        <f>IFERROR(MATCH(71,$B$4:$B$503,0),"")</f>
        <v/>
      </c>
    </row>
    <row r="75">
      <c r="A75">
        <f>IF(AND(LEN('Aides'!A75)&gt;0,ISNUMBER('Aides'!I75)),'Aides'!I75+72/100000,"")</f>
        <v/>
      </c>
      <c r="B75">
        <f>IF(AND(LEN('Aides'!A75)&gt;0,ISNUMBER('Aides'!I75)),MAX($B$3:B74)+1,"")</f>
        <v/>
      </c>
      <c r="E75">
        <f>IFERROR(MATCH(72,$B$4:$B$503,0),"")</f>
        <v/>
      </c>
    </row>
    <row r="76">
      <c r="A76">
        <f>IF(AND(LEN('Aides'!A76)&gt;0,ISNUMBER('Aides'!I76)),'Aides'!I76+73/100000,"")</f>
        <v/>
      </c>
      <c r="B76">
        <f>IF(AND(LEN('Aides'!A76)&gt;0,ISNUMBER('Aides'!I76)),MAX($B$3:B75)+1,"")</f>
        <v/>
      </c>
      <c r="E76">
        <f>IFERROR(MATCH(73,$B$4:$B$503,0),"")</f>
        <v/>
      </c>
    </row>
    <row r="77">
      <c r="A77">
        <f>IF(AND(LEN('Aides'!A77)&gt;0,ISNUMBER('Aides'!I77)),'Aides'!I77+74/100000,"")</f>
        <v/>
      </c>
      <c r="B77">
        <f>IF(AND(LEN('Aides'!A77)&gt;0,ISNUMBER('Aides'!I77)),MAX($B$3:B76)+1,"")</f>
        <v/>
      </c>
      <c r="E77">
        <f>IFERROR(MATCH(74,$B$4:$B$503,0),"")</f>
        <v/>
      </c>
    </row>
    <row r="78">
      <c r="A78">
        <f>IF(AND(LEN('Aides'!A78)&gt;0,ISNUMBER('Aides'!I78)),'Aides'!I78+75/100000,"")</f>
        <v/>
      </c>
      <c r="B78">
        <f>IF(AND(LEN('Aides'!A78)&gt;0,ISNUMBER('Aides'!I78)),MAX($B$3:B77)+1,"")</f>
        <v/>
      </c>
      <c r="E78">
        <f>IFERROR(MATCH(75,$B$4:$B$503,0),"")</f>
        <v/>
      </c>
    </row>
    <row r="79">
      <c r="A79">
        <f>IF(AND(LEN('Aides'!A79)&gt;0,ISNUMBER('Aides'!I79)),'Aides'!I79+76/100000,"")</f>
        <v/>
      </c>
      <c r="B79">
        <f>IF(AND(LEN('Aides'!A79)&gt;0,ISNUMBER('Aides'!I79)),MAX($B$3:B78)+1,"")</f>
        <v/>
      </c>
      <c r="E79">
        <f>IFERROR(MATCH(76,$B$4:$B$503,0),"")</f>
        <v/>
      </c>
    </row>
    <row r="80">
      <c r="A80">
        <f>IF(AND(LEN('Aides'!A80)&gt;0,ISNUMBER('Aides'!I80)),'Aides'!I80+77/100000,"")</f>
        <v/>
      </c>
      <c r="B80">
        <f>IF(AND(LEN('Aides'!A80)&gt;0,ISNUMBER('Aides'!I80)),MAX($B$3:B79)+1,"")</f>
        <v/>
      </c>
      <c r="E80">
        <f>IFERROR(MATCH(77,$B$4:$B$503,0),"")</f>
        <v/>
      </c>
    </row>
    <row r="81">
      <c r="A81">
        <f>IF(AND(LEN('Aides'!A81)&gt;0,ISNUMBER('Aides'!I81)),'Aides'!I81+78/100000,"")</f>
        <v/>
      </c>
      <c r="B81">
        <f>IF(AND(LEN('Aides'!A81)&gt;0,ISNUMBER('Aides'!I81)),MAX($B$3:B80)+1,"")</f>
        <v/>
      </c>
      <c r="E81">
        <f>IFERROR(MATCH(78,$B$4:$B$503,0),"")</f>
        <v/>
      </c>
    </row>
    <row r="82">
      <c r="A82">
        <f>IF(AND(LEN('Aides'!A82)&gt;0,ISNUMBER('Aides'!I82)),'Aides'!I82+79/100000,"")</f>
        <v/>
      </c>
      <c r="B82">
        <f>IF(AND(LEN('Aides'!A82)&gt;0,ISNUMBER('Aides'!I82)),MAX($B$3:B81)+1,"")</f>
        <v/>
      </c>
      <c r="E82">
        <f>IFERROR(MATCH(79,$B$4:$B$503,0),"")</f>
        <v/>
      </c>
    </row>
    <row r="83">
      <c r="A83">
        <f>IF(AND(LEN('Aides'!A83)&gt;0,ISNUMBER('Aides'!I83)),'Aides'!I83+80/100000,"")</f>
        <v/>
      </c>
      <c r="B83">
        <f>IF(AND(LEN('Aides'!A83)&gt;0,ISNUMBER('Aides'!I83)),MAX($B$3:B82)+1,"")</f>
        <v/>
      </c>
      <c r="E83">
        <f>IFERROR(MATCH(80,$B$4:$B$503,0),"")</f>
        <v/>
      </c>
    </row>
    <row r="84">
      <c r="A84">
        <f>IF(AND(LEN('Aides'!A84)&gt;0,ISNUMBER('Aides'!I84)),'Aides'!I84+81/100000,"")</f>
        <v/>
      </c>
      <c r="B84">
        <f>IF(AND(LEN('Aides'!A84)&gt;0,ISNUMBER('Aides'!I84)),MAX($B$3:B83)+1,"")</f>
        <v/>
      </c>
      <c r="E84">
        <f>IFERROR(MATCH(81,$B$4:$B$503,0),"")</f>
        <v/>
      </c>
    </row>
    <row r="85">
      <c r="A85">
        <f>IF(AND(LEN('Aides'!A85)&gt;0,ISNUMBER('Aides'!I85)),'Aides'!I85+82/100000,"")</f>
        <v/>
      </c>
      <c r="B85">
        <f>IF(AND(LEN('Aides'!A85)&gt;0,ISNUMBER('Aides'!I85)),MAX($B$3:B84)+1,"")</f>
        <v/>
      </c>
      <c r="E85">
        <f>IFERROR(MATCH(82,$B$4:$B$503,0),"")</f>
        <v/>
      </c>
    </row>
    <row r="86">
      <c r="A86">
        <f>IF(AND(LEN('Aides'!A86)&gt;0,ISNUMBER('Aides'!I86)),'Aides'!I86+83/100000,"")</f>
        <v/>
      </c>
      <c r="B86">
        <f>IF(AND(LEN('Aides'!A86)&gt;0,ISNUMBER('Aides'!I86)),MAX($B$3:B85)+1,"")</f>
        <v/>
      </c>
      <c r="E86">
        <f>IFERROR(MATCH(83,$B$4:$B$503,0),"")</f>
        <v/>
      </c>
    </row>
    <row r="87">
      <c r="A87">
        <f>IF(AND(LEN('Aides'!A87)&gt;0,ISNUMBER('Aides'!I87)),'Aides'!I87+84/100000,"")</f>
        <v/>
      </c>
      <c r="B87">
        <f>IF(AND(LEN('Aides'!A87)&gt;0,ISNUMBER('Aides'!I87)),MAX($B$3:B86)+1,"")</f>
        <v/>
      </c>
      <c r="E87">
        <f>IFERROR(MATCH(84,$B$4:$B$503,0),"")</f>
        <v/>
      </c>
    </row>
    <row r="88">
      <c r="A88">
        <f>IF(AND(LEN('Aides'!A88)&gt;0,ISNUMBER('Aides'!I88)),'Aides'!I88+85/100000,"")</f>
        <v/>
      </c>
      <c r="B88">
        <f>IF(AND(LEN('Aides'!A88)&gt;0,ISNUMBER('Aides'!I88)),MAX($B$3:B87)+1,"")</f>
        <v/>
      </c>
      <c r="E88">
        <f>IFERROR(MATCH(85,$B$4:$B$503,0),"")</f>
        <v/>
      </c>
    </row>
    <row r="89">
      <c r="A89">
        <f>IF(AND(LEN('Aides'!A89)&gt;0,ISNUMBER('Aides'!I89)),'Aides'!I89+86/100000,"")</f>
        <v/>
      </c>
      <c r="B89">
        <f>IF(AND(LEN('Aides'!A89)&gt;0,ISNUMBER('Aides'!I89)),MAX($B$3:B88)+1,"")</f>
        <v/>
      </c>
      <c r="E89">
        <f>IFERROR(MATCH(86,$B$4:$B$503,0),"")</f>
        <v/>
      </c>
    </row>
    <row r="90">
      <c r="A90">
        <f>IF(AND(LEN('Aides'!A90)&gt;0,ISNUMBER('Aides'!I90)),'Aides'!I90+87/100000,"")</f>
        <v/>
      </c>
      <c r="B90">
        <f>IF(AND(LEN('Aides'!A90)&gt;0,ISNUMBER('Aides'!I90)),MAX($B$3:B89)+1,"")</f>
        <v/>
      </c>
      <c r="E90">
        <f>IFERROR(MATCH(87,$B$4:$B$503,0),"")</f>
        <v/>
      </c>
    </row>
    <row r="91">
      <c r="A91">
        <f>IF(AND(LEN('Aides'!A91)&gt;0,ISNUMBER('Aides'!I91)),'Aides'!I91+88/100000,"")</f>
        <v/>
      </c>
      <c r="B91">
        <f>IF(AND(LEN('Aides'!A91)&gt;0,ISNUMBER('Aides'!I91)),MAX($B$3:B90)+1,"")</f>
        <v/>
      </c>
      <c r="E91">
        <f>IFERROR(MATCH(88,$B$4:$B$503,0),"")</f>
        <v/>
      </c>
    </row>
    <row r="92">
      <c r="A92">
        <f>IF(AND(LEN('Aides'!A92)&gt;0,ISNUMBER('Aides'!I92)),'Aides'!I92+89/100000,"")</f>
        <v/>
      </c>
      <c r="B92">
        <f>IF(AND(LEN('Aides'!A92)&gt;0,ISNUMBER('Aides'!I92)),MAX($B$3:B91)+1,"")</f>
        <v/>
      </c>
      <c r="E92">
        <f>IFERROR(MATCH(89,$B$4:$B$503,0),"")</f>
        <v/>
      </c>
    </row>
    <row r="93">
      <c r="A93">
        <f>IF(AND(LEN('Aides'!A93)&gt;0,ISNUMBER('Aides'!I93)),'Aides'!I93+90/100000,"")</f>
        <v/>
      </c>
      <c r="B93">
        <f>IF(AND(LEN('Aides'!A93)&gt;0,ISNUMBER('Aides'!I93)),MAX($B$3:B92)+1,"")</f>
        <v/>
      </c>
      <c r="E93">
        <f>IFERROR(MATCH(90,$B$4:$B$503,0),"")</f>
        <v/>
      </c>
    </row>
    <row r="94">
      <c r="A94">
        <f>IF(AND(LEN('Aides'!A94)&gt;0,ISNUMBER('Aides'!I94)),'Aides'!I94+91/100000,"")</f>
        <v/>
      </c>
      <c r="B94">
        <f>IF(AND(LEN('Aides'!A94)&gt;0,ISNUMBER('Aides'!I94)),MAX($B$3:B93)+1,"")</f>
        <v/>
      </c>
      <c r="E94">
        <f>IFERROR(MATCH(91,$B$4:$B$503,0),"")</f>
        <v/>
      </c>
    </row>
    <row r="95">
      <c r="A95">
        <f>IF(AND(LEN('Aides'!A95)&gt;0,ISNUMBER('Aides'!I95)),'Aides'!I95+92/100000,"")</f>
        <v/>
      </c>
      <c r="B95">
        <f>IF(AND(LEN('Aides'!A95)&gt;0,ISNUMBER('Aides'!I95)),MAX($B$3:B94)+1,"")</f>
        <v/>
      </c>
      <c r="E95">
        <f>IFERROR(MATCH(92,$B$4:$B$503,0),"")</f>
        <v/>
      </c>
    </row>
    <row r="96">
      <c r="A96">
        <f>IF(AND(LEN('Aides'!A96)&gt;0,ISNUMBER('Aides'!I96)),'Aides'!I96+93/100000,"")</f>
        <v/>
      </c>
      <c r="B96">
        <f>IF(AND(LEN('Aides'!A96)&gt;0,ISNUMBER('Aides'!I96)),MAX($B$3:B95)+1,"")</f>
        <v/>
      </c>
      <c r="E96">
        <f>IFERROR(MATCH(93,$B$4:$B$503,0),"")</f>
        <v/>
      </c>
    </row>
    <row r="97">
      <c r="A97">
        <f>IF(AND(LEN('Aides'!A97)&gt;0,ISNUMBER('Aides'!I97)),'Aides'!I97+94/100000,"")</f>
        <v/>
      </c>
      <c r="B97">
        <f>IF(AND(LEN('Aides'!A97)&gt;0,ISNUMBER('Aides'!I97)),MAX($B$3:B96)+1,"")</f>
        <v/>
      </c>
      <c r="E97">
        <f>IFERROR(MATCH(94,$B$4:$B$503,0),"")</f>
        <v/>
      </c>
    </row>
    <row r="98">
      <c r="A98">
        <f>IF(AND(LEN('Aides'!A98)&gt;0,ISNUMBER('Aides'!I98)),'Aides'!I98+95/100000,"")</f>
        <v/>
      </c>
      <c r="B98">
        <f>IF(AND(LEN('Aides'!A98)&gt;0,ISNUMBER('Aides'!I98)),MAX($B$3:B97)+1,"")</f>
        <v/>
      </c>
      <c r="E98">
        <f>IFERROR(MATCH(95,$B$4:$B$503,0),"")</f>
        <v/>
      </c>
    </row>
    <row r="99">
      <c r="A99">
        <f>IF(AND(LEN('Aides'!A99)&gt;0,ISNUMBER('Aides'!I99)),'Aides'!I99+96/100000,"")</f>
        <v/>
      </c>
      <c r="B99">
        <f>IF(AND(LEN('Aides'!A99)&gt;0,ISNUMBER('Aides'!I99)),MAX($B$3:B98)+1,"")</f>
        <v/>
      </c>
      <c r="E99">
        <f>IFERROR(MATCH(96,$B$4:$B$503,0),"")</f>
        <v/>
      </c>
    </row>
    <row r="100">
      <c r="A100">
        <f>IF(AND(LEN('Aides'!A100)&gt;0,ISNUMBER('Aides'!I100)),'Aides'!I100+97/100000,"")</f>
        <v/>
      </c>
      <c r="B100">
        <f>IF(AND(LEN('Aides'!A100)&gt;0,ISNUMBER('Aides'!I100)),MAX($B$3:B99)+1,"")</f>
        <v/>
      </c>
      <c r="E100">
        <f>IFERROR(MATCH(97,$B$4:$B$503,0),"")</f>
        <v/>
      </c>
    </row>
    <row r="101">
      <c r="A101">
        <f>IF(AND(LEN('Aides'!A101)&gt;0,ISNUMBER('Aides'!I101)),'Aides'!I101+98/100000,"")</f>
        <v/>
      </c>
      <c r="B101">
        <f>IF(AND(LEN('Aides'!A101)&gt;0,ISNUMBER('Aides'!I101)),MAX($B$3:B100)+1,"")</f>
        <v/>
      </c>
      <c r="E101">
        <f>IFERROR(MATCH(98,$B$4:$B$503,0),"")</f>
        <v/>
      </c>
    </row>
    <row r="102">
      <c r="A102">
        <f>IF(AND(LEN('Aides'!A102)&gt;0,ISNUMBER('Aides'!I102)),'Aides'!I102+99/100000,"")</f>
        <v/>
      </c>
      <c r="B102">
        <f>IF(AND(LEN('Aides'!A102)&gt;0,ISNUMBER('Aides'!I102)),MAX($B$3:B101)+1,"")</f>
        <v/>
      </c>
      <c r="E102">
        <f>IFERROR(MATCH(99,$B$4:$B$503,0),"")</f>
        <v/>
      </c>
    </row>
    <row r="103">
      <c r="A103">
        <f>IF(AND(LEN('Aides'!A103)&gt;0,ISNUMBER('Aides'!I103)),'Aides'!I103+100/100000,"")</f>
        <v/>
      </c>
      <c r="B103">
        <f>IF(AND(LEN('Aides'!A103)&gt;0,ISNUMBER('Aides'!I103)),MAX($B$3:B102)+1,"")</f>
        <v/>
      </c>
      <c r="E103">
        <f>IFERROR(MATCH(100,$B$4:$B$503,0),"")</f>
        <v/>
      </c>
    </row>
    <row r="104">
      <c r="A104">
        <f>IF(AND(LEN('Aides'!A104)&gt;0,ISNUMBER('Aides'!I104)),'Aides'!I104+101/100000,"")</f>
        <v/>
      </c>
      <c r="B104">
        <f>IF(AND(LEN('Aides'!A104)&gt;0,ISNUMBER('Aides'!I104)),MAX($B$3:B103)+1,"")</f>
        <v/>
      </c>
      <c r="E104">
        <f>IFERROR(MATCH(101,$B$4:$B$503,0),"")</f>
        <v/>
      </c>
    </row>
    <row r="105">
      <c r="A105">
        <f>IF(AND(LEN('Aides'!A105)&gt;0,ISNUMBER('Aides'!I105)),'Aides'!I105+102/100000,"")</f>
        <v/>
      </c>
      <c r="B105">
        <f>IF(AND(LEN('Aides'!A105)&gt;0,ISNUMBER('Aides'!I105)),MAX($B$3:B104)+1,"")</f>
        <v/>
      </c>
      <c r="E105">
        <f>IFERROR(MATCH(102,$B$4:$B$503,0),"")</f>
        <v/>
      </c>
    </row>
    <row r="106">
      <c r="A106">
        <f>IF(AND(LEN('Aides'!A106)&gt;0,ISNUMBER('Aides'!I106)),'Aides'!I106+103/100000,"")</f>
        <v/>
      </c>
      <c r="B106">
        <f>IF(AND(LEN('Aides'!A106)&gt;0,ISNUMBER('Aides'!I106)),MAX($B$3:B105)+1,"")</f>
        <v/>
      </c>
      <c r="E106">
        <f>IFERROR(MATCH(103,$B$4:$B$503,0),"")</f>
        <v/>
      </c>
    </row>
    <row r="107">
      <c r="A107">
        <f>IF(AND(LEN('Aides'!A107)&gt;0,ISNUMBER('Aides'!I107)),'Aides'!I107+104/100000,"")</f>
        <v/>
      </c>
      <c r="B107">
        <f>IF(AND(LEN('Aides'!A107)&gt;0,ISNUMBER('Aides'!I107)),MAX($B$3:B106)+1,"")</f>
        <v/>
      </c>
      <c r="E107">
        <f>IFERROR(MATCH(104,$B$4:$B$503,0),"")</f>
        <v/>
      </c>
    </row>
    <row r="108">
      <c r="A108">
        <f>IF(AND(LEN('Aides'!A108)&gt;0,ISNUMBER('Aides'!I108)),'Aides'!I108+105/100000,"")</f>
        <v/>
      </c>
      <c r="B108">
        <f>IF(AND(LEN('Aides'!A108)&gt;0,ISNUMBER('Aides'!I108)),MAX($B$3:B107)+1,"")</f>
        <v/>
      </c>
      <c r="E108">
        <f>IFERROR(MATCH(105,$B$4:$B$503,0),"")</f>
        <v/>
      </c>
    </row>
    <row r="109">
      <c r="A109">
        <f>IF(AND(LEN('Aides'!A109)&gt;0,ISNUMBER('Aides'!I109)),'Aides'!I109+106/100000,"")</f>
        <v/>
      </c>
      <c r="B109">
        <f>IF(AND(LEN('Aides'!A109)&gt;0,ISNUMBER('Aides'!I109)),MAX($B$3:B108)+1,"")</f>
        <v/>
      </c>
      <c r="E109">
        <f>IFERROR(MATCH(106,$B$4:$B$503,0),"")</f>
        <v/>
      </c>
    </row>
    <row r="110">
      <c r="A110">
        <f>IF(AND(LEN('Aides'!A110)&gt;0,ISNUMBER('Aides'!I110)),'Aides'!I110+107/100000,"")</f>
        <v/>
      </c>
      <c r="B110">
        <f>IF(AND(LEN('Aides'!A110)&gt;0,ISNUMBER('Aides'!I110)),MAX($B$3:B109)+1,"")</f>
        <v/>
      </c>
      <c r="E110">
        <f>IFERROR(MATCH(107,$B$4:$B$503,0),"")</f>
        <v/>
      </c>
    </row>
    <row r="111">
      <c r="A111">
        <f>IF(AND(LEN('Aides'!A111)&gt;0,ISNUMBER('Aides'!I111)),'Aides'!I111+108/100000,"")</f>
        <v/>
      </c>
      <c r="B111">
        <f>IF(AND(LEN('Aides'!A111)&gt;0,ISNUMBER('Aides'!I111)),MAX($B$3:B110)+1,"")</f>
        <v/>
      </c>
      <c r="E111">
        <f>IFERROR(MATCH(108,$B$4:$B$503,0),"")</f>
        <v/>
      </c>
    </row>
    <row r="112">
      <c r="A112">
        <f>IF(AND(LEN('Aides'!A112)&gt;0,ISNUMBER('Aides'!I112)),'Aides'!I112+109/100000,"")</f>
        <v/>
      </c>
      <c r="B112">
        <f>IF(AND(LEN('Aides'!A112)&gt;0,ISNUMBER('Aides'!I112)),MAX($B$3:B111)+1,"")</f>
        <v/>
      </c>
      <c r="E112">
        <f>IFERROR(MATCH(109,$B$4:$B$503,0),"")</f>
        <v/>
      </c>
    </row>
    <row r="113">
      <c r="A113">
        <f>IF(AND(LEN('Aides'!A113)&gt;0,ISNUMBER('Aides'!I113)),'Aides'!I113+110/100000,"")</f>
        <v/>
      </c>
      <c r="B113">
        <f>IF(AND(LEN('Aides'!A113)&gt;0,ISNUMBER('Aides'!I113)),MAX($B$3:B112)+1,"")</f>
        <v/>
      </c>
      <c r="E113">
        <f>IFERROR(MATCH(110,$B$4:$B$503,0),"")</f>
        <v/>
      </c>
    </row>
    <row r="114">
      <c r="A114">
        <f>IF(AND(LEN('Aides'!A114)&gt;0,ISNUMBER('Aides'!I114)),'Aides'!I114+111/100000,"")</f>
        <v/>
      </c>
      <c r="B114">
        <f>IF(AND(LEN('Aides'!A114)&gt;0,ISNUMBER('Aides'!I114)),MAX($B$3:B113)+1,"")</f>
        <v/>
      </c>
      <c r="E114">
        <f>IFERROR(MATCH(111,$B$4:$B$503,0),"")</f>
        <v/>
      </c>
    </row>
    <row r="115">
      <c r="A115">
        <f>IF(AND(LEN('Aides'!A115)&gt;0,ISNUMBER('Aides'!I115)),'Aides'!I115+112/100000,"")</f>
        <v/>
      </c>
      <c r="B115">
        <f>IF(AND(LEN('Aides'!A115)&gt;0,ISNUMBER('Aides'!I115)),MAX($B$3:B114)+1,"")</f>
        <v/>
      </c>
      <c r="E115">
        <f>IFERROR(MATCH(112,$B$4:$B$503,0),"")</f>
        <v/>
      </c>
    </row>
    <row r="116">
      <c r="A116">
        <f>IF(AND(LEN('Aides'!A116)&gt;0,ISNUMBER('Aides'!I116)),'Aides'!I116+113/100000,"")</f>
        <v/>
      </c>
      <c r="B116">
        <f>IF(AND(LEN('Aides'!A116)&gt;0,ISNUMBER('Aides'!I116)),MAX($B$3:B115)+1,"")</f>
        <v/>
      </c>
      <c r="E116">
        <f>IFERROR(MATCH(113,$B$4:$B$503,0),"")</f>
        <v/>
      </c>
    </row>
    <row r="117">
      <c r="A117">
        <f>IF(AND(LEN('Aides'!A117)&gt;0,ISNUMBER('Aides'!I117)),'Aides'!I117+114/100000,"")</f>
        <v/>
      </c>
      <c r="B117">
        <f>IF(AND(LEN('Aides'!A117)&gt;0,ISNUMBER('Aides'!I117)),MAX($B$3:B116)+1,"")</f>
        <v/>
      </c>
      <c r="E117">
        <f>IFERROR(MATCH(114,$B$4:$B$503,0),"")</f>
        <v/>
      </c>
    </row>
    <row r="118">
      <c r="A118">
        <f>IF(AND(LEN('Aides'!A118)&gt;0,ISNUMBER('Aides'!I118)),'Aides'!I118+115/100000,"")</f>
        <v/>
      </c>
      <c r="B118">
        <f>IF(AND(LEN('Aides'!A118)&gt;0,ISNUMBER('Aides'!I118)),MAX($B$3:B117)+1,"")</f>
        <v/>
      </c>
      <c r="E118">
        <f>IFERROR(MATCH(115,$B$4:$B$503,0),"")</f>
        <v/>
      </c>
    </row>
    <row r="119">
      <c r="A119">
        <f>IF(AND(LEN('Aides'!A119)&gt;0,ISNUMBER('Aides'!I119)),'Aides'!I119+116/100000,"")</f>
        <v/>
      </c>
      <c r="B119">
        <f>IF(AND(LEN('Aides'!A119)&gt;0,ISNUMBER('Aides'!I119)),MAX($B$3:B118)+1,"")</f>
        <v/>
      </c>
      <c r="E119">
        <f>IFERROR(MATCH(116,$B$4:$B$503,0),"")</f>
        <v/>
      </c>
    </row>
    <row r="120">
      <c r="A120">
        <f>IF(AND(LEN('Aides'!A120)&gt;0,ISNUMBER('Aides'!I120)),'Aides'!I120+117/100000,"")</f>
        <v/>
      </c>
      <c r="B120">
        <f>IF(AND(LEN('Aides'!A120)&gt;0,ISNUMBER('Aides'!I120)),MAX($B$3:B119)+1,"")</f>
        <v/>
      </c>
      <c r="E120">
        <f>IFERROR(MATCH(117,$B$4:$B$503,0),"")</f>
        <v/>
      </c>
    </row>
    <row r="121">
      <c r="A121">
        <f>IF(AND(LEN('Aides'!A121)&gt;0,ISNUMBER('Aides'!I121)),'Aides'!I121+118/100000,"")</f>
        <v/>
      </c>
      <c r="B121">
        <f>IF(AND(LEN('Aides'!A121)&gt;0,ISNUMBER('Aides'!I121)),MAX($B$3:B120)+1,"")</f>
        <v/>
      </c>
      <c r="E121">
        <f>IFERROR(MATCH(118,$B$4:$B$503,0),"")</f>
        <v/>
      </c>
    </row>
    <row r="122">
      <c r="A122">
        <f>IF(AND(LEN('Aides'!A122)&gt;0,ISNUMBER('Aides'!I122)),'Aides'!I122+119/100000,"")</f>
        <v/>
      </c>
      <c r="B122">
        <f>IF(AND(LEN('Aides'!A122)&gt;0,ISNUMBER('Aides'!I122)),MAX($B$3:B121)+1,"")</f>
        <v/>
      </c>
      <c r="E122">
        <f>IFERROR(MATCH(119,$B$4:$B$503,0),"")</f>
        <v/>
      </c>
    </row>
    <row r="123">
      <c r="A123">
        <f>IF(AND(LEN('Aides'!A123)&gt;0,ISNUMBER('Aides'!I123)),'Aides'!I123+120/100000,"")</f>
        <v/>
      </c>
      <c r="B123">
        <f>IF(AND(LEN('Aides'!A123)&gt;0,ISNUMBER('Aides'!I123)),MAX($B$3:B122)+1,"")</f>
        <v/>
      </c>
      <c r="E123">
        <f>IFERROR(MATCH(120,$B$4:$B$503,0),"")</f>
        <v/>
      </c>
    </row>
    <row r="124">
      <c r="A124">
        <f>IF(AND(LEN('Aides'!A124)&gt;0,ISNUMBER('Aides'!I124)),'Aides'!I124+121/100000,"")</f>
        <v/>
      </c>
      <c r="B124">
        <f>IF(AND(LEN('Aides'!A124)&gt;0,ISNUMBER('Aides'!I124)),MAX($B$3:B123)+1,"")</f>
        <v/>
      </c>
      <c r="E124">
        <f>IFERROR(MATCH(121,$B$4:$B$503,0),"")</f>
        <v/>
      </c>
    </row>
    <row r="125">
      <c r="A125">
        <f>IF(AND(LEN('Aides'!A125)&gt;0,ISNUMBER('Aides'!I125)),'Aides'!I125+122/100000,"")</f>
        <v/>
      </c>
      <c r="B125">
        <f>IF(AND(LEN('Aides'!A125)&gt;0,ISNUMBER('Aides'!I125)),MAX($B$3:B124)+1,"")</f>
        <v/>
      </c>
      <c r="E125">
        <f>IFERROR(MATCH(122,$B$4:$B$503,0),"")</f>
        <v/>
      </c>
    </row>
    <row r="126">
      <c r="A126">
        <f>IF(AND(LEN('Aides'!A126)&gt;0,ISNUMBER('Aides'!I126)),'Aides'!I126+123/100000,"")</f>
        <v/>
      </c>
      <c r="B126">
        <f>IF(AND(LEN('Aides'!A126)&gt;0,ISNUMBER('Aides'!I126)),MAX($B$3:B125)+1,"")</f>
        <v/>
      </c>
      <c r="E126">
        <f>IFERROR(MATCH(123,$B$4:$B$503,0),"")</f>
        <v/>
      </c>
    </row>
    <row r="127">
      <c r="A127">
        <f>IF(AND(LEN('Aides'!A127)&gt;0,ISNUMBER('Aides'!I127)),'Aides'!I127+124/100000,"")</f>
        <v/>
      </c>
      <c r="B127">
        <f>IF(AND(LEN('Aides'!A127)&gt;0,ISNUMBER('Aides'!I127)),MAX($B$3:B126)+1,"")</f>
        <v/>
      </c>
      <c r="E127">
        <f>IFERROR(MATCH(124,$B$4:$B$503,0),"")</f>
        <v/>
      </c>
    </row>
    <row r="128">
      <c r="A128">
        <f>IF(AND(LEN('Aides'!A128)&gt;0,ISNUMBER('Aides'!I128)),'Aides'!I128+125/100000,"")</f>
        <v/>
      </c>
      <c r="B128">
        <f>IF(AND(LEN('Aides'!A128)&gt;0,ISNUMBER('Aides'!I128)),MAX($B$3:B127)+1,"")</f>
        <v/>
      </c>
      <c r="E128">
        <f>IFERROR(MATCH(125,$B$4:$B$503,0),"")</f>
        <v/>
      </c>
    </row>
    <row r="129">
      <c r="A129">
        <f>IF(AND(LEN('Aides'!A129)&gt;0,ISNUMBER('Aides'!I129)),'Aides'!I129+126/100000,"")</f>
        <v/>
      </c>
      <c r="B129">
        <f>IF(AND(LEN('Aides'!A129)&gt;0,ISNUMBER('Aides'!I129)),MAX($B$3:B128)+1,"")</f>
        <v/>
      </c>
      <c r="E129">
        <f>IFERROR(MATCH(126,$B$4:$B$503,0),"")</f>
        <v/>
      </c>
    </row>
    <row r="130">
      <c r="A130">
        <f>IF(AND(LEN('Aides'!A130)&gt;0,ISNUMBER('Aides'!I130)),'Aides'!I130+127/100000,"")</f>
        <v/>
      </c>
      <c r="B130">
        <f>IF(AND(LEN('Aides'!A130)&gt;0,ISNUMBER('Aides'!I130)),MAX($B$3:B129)+1,"")</f>
        <v/>
      </c>
      <c r="E130">
        <f>IFERROR(MATCH(127,$B$4:$B$503,0),"")</f>
        <v/>
      </c>
    </row>
    <row r="131">
      <c r="A131">
        <f>IF(AND(LEN('Aides'!A131)&gt;0,ISNUMBER('Aides'!I131)),'Aides'!I131+128/100000,"")</f>
        <v/>
      </c>
      <c r="B131">
        <f>IF(AND(LEN('Aides'!A131)&gt;0,ISNUMBER('Aides'!I131)),MAX($B$3:B130)+1,"")</f>
        <v/>
      </c>
      <c r="E131">
        <f>IFERROR(MATCH(128,$B$4:$B$503,0),"")</f>
        <v/>
      </c>
    </row>
    <row r="132">
      <c r="A132">
        <f>IF(AND(LEN('Aides'!A132)&gt;0,ISNUMBER('Aides'!I132)),'Aides'!I132+129/100000,"")</f>
        <v/>
      </c>
      <c r="B132">
        <f>IF(AND(LEN('Aides'!A132)&gt;0,ISNUMBER('Aides'!I132)),MAX($B$3:B131)+1,"")</f>
        <v/>
      </c>
      <c r="E132">
        <f>IFERROR(MATCH(129,$B$4:$B$503,0),"")</f>
        <v/>
      </c>
    </row>
    <row r="133">
      <c r="A133">
        <f>IF(AND(LEN('Aides'!A133)&gt;0,ISNUMBER('Aides'!I133)),'Aides'!I133+130/100000,"")</f>
        <v/>
      </c>
      <c r="B133">
        <f>IF(AND(LEN('Aides'!A133)&gt;0,ISNUMBER('Aides'!I133)),MAX($B$3:B132)+1,"")</f>
        <v/>
      </c>
      <c r="E133">
        <f>IFERROR(MATCH(130,$B$4:$B$503,0),"")</f>
        <v/>
      </c>
    </row>
    <row r="134">
      <c r="A134">
        <f>IF(AND(LEN('Aides'!A134)&gt;0,ISNUMBER('Aides'!I134)),'Aides'!I134+131/100000,"")</f>
        <v/>
      </c>
      <c r="B134">
        <f>IF(AND(LEN('Aides'!A134)&gt;0,ISNUMBER('Aides'!I134)),MAX($B$3:B133)+1,"")</f>
        <v/>
      </c>
      <c r="E134">
        <f>IFERROR(MATCH(131,$B$4:$B$503,0),"")</f>
        <v/>
      </c>
    </row>
    <row r="135">
      <c r="A135">
        <f>IF(AND(LEN('Aides'!A135)&gt;0,ISNUMBER('Aides'!I135)),'Aides'!I135+132/100000,"")</f>
        <v/>
      </c>
      <c r="B135">
        <f>IF(AND(LEN('Aides'!A135)&gt;0,ISNUMBER('Aides'!I135)),MAX($B$3:B134)+1,"")</f>
        <v/>
      </c>
      <c r="E135">
        <f>IFERROR(MATCH(132,$B$4:$B$503,0),"")</f>
        <v/>
      </c>
    </row>
    <row r="136">
      <c r="A136">
        <f>IF(AND(LEN('Aides'!A136)&gt;0,ISNUMBER('Aides'!I136)),'Aides'!I136+133/100000,"")</f>
        <v/>
      </c>
      <c r="B136">
        <f>IF(AND(LEN('Aides'!A136)&gt;0,ISNUMBER('Aides'!I136)),MAX($B$3:B135)+1,"")</f>
        <v/>
      </c>
      <c r="E136">
        <f>IFERROR(MATCH(133,$B$4:$B$503,0),"")</f>
        <v/>
      </c>
    </row>
    <row r="137">
      <c r="A137">
        <f>IF(AND(LEN('Aides'!A137)&gt;0,ISNUMBER('Aides'!I137)),'Aides'!I137+134/100000,"")</f>
        <v/>
      </c>
      <c r="B137">
        <f>IF(AND(LEN('Aides'!A137)&gt;0,ISNUMBER('Aides'!I137)),MAX($B$3:B136)+1,"")</f>
        <v/>
      </c>
      <c r="E137">
        <f>IFERROR(MATCH(134,$B$4:$B$503,0),"")</f>
        <v/>
      </c>
    </row>
    <row r="138">
      <c r="A138">
        <f>IF(AND(LEN('Aides'!A138)&gt;0,ISNUMBER('Aides'!I138)),'Aides'!I138+135/100000,"")</f>
        <v/>
      </c>
      <c r="B138">
        <f>IF(AND(LEN('Aides'!A138)&gt;0,ISNUMBER('Aides'!I138)),MAX($B$3:B137)+1,"")</f>
        <v/>
      </c>
      <c r="E138">
        <f>IFERROR(MATCH(135,$B$4:$B$503,0),"")</f>
        <v/>
      </c>
    </row>
    <row r="139">
      <c r="A139">
        <f>IF(AND(LEN('Aides'!A139)&gt;0,ISNUMBER('Aides'!I139)),'Aides'!I139+136/100000,"")</f>
        <v/>
      </c>
      <c r="B139">
        <f>IF(AND(LEN('Aides'!A139)&gt;0,ISNUMBER('Aides'!I139)),MAX($B$3:B138)+1,"")</f>
        <v/>
      </c>
      <c r="E139">
        <f>IFERROR(MATCH(136,$B$4:$B$503,0),"")</f>
        <v/>
      </c>
    </row>
    <row r="140">
      <c r="A140">
        <f>IF(AND(LEN('Aides'!A140)&gt;0,ISNUMBER('Aides'!I140)),'Aides'!I140+137/100000,"")</f>
        <v/>
      </c>
      <c r="B140">
        <f>IF(AND(LEN('Aides'!A140)&gt;0,ISNUMBER('Aides'!I140)),MAX($B$3:B139)+1,"")</f>
        <v/>
      </c>
      <c r="E140">
        <f>IFERROR(MATCH(137,$B$4:$B$503,0),"")</f>
        <v/>
      </c>
    </row>
    <row r="141">
      <c r="A141">
        <f>IF(AND(LEN('Aides'!A141)&gt;0,ISNUMBER('Aides'!I141)),'Aides'!I141+138/100000,"")</f>
        <v/>
      </c>
      <c r="B141">
        <f>IF(AND(LEN('Aides'!A141)&gt;0,ISNUMBER('Aides'!I141)),MAX($B$3:B140)+1,"")</f>
        <v/>
      </c>
      <c r="E141">
        <f>IFERROR(MATCH(138,$B$4:$B$503,0),"")</f>
        <v/>
      </c>
    </row>
    <row r="142">
      <c r="A142">
        <f>IF(AND(LEN('Aides'!A142)&gt;0,ISNUMBER('Aides'!I142)),'Aides'!I142+139/100000,"")</f>
        <v/>
      </c>
      <c r="B142">
        <f>IF(AND(LEN('Aides'!A142)&gt;0,ISNUMBER('Aides'!I142)),MAX($B$3:B141)+1,"")</f>
        <v/>
      </c>
      <c r="E142">
        <f>IFERROR(MATCH(139,$B$4:$B$503,0),"")</f>
        <v/>
      </c>
    </row>
    <row r="143">
      <c r="A143">
        <f>IF(AND(LEN('Aides'!A143)&gt;0,ISNUMBER('Aides'!I143)),'Aides'!I143+140/100000,"")</f>
        <v/>
      </c>
      <c r="B143">
        <f>IF(AND(LEN('Aides'!A143)&gt;0,ISNUMBER('Aides'!I143)),MAX($B$3:B142)+1,"")</f>
        <v/>
      </c>
      <c r="E143">
        <f>IFERROR(MATCH(140,$B$4:$B$503,0),"")</f>
        <v/>
      </c>
    </row>
    <row r="144">
      <c r="A144">
        <f>IF(AND(LEN('Aides'!A144)&gt;0,ISNUMBER('Aides'!I144)),'Aides'!I144+141/100000,"")</f>
        <v/>
      </c>
      <c r="B144">
        <f>IF(AND(LEN('Aides'!A144)&gt;0,ISNUMBER('Aides'!I144)),MAX($B$3:B143)+1,"")</f>
        <v/>
      </c>
      <c r="E144">
        <f>IFERROR(MATCH(141,$B$4:$B$503,0),"")</f>
        <v/>
      </c>
    </row>
    <row r="145">
      <c r="A145">
        <f>IF(AND(LEN('Aides'!A145)&gt;0,ISNUMBER('Aides'!I145)),'Aides'!I145+142/100000,"")</f>
        <v/>
      </c>
      <c r="B145">
        <f>IF(AND(LEN('Aides'!A145)&gt;0,ISNUMBER('Aides'!I145)),MAX($B$3:B144)+1,"")</f>
        <v/>
      </c>
      <c r="E145">
        <f>IFERROR(MATCH(142,$B$4:$B$503,0),"")</f>
        <v/>
      </c>
    </row>
    <row r="146">
      <c r="A146">
        <f>IF(AND(LEN('Aides'!A146)&gt;0,ISNUMBER('Aides'!I146)),'Aides'!I146+143/100000,"")</f>
        <v/>
      </c>
      <c r="B146">
        <f>IF(AND(LEN('Aides'!A146)&gt;0,ISNUMBER('Aides'!I146)),MAX($B$3:B145)+1,"")</f>
        <v/>
      </c>
      <c r="E146">
        <f>IFERROR(MATCH(143,$B$4:$B$503,0),"")</f>
        <v/>
      </c>
    </row>
    <row r="147">
      <c r="A147">
        <f>IF(AND(LEN('Aides'!A147)&gt;0,ISNUMBER('Aides'!I147)),'Aides'!I147+144/100000,"")</f>
        <v/>
      </c>
      <c r="B147">
        <f>IF(AND(LEN('Aides'!A147)&gt;0,ISNUMBER('Aides'!I147)),MAX($B$3:B146)+1,"")</f>
        <v/>
      </c>
      <c r="E147">
        <f>IFERROR(MATCH(144,$B$4:$B$503,0),"")</f>
        <v/>
      </c>
    </row>
    <row r="148">
      <c r="A148">
        <f>IF(AND(LEN('Aides'!A148)&gt;0,ISNUMBER('Aides'!I148)),'Aides'!I148+145/100000,"")</f>
        <v/>
      </c>
      <c r="B148">
        <f>IF(AND(LEN('Aides'!A148)&gt;0,ISNUMBER('Aides'!I148)),MAX($B$3:B147)+1,"")</f>
        <v/>
      </c>
      <c r="E148">
        <f>IFERROR(MATCH(145,$B$4:$B$503,0),"")</f>
        <v/>
      </c>
    </row>
    <row r="149">
      <c r="A149">
        <f>IF(AND(LEN('Aides'!A149)&gt;0,ISNUMBER('Aides'!I149)),'Aides'!I149+146/100000,"")</f>
        <v/>
      </c>
      <c r="B149">
        <f>IF(AND(LEN('Aides'!A149)&gt;0,ISNUMBER('Aides'!I149)),MAX($B$3:B148)+1,"")</f>
        <v/>
      </c>
      <c r="E149">
        <f>IFERROR(MATCH(146,$B$4:$B$503,0),"")</f>
        <v/>
      </c>
    </row>
    <row r="150">
      <c r="A150">
        <f>IF(AND(LEN('Aides'!A150)&gt;0,ISNUMBER('Aides'!I150)),'Aides'!I150+147/100000,"")</f>
        <v/>
      </c>
      <c r="B150">
        <f>IF(AND(LEN('Aides'!A150)&gt;0,ISNUMBER('Aides'!I150)),MAX($B$3:B149)+1,"")</f>
        <v/>
      </c>
      <c r="E150">
        <f>IFERROR(MATCH(147,$B$4:$B$503,0),"")</f>
        <v/>
      </c>
    </row>
    <row r="151">
      <c r="A151">
        <f>IF(AND(LEN('Aides'!A151)&gt;0,ISNUMBER('Aides'!I151)),'Aides'!I151+148/100000,"")</f>
        <v/>
      </c>
      <c r="B151">
        <f>IF(AND(LEN('Aides'!A151)&gt;0,ISNUMBER('Aides'!I151)),MAX($B$3:B150)+1,"")</f>
        <v/>
      </c>
      <c r="E151">
        <f>IFERROR(MATCH(148,$B$4:$B$503,0),"")</f>
        <v/>
      </c>
    </row>
    <row r="152">
      <c r="A152">
        <f>IF(AND(LEN('Aides'!A152)&gt;0,ISNUMBER('Aides'!I152)),'Aides'!I152+149/100000,"")</f>
        <v/>
      </c>
      <c r="B152">
        <f>IF(AND(LEN('Aides'!A152)&gt;0,ISNUMBER('Aides'!I152)),MAX($B$3:B151)+1,"")</f>
        <v/>
      </c>
      <c r="E152">
        <f>IFERROR(MATCH(149,$B$4:$B$503,0),"")</f>
        <v/>
      </c>
    </row>
    <row r="153">
      <c r="A153">
        <f>IF(AND(LEN('Aides'!A153)&gt;0,ISNUMBER('Aides'!I153)),'Aides'!I153+150/100000,"")</f>
        <v/>
      </c>
      <c r="B153">
        <f>IF(AND(LEN('Aides'!A153)&gt;0,ISNUMBER('Aides'!I153)),MAX($B$3:B152)+1,"")</f>
        <v/>
      </c>
      <c r="E153">
        <f>IFERROR(MATCH(150,$B$4:$B$503,0),"")</f>
        <v/>
      </c>
    </row>
    <row r="154">
      <c r="A154">
        <f>IF(AND(LEN('Aides'!A154)&gt;0,ISNUMBER('Aides'!I154)),'Aides'!I154+151/100000,"")</f>
        <v/>
      </c>
      <c r="B154">
        <f>IF(AND(LEN('Aides'!A154)&gt;0,ISNUMBER('Aides'!I154)),MAX($B$3:B153)+1,"")</f>
        <v/>
      </c>
      <c r="E154">
        <f>IFERROR(MATCH(151,$B$4:$B$503,0),"")</f>
        <v/>
      </c>
    </row>
    <row r="155">
      <c r="A155">
        <f>IF(AND(LEN('Aides'!A155)&gt;0,ISNUMBER('Aides'!I155)),'Aides'!I155+152/100000,"")</f>
        <v/>
      </c>
      <c r="B155">
        <f>IF(AND(LEN('Aides'!A155)&gt;0,ISNUMBER('Aides'!I155)),MAX($B$3:B154)+1,"")</f>
        <v/>
      </c>
      <c r="E155">
        <f>IFERROR(MATCH(152,$B$4:$B$503,0),"")</f>
        <v/>
      </c>
    </row>
    <row r="156">
      <c r="A156">
        <f>IF(AND(LEN('Aides'!A156)&gt;0,ISNUMBER('Aides'!I156)),'Aides'!I156+153/100000,"")</f>
        <v/>
      </c>
      <c r="B156">
        <f>IF(AND(LEN('Aides'!A156)&gt;0,ISNUMBER('Aides'!I156)),MAX($B$3:B155)+1,"")</f>
        <v/>
      </c>
      <c r="E156">
        <f>IFERROR(MATCH(153,$B$4:$B$503,0),"")</f>
        <v/>
      </c>
    </row>
    <row r="157">
      <c r="A157">
        <f>IF(AND(LEN('Aides'!A157)&gt;0,ISNUMBER('Aides'!I157)),'Aides'!I157+154/100000,"")</f>
        <v/>
      </c>
      <c r="B157">
        <f>IF(AND(LEN('Aides'!A157)&gt;0,ISNUMBER('Aides'!I157)),MAX($B$3:B156)+1,"")</f>
        <v/>
      </c>
      <c r="E157">
        <f>IFERROR(MATCH(154,$B$4:$B$503,0),"")</f>
        <v/>
      </c>
    </row>
    <row r="158">
      <c r="A158">
        <f>IF(AND(LEN('Aides'!A158)&gt;0,ISNUMBER('Aides'!I158)),'Aides'!I158+155/100000,"")</f>
        <v/>
      </c>
      <c r="B158">
        <f>IF(AND(LEN('Aides'!A158)&gt;0,ISNUMBER('Aides'!I158)),MAX($B$3:B157)+1,"")</f>
        <v/>
      </c>
      <c r="E158">
        <f>IFERROR(MATCH(155,$B$4:$B$503,0),"")</f>
        <v/>
      </c>
    </row>
    <row r="159">
      <c r="A159">
        <f>IF(AND(LEN('Aides'!A159)&gt;0,ISNUMBER('Aides'!I159)),'Aides'!I159+156/100000,"")</f>
        <v/>
      </c>
      <c r="B159">
        <f>IF(AND(LEN('Aides'!A159)&gt;0,ISNUMBER('Aides'!I159)),MAX($B$3:B158)+1,"")</f>
        <v/>
      </c>
      <c r="E159">
        <f>IFERROR(MATCH(156,$B$4:$B$503,0),"")</f>
        <v/>
      </c>
    </row>
    <row r="160">
      <c r="A160">
        <f>IF(AND(LEN('Aides'!A160)&gt;0,ISNUMBER('Aides'!I160)),'Aides'!I160+157/100000,"")</f>
        <v/>
      </c>
      <c r="B160">
        <f>IF(AND(LEN('Aides'!A160)&gt;0,ISNUMBER('Aides'!I160)),MAX($B$3:B159)+1,"")</f>
        <v/>
      </c>
      <c r="E160">
        <f>IFERROR(MATCH(157,$B$4:$B$503,0),"")</f>
        <v/>
      </c>
    </row>
    <row r="161">
      <c r="A161">
        <f>IF(AND(LEN('Aides'!A161)&gt;0,ISNUMBER('Aides'!I161)),'Aides'!I161+158/100000,"")</f>
        <v/>
      </c>
      <c r="B161">
        <f>IF(AND(LEN('Aides'!A161)&gt;0,ISNUMBER('Aides'!I161)),MAX($B$3:B160)+1,"")</f>
        <v/>
      </c>
      <c r="E161">
        <f>IFERROR(MATCH(158,$B$4:$B$503,0),"")</f>
        <v/>
      </c>
    </row>
    <row r="162">
      <c r="A162">
        <f>IF(AND(LEN('Aides'!A162)&gt;0,ISNUMBER('Aides'!I162)),'Aides'!I162+159/100000,"")</f>
        <v/>
      </c>
      <c r="B162">
        <f>IF(AND(LEN('Aides'!A162)&gt;0,ISNUMBER('Aides'!I162)),MAX($B$3:B161)+1,"")</f>
        <v/>
      </c>
      <c r="E162">
        <f>IFERROR(MATCH(159,$B$4:$B$503,0),"")</f>
        <v/>
      </c>
    </row>
    <row r="163">
      <c r="A163">
        <f>IF(AND(LEN('Aides'!A163)&gt;0,ISNUMBER('Aides'!I163)),'Aides'!I163+160/100000,"")</f>
        <v/>
      </c>
      <c r="B163">
        <f>IF(AND(LEN('Aides'!A163)&gt;0,ISNUMBER('Aides'!I163)),MAX($B$3:B162)+1,"")</f>
        <v/>
      </c>
      <c r="E163">
        <f>IFERROR(MATCH(160,$B$4:$B$503,0),"")</f>
        <v/>
      </c>
    </row>
    <row r="164">
      <c r="A164">
        <f>IF(AND(LEN('Aides'!A164)&gt;0,ISNUMBER('Aides'!I164)),'Aides'!I164+161/100000,"")</f>
        <v/>
      </c>
      <c r="B164">
        <f>IF(AND(LEN('Aides'!A164)&gt;0,ISNUMBER('Aides'!I164)),MAX($B$3:B163)+1,"")</f>
        <v/>
      </c>
      <c r="E164">
        <f>IFERROR(MATCH(161,$B$4:$B$503,0),"")</f>
        <v/>
      </c>
    </row>
    <row r="165">
      <c r="A165">
        <f>IF(AND(LEN('Aides'!A165)&gt;0,ISNUMBER('Aides'!I165)),'Aides'!I165+162/100000,"")</f>
        <v/>
      </c>
      <c r="B165">
        <f>IF(AND(LEN('Aides'!A165)&gt;0,ISNUMBER('Aides'!I165)),MAX($B$3:B164)+1,"")</f>
        <v/>
      </c>
      <c r="E165">
        <f>IFERROR(MATCH(162,$B$4:$B$503,0),"")</f>
        <v/>
      </c>
    </row>
    <row r="166">
      <c r="A166">
        <f>IF(AND(LEN('Aides'!A166)&gt;0,ISNUMBER('Aides'!I166)),'Aides'!I166+163/100000,"")</f>
        <v/>
      </c>
      <c r="B166">
        <f>IF(AND(LEN('Aides'!A166)&gt;0,ISNUMBER('Aides'!I166)),MAX($B$3:B165)+1,"")</f>
        <v/>
      </c>
      <c r="E166">
        <f>IFERROR(MATCH(163,$B$4:$B$503,0),"")</f>
        <v/>
      </c>
    </row>
    <row r="167">
      <c r="A167">
        <f>IF(AND(LEN('Aides'!A167)&gt;0,ISNUMBER('Aides'!I167)),'Aides'!I167+164/100000,"")</f>
        <v/>
      </c>
      <c r="B167">
        <f>IF(AND(LEN('Aides'!A167)&gt;0,ISNUMBER('Aides'!I167)),MAX($B$3:B166)+1,"")</f>
        <v/>
      </c>
      <c r="E167">
        <f>IFERROR(MATCH(164,$B$4:$B$503,0),"")</f>
        <v/>
      </c>
    </row>
    <row r="168">
      <c r="A168">
        <f>IF(AND(LEN('Aides'!A168)&gt;0,ISNUMBER('Aides'!I168)),'Aides'!I168+165/100000,"")</f>
        <v/>
      </c>
      <c r="B168">
        <f>IF(AND(LEN('Aides'!A168)&gt;0,ISNUMBER('Aides'!I168)),MAX($B$3:B167)+1,"")</f>
        <v/>
      </c>
      <c r="E168">
        <f>IFERROR(MATCH(165,$B$4:$B$503,0),"")</f>
        <v/>
      </c>
    </row>
    <row r="169">
      <c r="A169">
        <f>IF(AND(LEN('Aides'!A169)&gt;0,ISNUMBER('Aides'!I169)),'Aides'!I169+166/100000,"")</f>
        <v/>
      </c>
      <c r="B169">
        <f>IF(AND(LEN('Aides'!A169)&gt;0,ISNUMBER('Aides'!I169)),MAX($B$3:B168)+1,"")</f>
        <v/>
      </c>
      <c r="E169">
        <f>IFERROR(MATCH(166,$B$4:$B$503,0),"")</f>
        <v/>
      </c>
    </row>
    <row r="170">
      <c r="A170">
        <f>IF(AND(LEN('Aides'!A170)&gt;0,ISNUMBER('Aides'!I170)),'Aides'!I170+167/100000,"")</f>
        <v/>
      </c>
      <c r="B170">
        <f>IF(AND(LEN('Aides'!A170)&gt;0,ISNUMBER('Aides'!I170)),MAX($B$3:B169)+1,"")</f>
        <v/>
      </c>
      <c r="E170">
        <f>IFERROR(MATCH(167,$B$4:$B$503,0),"")</f>
        <v/>
      </c>
    </row>
    <row r="171">
      <c r="A171">
        <f>IF(AND(LEN('Aides'!A171)&gt;0,ISNUMBER('Aides'!I171)),'Aides'!I171+168/100000,"")</f>
        <v/>
      </c>
      <c r="B171">
        <f>IF(AND(LEN('Aides'!A171)&gt;0,ISNUMBER('Aides'!I171)),MAX($B$3:B170)+1,"")</f>
        <v/>
      </c>
      <c r="E171">
        <f>IFERROR(MATCH(168,$B$4:$B$503,0),"")</f>
        <v/>
      </c>
    </row>
    <row r="172">
      <c r="A172">
        <f>IF(AND(LEN('Aides'!A172)&gt;0,ISNUMBER('Aides'!I172)),'Aides'!I172+169/100000,"")</f>
        <v/>
      </c>
      <c r="B172">
        <f>IF(AND(LEN('Aides'!A172)&gt;0,ISNUMBER('Aides'!I172)),MAX($B$3:B171)+1,"")</f>
        <v/>
      </c>
      <c r="E172">
        <f>IFERROR(MATCH(169,$B$4:$B$503,0),"")</f>
        <v/>
      </c>
    </row>
    <row r="173">
      <c r="A173">
        <f>IF(AND(LEN('Aides'!A173)&gt;0,ISNUMBER('Aides'!I173)),'Aides'!I173+170/100000,"")</f>
        <v/>
      </c>
      <c r="B173">
        <f>IF(AND(LEN('Aides'!A173)&gt;0,ISNUMBER('Aides'!I173)),MAX($B$3:B172)+1,"")</f>
        <v/>
      </c>
      <c r="E173">
        <f>IFERROR(MATCH(170,$B$4:$B$503,0),"")</f>
        <v/>
      </c>
    </row>
    <row r="174">
      <c r="A174">
        <f>IF(AND(LEN('Aides'!A174)&gt;0,ISNUMBER('Aides'!I174)),'Aides'!I174+171/100000,"")</f>
        <v/>
      </c>
      <c r="B174">
        <f>IF(AND(LEN('Aides'!A174)&gt;0,ISNUMBER('Aides'!I174)),MAX($B$3:B173)+1,"")</f>
        <v/>
      </c>
      <c r="E174">
        <f>IFERROR(MATCH(171,$B$4:$B$503,0),"")</f>
        <v/>
      </c>
    </row>
    <row r="175">
      <c r="A175">
        <f>IF(AND(LEN('Aides'!A175)&gt;0,ISNUMBER('Aides'!I175)),'Aides'!I175+172/100000,"")</f>
        <v/>
      </c>
      <c r="B175">
        <f>IF(AND(LEN('Aides'!A175)&gt;0,ISNUMBER('Aides'!I175)),MAX($B$3:B174)+1,"")</f>
        <v/>
      </c>
      <c r="E175">
        <f>IFERROR(MATCH(172,$B$4:$B$503,0),"")</f>
        <v/>
      </c>
    </row>
    <row r="176">
      <c r="A176">
        <f>IF(AND(LEN('Aides'!A176)&gt;0,ISNUMBER('Aides'!I176)),'Aides'!I176+173/100000,"")</f>
        <v/>
      </c>
      <c r="B176">
        <f>IF(AND(LEN('Aides'!A176)&gt;0,ISNUMBER('Aides'!I176)),MAX($B$3:B175)+1,"")</f>
        <v/>
      </c>
      <c r="E176">
        <f>IFERROR(MATCH(173,$B$4:$B$503,0),"")</f>
        <v/>
      </c>
    </row>
    <row r="177">
      <c r="A177">
        <f>IF(AND(LEN('Aides'!A177)&gt;0,ISNUMBER('Aides'!I177)),'Aides'!I177+174/100000,"")</f>
        <v/>
      </c>
      <c r="B177">
        <f>IF(AND(LEN('Aides'!A177)&gt;0,ISNUMBER('Aides'!I177)),MAX($B$3:B176)+1,"")</f>
        <v/>
      </c>
      <c r="E177">
        <f>IFERROR(MATCH(174,$B$4:$B$503,0),"")</f>
        <v/>
      </c>
    </row>
    <row r="178">
      <c r="A178">
        <f>IF(AND(LEN('Aides'!A178)&gt;0,ISNUMBER('Aides'!I178)),'Aides'!I178+175/100000,"")</f>
        <v/>
      </c>
      <c r="B178">
        <f>IF(AND(LEN('Aides'!A178)&gt;0,ISNUMBER('Aides'!I178)),MAX($B$3:B177)+1,"")</f>
        <v/>
      </c>
      <c r="E178">
        <f>IFERROR(MATCH(175,$B$4:$B$503,0),"")</f>
        <v/>
      </c>
    </row>
    <row r="179">
      <c r="A179">
        <f>IF(AND(LEN('Aides'!A179)&gt;0,ISNUMBER('Aides'!I179)),'Aides'!I179+176/100000,"")</f>
        <v/>
      </c>
      <c r="B179">
        <f>IF(AND(LEN('Aides'!A179)&gt;0,ISNUMBER('Aides'!I179)),MAX($B$3:B178)+1,"")</f>
        <v/>
      </c>
      <c r="E179">
        <f>IFERROR(MATCH(176,$B$4:$B$503,0),"")</f>
        <v/>
      </c>
    </row>
    <row r="180">
      <c r="A180">
        <f>IF(AND(LEN('Aides'!A180)&gt;0,ISNUMBER('Aides'!I180)),'Aides'!I180+177/100000,"")</f>
        <v/>
      </c>
      <c r="B180">
        <f>IF(AND(LEN('Aides'!A180)&gt;0,ISNUMBER('Aides'!I180)),MAX($B$3:B179)+1,"")</f>
        <v/>
      </c>
      <c r="E180">
        <f>IFERROR(MATCH(177,$B$4:$B$503,0),"")</f>
        <v/>
      </c>
    </row>
    <row r="181">
      <c r="A181">
        <f>IF(AND(LEN('Aides'!A181)&gt;0,ISNUMBER('Aides'!I181)),'Aides'!I181+178/100000,"")</f>
        <v/>
      </c>
      <c r="B181">
        <f>IF(AND(LEN('Aides'!A181)&gt;0,ISNUMBER('Aides'!I181)),MAX($B$3:B180)+1,"")</f>
        <v/>
      </c>
      <c r="E181">
        <f>IFERROR(MATCH(178,$B$4:$B$503,0),"")</f>
        <v/>
      </c>
    </row>
    <row r="182">
      <c r="A182">
        <f>IF(AND(LEN('Aides'!A182)&gt;0,ISNUMBER('Aides'!I182)),'Aides'!I182+179/100000,"")</f>
        <v/>
      </c>
      <c r="B182">
        <f>IF(AND(LEN('Aides'!A182)&gt;0,ISNUMBER('Aides'!I182)),MAX($B$3:B181)+1,"")</f>
        <v/>
      </c>
      <c r="E182">
        <f>IFERROR(MATCH(179,$B$4:$B$503,0),"")</f>
        <v/>
      </c>
    </row>
    <row r="183">
      <c r="A183">
        <f>IF(AND(LEN('Aides'!A183)&gt;0,ISNUMBER('Aides'!I183)),'Aides'!I183+180/100000,"")</f>
        <v/>
      </c>
      <c r="B183">
        <f>IF(AND(LEN('Aides'!A183)&gt;0,ISNUMBER('Aides'!I183)),MAX($B$3:B182)+1,"")</f>
        <v/>
      </c>
      <c r="E183">
        <f>IFERROR(MATCH(180,$B$4:$B$503,0),"")</f>
        <v/>
      </c>
    </row>
    <row r="184">
      <c r="A184">
        <f>IF(AND(LEN('Aides'!A184)&gt;0,ISNUMBER('Aides'!I184)),'Aides'!I184+181/100000,"")</f>
        <v/>
      </c>
      <c r="B184">
        <f>IF(AND(LEN('Aides'!A184)&gt;0,ISNUMBER('Aides'!I184)),MAX($B$3:B183)+1,"")</f>
        <v/>
      </c>
      <c r="E184">
        <f>IFERROR(MATCH(181,$B$4:$B$503,0),"")</f>
        <v/>
      </c>
    </row>
    <row r="185">
      <c r="A185">
        <f>IF(AND(LEN('Aides'!A185)&gt;0,ISNUMBER('Aides'!I185)),'Aides'!I185+182/100000,"")</f>
        <v/>
      </c>
      <c r="B185">
        <f>IF(AND(LEN('Aides'!A185)&gt;0,ISNUMBER('Aides'!I185)),MAX($B$3:B184)+1,"")</f>
        <v/>
      </c>
      <c r="E185">
        <f>IFERROR(MATCH(182,$B$4:$B$503,0),"")</f>
        <v/>
      </c>
    </row>
    <row r="186">
      <c r="A186">
        <f>IF(AND(LEN('Aides'!A186)&gt;0,ISNUMBER('Aides'!I186)),'Aides'!I186+183/100000,"")</f>
        <v/>
      </c>
      <c r="B186">
        <f>IF(AND(LEN('Aides'!A186)&gt;0,ISNUMBER('Aides'!I186)),MAX($B$3:B185)+1,"")</f>
        <v/>
      </c>
      <c r="E186">
        <f>IFERROR(MATCH(183,$B$4:$B$503,0),"")</f>
        <v/>
      </c>
    </row>
    <row r="187">
      <c r="A187">
        <f>IF(AND(LEN('Aides'!A187)&gt;0,ISNUMBER('Aides'!I187)),'Aides'!I187+184/100000,"")</f>
        <v/>
      </c>
      <c r="B187">
        <f>IF(AND(LEN('Aides'!A187)&gt;0,ISNUMBER('Aides'!I187)),MAX($B$3:B186)+1,"")</f>
        <v/>
      </c>
      <c r="E187">
        <f>IFERROR(MATCH(184,$B$4:$B$503,0),"")</f>
        <v/>
      </c>
    </row>
    <row r="188">
      <c r="A188">
        <f>IF(AND(LEN('Aides'!A188)&gt;0,ISNUMBER('Aides'!I188)),'Aides'!I188+185/100000,"")</f>
        <v/>
      </c>
      <c r="B188">
        <f>IF(AND(LEN('Aides'!A188)&gt;0,ISNUMBER('Aides'!I188)),MAX($B$3:B187)+1,"")</f>
        <v/>
      </c>
      <c r="E188">
        <f>IFERROR(MATCH(185,$B$4:$B$503,0),"")</f>
        <v/>
      </c>
    </row>
    <row r="189">
      <c r="A189">
        <f>IF(AND(LEN('Aides'!A189)&gt;0,ISNUMBER('Aides'!I189)),'Aides'!I189+186/100000,"")</f>
        <v/>
      </c>
      <c r="B189">
        <f>IF(AND(LEN('Aides'!A189)&gt;0,ISNUMBER('Aides'!I189)),MAX($B$3:B188)+1,"")</f>
        <v/>
      </c>
      <c r="E189">
        <f>IFERROR(MATCH(186,$B$4:$B$503,0),"")</f>
        <v/>
      </c>
    </row>
    <row r="190">
      <c r="A190">
        <f>IF(AND(LEN('Aides'!A190)&gt;0,ISNUMBER('Aides'!I190)),'Aides'!I190+187/100000,"")</f>
        <v/>
      </c>
      <c r="B190">
        <f>IF(AND(LEN('Aides'!A190)&gt;0,ISNUMBER('Aides'!I190)),MAX($B$3:B189)+1,"")</f>
        <v/>
      </c>
      <c r="E190">
        <f>IFERROR(MATCH(187,$B$4:$B$503,0),"")</f>
        <v/>
      </c>
    </row>
    <row r="191">
      <c r="A191">
        <f>IF(AND(LEN('Aides'!A191)&gt;0,ISNUMBER('Aides'!I191)),'Aides'!I191+188/100000,"")</f>
        <v/>
      </c>
      <c r="B191">
        <f>IF(AND(LEN('Aides'!A191)&gt;0,ISNUMBER('Aides'!I191)),MAX($B$3:B190)+1,"")</f>
        <v/>
      </c>
      <c r="E191">
        <f>IFERROR(MATCH(188,$B$4:$B$503,0),"")</f>
        <v/>
      </c>
    </row>
    <row r="192">
      <c r="A192">
        <f>IF(AND(LEN('Aides'!A192)&gt;0,ISNUMBER('Aides'!I192)),'Aides'!I192+189/100000,"")</f>
        <v/>
      </c>
      <c r="B192">
        <f>IF(AND(LEN('Aides'!A192)&gt;0,ISNUMBER('Aides'!I192)),MAX($B$3:B191)+1,"")</f>
        <v/>
      </c>
      <c r="E192">
        <f>IFERROR(MATCH(189,$B$4:$B$503,0),"")</f>
        <v/>
      </c>
    </row>
    <row r="193">
      <c r="A193">
        <f>IF(AND(LEN('Aides'!A193)&gt;0,ISNUMBER('Aides'!I193)),'Aides'!I193+190/100000,"")</f>
        <v/>
      </c>
      <c r="B193">
        <f>IF(AND(LEN('Aides'!A193)&gt;0,ISNUMBER('Aides'!I193)),MAX($B$3:B192)+1,"")</f>
        <v/>
      </c>
      <c r="E193">
        <f>IFERROR(MATCH(190,$B$4:$B$503,0),"")</f>
        <v/>
      </c>
    </row>
    <row r="194">
      <c r="A194">
        <f>IF(AND(LEN('Aides'!A194)&gt;0,ISNUMBER('Aides'!I194)),'Aides'!I194+191/100000,"")</f>
        <v/>
      </c>
      <c r="B194">
        <f>IF(AND(LEN('Aides'!A194)&gt;0,ISNUMBER('Aides'!I194)),MAX($B$3:B193)+1,"")</f>
        <v/>
      </c>
      <c r="E194">
        <f>IFERROR(MATCH(191,$B$4:$B$503,0),"")</f>
        <v/>
      </c>
    </row>
    <row r="195">
      <c r="A195">
        <f>IF(AND(LEN('Aides'!A195)&gt;0,ISNUMBER('Aides'!I195)),'Aides'!I195+192/100000,"")</f>
        <v/>
      </c>
      <c r="B195">
        <f>IF(AND(LEN('Aides'!A195)&gt;0,ISNUMBER('Aides'!I195)),MAX($B$3:B194)+1,"")</f>
        <v/>
      </c>
      <c r="E195">
        <f>IFERROR(MATCH(192,$B$4:$B$503,0),"")</f>
        <v/>
      </c>
    </row>
    <row r="196">
      <c r="A196">
        <f>IF(AND(LEN('Aides'!A196)&gt;0,ISNUMBER('Aides'!I196)),'Aides'!I196+193/100000,"")</f>
        <v/>
      </c>
      <c r="B196">
        <f>IF(AND(LEN('Aides'!A196)&gt;0,ISNUMBER('Aides'!I196)),MAX($B$3:B195)+1,"")</f>
        <v/>
      </c>
      <c r="E196">
        <f>IFERROR(MATCH(193,$B$4:$B$503,0),"")</f>
        <v/>
      </c>
    </row>
    <row r="197">
      <c r="A197">
        <f>IF(AND(LEN('Aides'!A197)&gt;0,ISNUMBER('Aides'!I197)),'Aides'!I197+194/100000,"")</f>
        <v/>
      </c>
      <c r="B197">
        <f>IF(AND(LEN('Aides'!A197)&gt;0,ISNUMBER('Aides'!I197)),MAX($B$3:B196)+1,"")</f>
        <v/>
      </c>
      <c r="E197">
        <f>IFERROR(MATCH(194,$B$4:$B$503,0),"")</f>
        <v/>
      </c>
    </row>
    <row r="198">
      <c r="A198">
        <f>IF(AND(LEN('Aides'!A198)&gt;0,ISNUMBER('Aides'!I198)),'Aides'!I198+195/100000,"")</f>
        <v/>
      </c>
      <c r="B198">
        <f>IF(AND(LEN('Aides'!A198)&gt;0,ISNUMBER('Aides'!I198)),MAX($B$3:B197)+1,"")</f>
        <v/>
      </c>
      <c r="E198">
        <f>IFERROR(MATCH(195,$B$4:$B$503,0),"")</f>
        <v/>
      </c>
    </row>
    <row r="199">
      <c r="A199">
        <f>IF(AND(LEN('Aides'!A199)&gt;0,ISNUMBER('Aides'!I199)),'Aides'!I199+196/100000,"")</f>
        <v/>
      </c>
      <c r="B199">
        <f>IF(AND(LEN('Aides'!A199)&gt;0,ISNUMBER('Aides'!I199)),MAX($B$3:B198)+1,"")</f>
        <v/>
      </c>
      <c r="E199">
        <f>IFERROR(MATCH(196,$B$4:$B$503,0),"")</f>
        <v/>
      </c>
    </row>
    <row r="200">
      <c r="A200">
        <f>IF(AND(LEN('Aides'!A200)&gt;0,ISNUMBER('Aides'!I200)),'Aides'!I200+197/100000,"")</f>
        <v/>
      </c>
      <c r="B200">
        <f>IF(AND(LEN('Aides'!A200)&gt;0,ISNUMBER('Aides'!I200)),MAX($B$3:B199)+1,"")</f>
        <v/>
      </c>
      <c r="E200">
        <f>IFERROR(MATCH(197,$B$4:$B$503,0),"")</f>
        <v/>
      </c>
    </row>
    <row r="201">
      <c r="A201">
        <f>IF(AND(LEN('Aides'!A201)&gt;0,ISNUMBER('Aides'!I201)),'Aides'!I201+198/100000,"")</f>
        <v/>
      </c>
      <c r="B201">
        <f>IF(AND(LEN('Aides'!A201)&gt;0,ISNUMBER('Aides'!I201)),MAX($B$3:B200)+1,"")</f>
        <v/>
      </c>
      <c r="E201">
        <f>IFERROR(MATCH(198,$B$4:$B$503,0),"")</f>
        <v/>
      </c>
    </row>
    <row r="202">
      <c r="A202">
        <f>IF(AND(LEN('Aides'!A202)&gt;0,ISNUMBER('Aides'!I202)),'Aides'!I202+199/100000,"")</f>
        <v/>
      </c>
      <c r="B202">
        <f>IF(AND(LEN('Aides'!A202)&gt;0,ISNUMBER('Aides'!I202)),MAX($B$3:B201)+1,"")</f>
        <v/>
      </c>
      <c r="E202">
        <f>IFERROR(MATCH(199,$B$4:$B$503,0),"")</f>
        <v/>
      </c>
    </row>
    <row r="203">
      <c r="A203">
        <f>IF(AND(LEN('Aides'!A203)&gt;0,ISNUMBER('Aides'!I203)),'Aides'!I203+200/100000,"")</f>
        <v/>
      </c>
      <c r="B203">
        <f>IF(AND(LEN('Aides'!A203)&gt;0,ISNUMBER('Aides'!I203)),MAX($B$3:B202)+1,"")</f>
        <v/>
      </c>
      <c r="E203">
        <f>IFERROR(MATCH(200,$B$4:$B$503,0),"")</f>
        <v/>
      </c>
    </row>
    <row r="204">
      <c r="A204">
        <f>IF(AND(LEN('Aides'!A204)&gt;0,ISNUMBER('Aides'!I204)),'Aides'!I204+201/100000,"")</f>
        <v/>
      </c>
      <c r="B204">
        <f>IF(AND(LEN('Aides'!A204)&gt;0,ISNUMBER('Aides'!I204)),MAX($B$3:B203)+1,"")</f>
        <v/>
      </c>
      <c r="E204">
        <f>IFERROR(MATCH(201,$B$4:$B$503,0),"")</f>
        <v/>
      </c>
    </row>
    <row r="205">
      <c r="A205">
        <f>IF(AND(LEN('Aides'!A205)&gt;0,ISNUMBER('Aides'!I205)),'Aides'!I205+202/100000,"")</f>
        <v/>
      </c>
      <c r="B205">
        <f>IF(AND(LEN('Aides'!A205)&gt;0,ISNUMBER('Aides'!I205)),MAX($B$3:B204)+1,"")</f>
        <v/>
      </c>
      <c r="E205">
        <f>IFERROR(MATCH(202,$B$4:$B$503,0),"")</f>
        <v/>
      </c>
    </row>
    <row r="206">
      <c r="A206">
        <f>IF(AND(LEN('Aides'!A206)&gt;0,ISNUMBER('Aides'!I206)),'Aides'!I206+203/100000,"")</f>
        <v/>
      </c>
      <c r="B206">
        <f>IF(AND(LEN('Aides'!A206)&gt;0,ISNUMBER('Aides'!I206)),MAX($B$3:B205)+1,"")</f>
        <v/>
      </c>
      <c r="E206">
        <f>IFERROR(MATCH(203,$B$4:$B$503,0),"")</f>
        <v/>
      </c>
    </row>
    <row r="207">
      <c r="A207">
        <f>IF(AND(LEN('Aides'!A207)&gt;0,ISNUMBER('Aides'!I207)),'Aides'!I207+204/100000,"")</f>
        <v/>
      </c>
      <c r="B207">
        <f>IF(AND(LEN('Aides'!A207)&gt;0,ISNUMBER('Aides'!I207)),MAX($B$3:B206)+1,"")</f>
        <v/>
      </c>
      <c r="E207">
        <f>IFERROR(MATCH(204,$B$4:$B$503,0),"")</f>
        <v/>
      </c>
    </row>
    <row r="208">
      <c r="A208">
        <f>IF(AND(LEN('Aides'!A208)&gt;0,ISNUMBER('Aides'!I208)),'Aides'!I208+205/100000,"")</f>
        <v/>
      </c>
      <c r="B208">
        <f>IF(AND(LEN('Aides'!A208)&gt;0,ISNUMBER('Aides'!I208)),MAX($B$3:B207)+1,"")</f>
        <v/>
      </c>
      <c r="E208">
        <f>IFERROR(MATCH(205,$B$4:$B$503,0),"")</f>
        <v/>
      </c>
    </row>
    <row r="209">
      <c r="A209">
        <f>IF(AND(LEN('Aides'!A209)&gt;0,ISNUMBER('Aides'!I209)),'Aides'!I209+206/100000,"")</f>
        <v/>
      </c>
      <c r="B209">
        <f>IF(AND(LEN('Aides'!A209)&gt;0,ISNUMBER('Aides'!I209)),MAX($B$3:B208)+1,"")</f>
        <v/>
      </c>
      <c r="E209">
        <f>IFERROR(MATCH(206,$B$4:$B$503,0),"")</f>
        <v/>
      </c>
    </row>
    <row r="210">
      <c r="A210">
        <f>IF(AND(LEN('Aides'!A210)&gt;0,ISNUMBER('Aides'!I210)),'Aides'!I210+207/100000,"")</f>
        <v/>
      </c>
      <c r="B210">
        <f>IF(AND(LEN('Aides'!A210)&gt;0,ISNUMBER('Aides'!I210)),MAX($B$3:B209)+1,"")</f>
        <v/>
      </c>
      <c r="E210">
        <f>IFERROR(MATCH(207,$B$4:$B$503,0),"")</f>
        <v/>
      </c>
    </row>
    <row r="211">
      <c r="A211">
        <f>IF(AND(LEN('Aides'!A211)&gt;0,ISNUMBER('Aides'!I211)),'Aides'!I211+208/100000,"")</f>
        <v/>
      </c>
      <c r="B211">
        <f>IF(AND(LEN('Aides'!A211)&gt;0,ISNUMBER('Aides'!I211)),MAX($B$3:B210)+1,"")</f>
        <v/>
      </c>
      <c r="E211">
        <f>IFERROR(MATCH(208,$B$4:$B$503,0),"")</f>
        <v/>
      </c>
    </row>
    <row r="212">
      <c r="A212">
        <f>IF(AND(LEN('Aides'!A212)&gt;0,ISNUMBER('Aides'!I212)),'Aides'!I212+209/100000,"")</f>
        <v/>
      </c>
      <c r="B212">
        <f>IF(AND(LEN('Aides'!A212)&gt;0,ISNUMBER('Aides'!I212)),MAX($B$3:B211)+1,"")</f>
        <v/>
      </c>
      <c r="E212">
        <f>IFERROR(MATCH(209,$B$4:$B$503,0),"")</f>
        <v/>
      </c>
    </row>
    <row r="213">
      <c r="A213">
        <f>IF(AND(LEN('Aides'!A213)&gt;0,ISNUMBER('Aides'!I213)),'Aides'!I213+210/100000,"")</f>
        <v/>
      </c>
      <c r="B213">
        <f>IF(AND(LEN('Aides'!A213)&gt;0,ISNUMBER('Aides'!I213)),MAX($B$3:B212)+1,"")</f>
        <v/>
      </c>
      <c r="E213">
        <f>IFERROR(MATCH(210,$B$4:$B$503,0),"")</f>
        <v/>
      </c>
    </row>
    <row r="214">
      <c r="A214">
        <f>IF(AND(LEN('Aides'!A214)&gt;0,ISNUMBER('Aides'!I214)),'Aides'!I214+211/100000,"")</f>
        <v/>
      </c>
      <c r="B214">
        <f>IF(AND(LEN('Aides'!A214)&gt;0,ISNUMBER('Aides'!I214)),MAX($B$3:B213)+1,"")</f>
        <v/>
      </c>
      <c r="E214">
        <f>IFERROR(MATCH(211,$B$4:$B$503,0),"")</f>
        <v/>
      </c>
    </row>
    <row r="215">
      <c r="A215">
        <f>IF(AND(LEN('Aides'!A215)&gt;0,ISNUMBER('Aides'!I215)),'Aides'!I215+212/100000,"")</f>
        <v/>
      </c>
      <c r="B215">
        <f>IF(AND(LEN('Aides'!A215)&gt;0,ISNUMBER('Aides'!I215)),MAX($B$3:B214)+1,"")</f>
        <v/>
      </c>
      <c r="E215">
        <f>IFERROR(MATCH(212,$B$4:$B$503,0),"")</f>
        <v/>
      </c>
    </row>
    <row r="216">
      <c r="A216">
        <f>IF(AND(LEN('Aides'!A216)&gt;0,ISNUMBER('Aides'!I216)),'Aides'!I216+213/100000,"")</f>
        <v/>
      </c>
      <c r="B216">
        <f>IF(AND(LEN('Aides'!A216)&gt;0,ISNUMBER('Aides'!I216)),MAX($B$3:B215)+1,"")</f>
        <v/>
      </c>
      <c r="E216">
        <f>IFERROR(MATCH(213,$B$4:$B$503,0),"")</f>
        <v/>
      </c>
    </row>
    <row r="217">
      <c r="A217">
        <f>IF(AND(LEN('Aides'!A217)&gt;0,ISNUMBER('Aides'!I217)),'Aides'!I217+214/100000,"")</f>
        <v/>
      </c>
      <c r="B217">
        <f>IF(AND(LEN('Aides'!A217)&gt;0,ISNUMBER('Aides'!I217)),MAX($B$3:B216)+1,"")</f>
        <v/>
      </c>
      <c r="E217">
        <f>IFERROR(MATCH(214,$B$4:$B$503,0),"")</f>
        <v/>
      </c>
    </row>
    <row r="218">
      <c r="A218">
        <f>IF(AND(LEN('Aides'!A218)&gt;0,ISNUMBER('Aides'!I218)),'Aides'!I218+215/100000,"")</f>
        <v/>
      </c>
      <c r="B218">
        <f>IF(AND(LEN('Aides'!A218)&gt;0,ISNUMBER('Aides'!I218)),MAX($B$3:B217)+1,"")</f>
        <v/>
      </c>
      <c r="E218">
        <f>IFERROR(MATCH(215,$B$4:$B$503,0),"")</f>
        <v/>
      </c>
    </row>
    <row r="219">
      <c r="A219">
        <f>IF(AND(LEN('Aides'!A219)&gt;0,ISNUMBER('Aides'!I219)),'Aides'!I219+216/100000,"")</f>
        <v/>
      </c>
      <c r="B219">
        <f>IF(AND(LEN('Aides'!A219)&gt;0,ISNUMBER('Aides'!I219)),MAX($B$3:B218)+1,"")</f>
        <v/>
      </c>
      <c r="E219">
        <f>IFERROR(MATCH(216,$B$4:$B$503,0),"")</f>
        <v/>
      </c>
    </row>
    <row r="220">
      <c r="A220">
        <f>IF(AND(LEN('Aides'!A220)&gt;0,ISNUMBER('Aides'!I220)),'Aides'!I220+217/100000,"")</f>
        <v/>
      </c>
      <c r="B220">
        <f>IF(AND(LEN('Aides'!A220)&gt;0,ISNUMBER('Aides'!I220)),MAX($B$3:B219)+1,"")</f>
        <v/>
      </c>
      <c r="E220">
        <f>IFERROR(MATCH(217,$B$4:$B$503,0),"")</f>
        <v/>
      </c>
    </row>
    <row r="221">
      <c r="A221">
        <f>IF(AND(LEN('Aides'!A221)&gt;0,ISNUMBER('Aides'!I221)),'Aides'!I221+218/100000,"")</f>
        <v/>
      </c>
      <c r="B221">
        <f>IF(AND(LEN('Aides'!A221)&gt;0,ISNUMBER('Aides'!I221)),MAX($B$3:B220)+1,"")</f>
        <v/>
      </c>
      <c r="E221">
        <f>IFERROR(MATCH(218,$B$4:$B$503,0),"")</f>
        <v/>
      </c>
    </row>
    <row r="222">
      <c r="A222">
        <f>IF(AND(LEN('Aides'!A222)&gt;0,ISNUMBER('Aides'!I222)),'Aides'!I222+219/100000,"")</f>
        <v/>
      </c>
      <c r="B222">
        <f>IF(AND(LEN('Aides'!A222)&gt;0,ISNUMBER('Aides'!I222)),MAX($B$3:B221)+1,"")</f>
        <v/>
      </c>
      <c r="E222">
        <f>IFERROR(MATCH(219,$B$4:$B$503,0),"")</f>
        <v/>
      </c>
    </row>
    <row r="223">
      <c r="A223">
        <f>IF(AND(LEN('Aides'!A223)&gt;0,ISNUMBER('Aides'!I223)),'Aides'!I223+220/100000,"")</f>
        <v/>
      </c>
      <c r="B223">
        <f>IF(AND(LEN('Aides'!A223)&gt;0,ISNUMBER('Aides'!I223)),MAX($B$3:B222)+1,"")</f>
        <v/>
      </c>
      <c r="E223">
        <f>IFERROR(MATCH(220,$B$4:$B$503,0),"")</f>
        <v/>
      </c>
    </row>
    <row r="224">
      <c r="A224">
        <f>IF(AND(LEN('Aides'!A224)&gt;0,ISNUMBER('Aides'!I224)),'Aides'!I224+221/100000,"")</f>
        <v/>
      </c>
      <c r="B224">
        <f>IF(AND(LEN('Aides'!A224)&gt;0,ISNUMBER('Aides'!I224)),MAX($B$3:B223)+1,"")</f>
        <v/>
      </c>
      <c r="E224">
        <f>IFERROR(MATCH(221,$B$4:$B$503,0),"")</f>
        <v/>
      </c>
    </row>
    <row r="225">
      <c r="A225">
        <f>IF(AND(LEN('Aides'!A225)&gt;0,ISNUMBER('Aides'!I225)),'Aides'!I225+222/100000,"")</f>
        <v/>
      </c>
      <c r="B225">
        <f>IF(AND(LEN('Aides'!A225)&gt;0,ISNUMBER('Aides'!I225)),MAX($B$3:B224)+1,"")</f>
        <v/>
      </c>
      <c r="E225">
        <f>IFERROR(MATCH(222,$B$4:$B$503,0),"")</f>
        <v/>
      </c>
    </row>
    <row r="226">
      <c r="A226">
        <f>IF(AND(LEN('Aides'!A226)&gt;0,ISNUMBER('Aides'!I226)),'Aides'!I226+223/100000,"")</f>
        <v/>
      </c>
      <c r="B226">
        <f>IF(AND(LEN('Aides'!A226)&gt;0,ISNUMBER('Aides'!I226)),MAX($B$3:B225)+1,"")</f>
        <v/>
      </c>
      <c r="E226">
        <f>IFERROR(MATCH(223,$B$4:$B$503,0),"")</f>
        <v/>
      </c>
    </row>
    <row r="227">
      <c r="A227">
        <f>IF(AND(LEN('Aides'!A227)&gt;0,ISNUMBER('Aides'!I227)),'Aides'!I227+224/100000,"")</f>
        <v/>
      </c>
      <c r="B227">
        <f>IF(AND(LEN('Aides'!A227)&gt;0,ISNUMBER('Aides'!I227)),MAX($B$3:B226)+1,"")</f>
        <v/>
      </c>
      <c r="E227">
        <f>IFERROR(MATCH(224,$B$4:$B$503,0),"")</f>
        <v/>
      </c>
    </row>
    <row r="228">
      <c r="A228">
        <f>IF(AND(LEN('Aides'!A228)&gt;0,ISNUMBER('Aides'!I228)),'Aides'!I228+225/100000,"")</f>
        <v/>
      </c>
      <c r="B228">
        <f>IF(AND(LEN('Aides'!A228)&gt;0,ISNUMBER('Aides'!I228)),MAX($B$3:B227)+1,"")</f>
        <v/>
      </c>
      <c r="E228">
        <f>IFERROR(MATCH(225,$B$4:$B$503,0),"")</f>
        <v/>
      </c>
    </row>
    <row r="229">
      <c r="A229">
        <f>IF(AND(LEN('Aides'!A229)&gt;0,ISNUMBER('Aides'!I229)),'Aides'!I229+226/100000,"")</f>
        <v/>
      </c>
      <c r="B229">
        <f>IF(AND(LEN('Aides'!A229)&gt;0,ISNUMBER('Aides'!I229)),MAX($B$3:B228)+1,"")</f>
        <v/>
      </c>
      <c r="E229">
        <f>IFERROR(MATCH(226,$B$4:$B$503,0),"")</f>
        <v/>
      </c>
    </row>
    <row r="230">
      <c r="A230">
        <f>IF(AND(LEN('Aides'!A230)&gt;0,ISNUMBER('Aides'!I230)),'Aides'!I230+227/100000,"")</f>
        <v/>
      </c>
      <c r="B230">
        <f>IF(AND(LEN('Aides'!A230)&gt;0,ISNUMBER('Aides'!I230)),MAX($B$3:B229)+1,"")</f>
        <v/>
      </c>
      <c r="E230">
        <f>IFERROR(MATCH(227,$B$4:$B$503,0),"")</f>
        <v/>
      </c>
    </row>
    <row r="231">
      <c r="A231">
        <f>IF(AND(LEN('Aides'!A231)&gt;0,ISNUMBER('Aides'!I231)),'Aides'!I231+228/100000,"")</f>
        <v/>
      </c>
      <c r="B231">
        <f>IF(AND(LEN('Aides'!A231)&gt;0,ISNUMBER('Aides'!I231)),MAX($B$3:B230)+1,"")</f>
        <v/>
      </c>
      <c r="E231">
        <f>IFERROR(MATCH(228,$B$4:$B$503,0),"")</f>
        <v/>
      </c>
    </row>
    <row r="232">
      <c r="A232">
        <f>IF(AND(LEN('Aides'!A232)&gt;0,ISNUMBER('Aides'!I232)),'Aides'!I232+229/100000,"")</f>
        <v/>
      </c>
      <c r="B232">
        <f>IF(AND(LEN('Aides'!A232)&gt;0,ISNUMBER('Aides'!I232)),MAX($B$3:B231)+1,"")</f>
        <v/>
      </c>
      <c r="E232">
        <f>IFERROR(MATCH(229,$B$4:$B$503,0),"")</f>
        <v/>
      </c>
    </row>
    <row r="233">
      <c r="A233">
        <f>IF(AND(LEN('Aides'!A233)&gt;0,ISNUMBER('Aides'!I233)),'Aides'!I233+230/100000,"")</f>
        <v/>
      </c>
      <c r="B233">
        <f>IF(AND(LEN('Aides'!A233)&gt;0,ISNUMBER('Aides'!I233)),MAX($B$3:B232)+1,"")</f>
        <v/>
      </c>
      <c r="E233">
        <f>IFERROR(MATCH(230,$B$4:$B$503,0),"")</f>
        <v/>
      </c>
    </row>
    <row r="234">
      <c r="A234">
        <f>IF(AND(LEN('Aides'!A234)&gt;0,ISNUMBER('Aides'!I234)),'Aides'!I234+231/100000,"")</f>
        <v/>
      </c>
      <c r="B234">
        <f>IF(AND(LEN('Aides'!A234)&gt;0,ISNUMBER('Aides'!I234)),MAX($B$3:B233)+1,"")</f>
        <v/>
      </c>
      <c r="E234">
        <f>IFERROR(MATCH(231,$B$4:$B$503,0),"")</f>
        <v/>
      </c>
    </row>
    <row r="235">
      <c r="A235">
        <f>IF(AND(LEN('Aides'!A235)&gt;0,ISNUMBER('Aides'!I235)),'Aides'!I235+232/100000,"")</f>
        <v/>
      </c>
      <c r="B235">
        <f>IF(AND(LEN('Aides'!A235)&gt;0,ISNUMBER('Aides'!I235)),MAX($B$3:B234)+1,"")</f>
        <v/>
      </c>
      <c r="E235">
        <f>IFERROR(MATCH(232,$B$4:$B$503,0),"")</f>
        <v/>
      </c>
    </row>
    <row r="236">
      <c r="A236">
        <f>IF(AND(LEN('Aides'!A236)&gt;0,ISNUMBER('Aides'!I236)),'Aides'!I236+233/100000,"")</f>
        <v/>
      </c>
      <c r="B236">
        <f>IF(AND(LEN('Aides'!A236)&gt;0,ISNUMBER('Aides'!I236)),MAX($B$3:B235)+1,"")</f>
        <v/>
      </c>
      <c r="E236">
        <f>IFERROR(MATCH(233,$B$4:$B$503,0),"")</f>
        <v/>
      </c>
    </row>
    <row r="237">
      <c r="A237">
        <f>IF(AND(LEN('Aides'!A237)&gt;0,ISNUMBER('Aides'!I237)),'Aides'!I237+234/100000,"")</f>
        <v/>
      </c>
      <c r="B237">
        <f>IF(AND(LEN('Aides'!A237)&gt;0,ISNUMBER('Aides'!I237)),MAX($B$3:B236)+1,"")</f>
        <v/>
      </c>
      <c r="E237">
        <f>IFERROR(MATCH(234,$B$4:$B$503,0),"")</f>
        <v/>
      </c>
    </row>
    <row r="238">
      <c r="A238">
        <f>IF(AND(LEN('Aides'!A238)&gt;0,ISNUMBER('Aides'!I238)),'Aides'!I238+235/100000,"")</f>
        <v/>
      </c>
      <c r="B238">
        <f>IF(AND(LEN('Aides'!A238)&gt;0,ISNUMBER('Aides'!I238)),MAX($B$3:B237)+1,"")</f>
        <v/>
      </c>
      <c r="E238">
        <f>IFERROR(MATCH(235,$B$4:$B$503,0),"")</f>
        <v/>
      </c>
    </row>
    <row r="239">
      <c r="A239">
        <f>IF(AND(LEN('Aides'!A239)&gt;0,ISNUMBER('Aides'!I239)),'Aides'!I239+236/100000,"")</f>
        <v/>
      </c>
      <c r="B239">
        <f>IF(AND(LEN('Aides'!A239)&gt;0,ISNUMBER('Aides'!I239)),MAX($B$3:B238)+1,"")</f>
        <v/>
      </c>
      <c r="E239">
        <f>IFERROR(MATCH(236,$B$4:$B$503,0),"")</f>
        <v/>
      </c>
    </row>
    <row r="240">
      <c r="A240">
        <f>IF(AND(LEN('Aides'!A240)&gt;0,ISNUMBER('Aides'!I240)),'Aides'!I240+237/100000,"")</f>
        <v/>
      </c>
      <c r="B240">
        <f>IF(AND(LEN('Aides'!A240)&gt;0,ISNUMBER('Aides'!I240)),MAX($B$3:B239)+1,"")</f>
        <v/>
      </c>
      <c r="E240">
        <f>IFERROR(MATCH(237,$B$4:$B$503,0),"")</f>
        <v/>
      </c>
    </row>
    <row r="241">
      <c r="A241">
        <f>IF(AND(LEN('Aides'!A241)&gt;0,ISNUMBER('Aides'!I241)),'Aides'!I241+238/100000,"")</f>
        <v/>
      </c>
      <c r="B241">
        <f>IF(AND(LEN('Aides'!A241)&gt;0,ISNUMBER('Aides'!I241)),MAX($B$3:B240)+1,"")</f>
        <v/>
      </c>
      <c r="E241">
        <f>IFERROR(MATCH(238,$B$4:$B$503,0),"")</f>
        <v/>
      </c>
    </row>
    <row r="242">
      <c r="A242">
        <f>IF(AND(LEN('Aides'!A242)&gt;0,ISNUMBER('Aides'!I242)),'Aides'!I242+239/100000,"")</f>
        <v/>
      </c>
      <c r="B242">
        <f>IF(AND(LEN('Aides'!A242)&gt;0,ISNUMBER('Aides'!I242)),MAX($B$3:B241)+1,"")</f>
        <v/>
      </c>
      <c r="E242">
        <f>IFERROR(MATCH(239,$B$4:$B$503,0),"")</f>
        <v/>
      </c>
    </row>
    <row r="243">
      <c r="A243">
        <f>IF(AND(LEN('Aides'!A243)&gt;0,ISNUMBER('Aides'!I243)),'Aides'!I243+240/100000,"")</f>
        <v/>
      </c>
      <c r="B243">
        <f>IF(AND(LEN('Aides'!A243)&gt;0,ISNUMBER('Aides'!I243)),MAX($B$3:B242)+1,"")</f>
        <v/>
      </c>
      <c r="E243">
        <f>IFERROR(MATCH(240,$B$4:$B$503,0),"")</f>
        <v/>
      </c>
    </row>
    <row r="244">
      <c r="A244">
        <f>IF(AND(LEN('Aides'!A244)&gt;0,ISNUMBER('Aides'!I244)),'Aides'!I244+241/100000,"")</f>
        <v/>
      </c>
      <c r="B244">
        <f>IF(AND(LEN('Aides'!A244)&gt;0,ISNUMBER('Aides'!I244)),MAX($B$3:B243)+1,"")</f>
        <v/>
      </c>
      <c r="E244">
        <f>IFERROR(MATCH(241,$B$4:$B$503,0),"")</f>
        <v/>
      </c>
    </row>
    <row r="245">
      <c r="A245">
        <f>IF(AND(LEN('Aides'!A245)&gt;0,ISNUMBER('Aides'!I245)),'Aides'!I245+242/100000,"")</f>
        <v/>
      </c>
      <c r="B245">
        <f>IF(AND(LEN('Aides'!A245)&gt;0,ISNUMBER('Aides'!I245)),MAX($B$3:B244)+1,"")</f>
        <v/>
      </c>
      <c r="E245">
        <f>IFERROR(MATCH(242,$B$4:$B$503,0),"")</f>
        <v/>
      </c>
    </row>
    <row r="246">
      <c r="A246">
        <f>IF(AND(LEN('Aides'!A246)&gt;0,ISNUMBER('Aides'!I246)),'Aides'!I246+243/100000,"")</f>
        <v/>
      </c>
      <c r="B246">
        <f>IF(AND(LEN('Aides'!A246)&gt;0,ISNUMBER('Aides'!I246)),MAX($B$3:B245)+1,"")</f>
        <v/>
      </c>
      <c r="E246">
        <f>IFERROR(MATCH(243,$B$4:$B$503,0),"")</f>
        <v/>
      </c>
    </row>
    <row r="247">
      <c r="A247">
        <f>IF(AND(LEN('Aides'!A247)&gt;0,ISNUMBER('Aides'!I247)),'Aides'!I247+244/100000,"")</f>
        <v/>
      </c>
      <c r="B247">
        <f>IF(AND(LEN('Aides'!A247)&gt;0,ISNUMBER('Aides'!I247)),MAX($B$3:B246)+1,"")</f>
        <v/>
      </c>
      <c r="E247">
        <f>IFERROR(MATCH(244,$B$4:$B$503,0),"")</f>
        <v/>
      </c>
    </row>
    <row r="248">
      <c r="A248">
        <f>IF(AND(LEN('Aides'!A248)&gt;0,ISNUMBER('Aides'!I248)),'Aides'!I248+245/100000,"")</f>
        <v/>
      </c>
      <c r="B248">
        <f>IF(AND(LEN('Aides'!A248)&gt;0,ISNUMBER('Aides'!I248)),MAX($B$3:B247)+1,"")</f>
        <v/>
      </c>
      <c r="E248">
        <f>IFERROR(MATCH(245,$B$4:$B$503,0),"")</f>
        <v/>
      </c>
    </row>
    <row r="249">
      <c r="A249">
        <f>IF(AND(LEN('Aides'!A249)&gt;0,ISNUMBER('Aides'!I249)),'Aides'!I249+246/100000,"")</f>
        <v/>
      </c>
      <c r="B249">
        <f>IF(AND(LEN('Aides'!A249)&gt;0,ISNUMBER('Aides'!I249)),MAX($B$3:B248)+1,"")</f>
        <v/>
      </c>
      <c r="E249">
        <f>IFERROR(MATCH(246,$B$4:$B$503,0),"")</f>
        <v/>
      </c>
    </row>
    <row r="250">
      <c r="A250">
        <f>IF(AND(LEN('Aides'!A250)&gt;0,ISNUMBER('Aides'!I250)),'Aides'!I250+247/100000,"")</f>
        <v/>
      </c>
      <c r="B250">
        <f>IF(AND(LEN('Aides'!A250)&gt;0,ISNUMBER('Aides'!I250)),MAX($B$3:B249)+1,"")</f>
        <v/>
      </c>
      <c r="E250">
        <f>IFERROR(MATCH(247,$B$4:$B$503,0),"")</f>
        <v/>
      </c>
    </row>
    <row r="251">
      <c r="A251">
        <f>IF(AND(LEN('Aides'!A251)&gt;0,ISNUMBER('Aides'!I251)),'Aides'!I251+248/100000,"")</f>
        <v/>
      </c>
      <c r="B251">
        <f>IF(AND(LEN('Aides'!A251)&gt;0,ISNUMBER('Aides'!I251)),MAX($B$3:B250)+1,"")</f>
        <v/>
      </c>
      <c r="E251">
        <f>IFERROR(MATCH(248,$B$4:$B$503,0),"")</f>
        <v/>
      </c>
    </row>
    <row r="252">
      <c r="A252">
        <f>IF(AND(LEN('Aides'!A252)&gt;0,ISNUMBER('Aides'!I252)),'Aides'!I252+249/100000,"")</f>
        <v/>
      </c>
      <c r="B252">
        <f>IF(AND(LEN('Aides'!A252)&gt;0,ISNUMBER('Aides'!I252)),MAX($B$3:B251)+1,"")</f>
        <v/>
      </c>
      <c r="E252">
        <f>IFERROR(MATCH(249,$B$4:$B$503,0),"")</f>
        <v/>
      </c>
    </row>
    <row r="253">
      <c r="A253">
        <f>IF(AND(LEN('Aides'!A253)&gt;0,ISNUMBER('Aides'!I253)),'Aides'!I253+250/100000,"")</f>
        <v/>
      </c>
      <c r="B253">
        <f>IF(AND(LEN('Aides'!A253)&gt;0,ISNUMBER('Aides'!I253)),MAX($B$3:B252)+1,"")</f>
        <v/>
      </c>
      <c r="E253">
        <f>IFERROR(MATCH(250,$B$4:$B$503,0),"")</f>
        <v/>
      </c>
    </row>
    <row r="254">
      <c r="A254">
        <f>IF(AND(LEN('Aides'!A254)&gt;0,ISNUMBER('Aides'!I254)),'Aides'!I254+251/100000,"")</f>
        <v/>
      </c>
      <c r="B254">
        <f>IF(AND(LEN('Aides'!A254)&gt;0,ISNUMBER('Aides'!I254)),MAX($B$3:B253)+1,"")</f>
        <v/>
      </c>
      <c r="E254">
        <f>IFERROR(MATCH(251,$B$4:$B$503,0),"")</f>
        <v/>
      </c>
    </row>
    <row r="255">
      <c r="A255">
        <f>IF(AND(LEN('Aides'!A255)&gt;0,ISNUMBER('Aides'!I255)),'Aides'!I255+252/100000,"")</f>
        <v/>
      </c>
      <c r="B255">
        <f>IF(AND(LEN('Aides'!A255)&gt;0,ISNUMBER('Aides'!I255)),MAX($B$3:B254)+1,"")</f>
        <v/>
      </c>
      <c r="E255">
        <f>IFERROR(MATCH(252,$B$4:$B$503,0),"")</f>
        <v/>
      </c>
    </row>
    <row r="256">
      <c r="A256">
        <f>IF(AND(LEN('Aides'!A256)&gt;0,ISNUMBER('Aides'!I256)),'Aides'!I256+253/100000,"")</f>
        <v/>
      </c>
      <c r="B256">
        <f>IF(AND(LEN('Aides'!A256)&gt;0,ISNUMBER('Aides'!I256)),MAX($B$3:B255)+1,"")</f>
        <v/>
      </c>
      <c r="E256">
        <f>IFERROR(MATCH(253,$B$4:$B$503,0),"")</f>
        <v/>
      </c>
    </row>
    <row r="257">
      <c r="A257">
        <f>IF(AND(LEN('Aides'!A257)&gt;0,ISNUMBER('Aides'!I257)),'Aides'!I257+254/100000,"")</f>
        <v/>
      </c>
      <c r="B257">
        <f>IF(AND(LEN('Aides'!A257)&gt;0,ISNUMBER('Aides'!I257)),MAX($B$3:B256)+1,"")</f>
        <v/>
      </c>
      <c r="E257">
        <f>IFERROR(MATCH(254,$B$4:$B$503,0),"")</f>
        <v/>
      </c>
    </row>
    <row r="258">
      <c r="A258">
        <f>IF(AND(LEN('Aides'!A258)&gt;0,ISNUMBER('Aides'!I258)),'Aides'!I258+255/100000,"")</f>
        <v/>
      </c>
      <c r="B258">
        <f>IF(AND(LEN('Aides'!A258)&gt;0,ISNUMBER('Aides'!I258)),MAX($B$3:B257)+1,"")</f>
        <v/>
      </c>
      <c r="E258">
        <f>IFERROR(MATCH(255,$B$4:$B$503,0),"")</f>
        <v/>
      </c>
    </row>
    <row r="259">
      <c r="A259">
        <f>IF(AND(LEN('Aides'!A259)&gt;0,ISNUMBER('Aides'!I259)),'Aides'!I259+256/100000,"")</f>
        <v/>
      </c>
      <c r="B259">
        <f>IF(AND(LEN('Aides'!A259)&gt;0,ISNUMBER('Aides'!I259)),MAX($B$3:B258)+1,"")</f>
        <v/>
      </c>
      <c r="E259">
        <f>IFERROR(MATCH(256,$B$4:$B$503,0),"")</f>
        <v/>
      </c>
    </row>
    <row r="260">
      <c r="A260">
        <f>IF(AND(LEN('Aides'!A260)&gt;0,ISNUMBER('Aides'!I260)),'Aides'!I260+257/100000,"")</f>
        <v/>
      </c>
      <c r="B260">
        <f>IF(AND(LEN('Aides'!A260)&gt;0,ISNUMBER('Aides'!I260)),MAX($B$3:B259)+1,"")</f>
        <v/>
      </c>
      <c r="E260">
        <f>IFERROR(MATCH(257,$B$4:$B$503,0),"")</f>
        <v/>
      </c>
    </row>
    <row r="261">
      <c r="A261">
        <f>IF(AND(LEN('Aides'!A261)&gt;0,ISNUMBER('Aides'!I261)),'Aides'!I261+258/100000,"")</f>
        <v/>
      </c>
      <c r="B261">
        <f>IF(AND(LEN('Aides'!A261)&gt;0,ISNUMBER('Aides'!I261)),MAX($B$3:B260)+1,"")</f>
        <v/>
      </c>
      <c r="E261">
        <f>IFERROR(MATCH(258,$B$4:$B$503,0),"")</f>
        <v/>
      </c>
    </row>
    <row r="262">
      <c r="A262">
        <f>IF(AND(LEN('Aides'!A262)&gt;0,ISNUMBER('Aides'!I262)),'Aides'!I262+259/100000,"")</f>
        <v/>
      </c>
      <c r="B262">
        <f>IF(AND(LEN('Aides'!A262)&gt;0,ISNUMBER('Aides'!I262)),MAX($B$3:B261)+1,"")</f>
        <v/>
      </c>
      <c r="E262">
        <f>IFERROR(MATCH(259,$B$4:$B$503,0),"")</f>
        <v/>
      </c>
    </row>
    <row r="263">
      <c r="A263">
        <f>IF(AND(LEN('Aides'!A263)&gt;0,ISNUMBER('Aides'!I263)),'Aides'!I263+260/100000,"")</f>
        <v/>
      </c>
      <c r="B263">
        <f>IF(AND(LEN('Aides'!A263)&gt;0,ISNUMBER('Aides'!I263)),MAX($B$3:B262)+1,"")</f>
        <v/>
      </c>
      <c r="E263">
        <f>IFERROR(MATCH(260,$B$4:$B$503,0),"")</f>
        <v/>
      </c>
    </row>
    <row r="264">
      <c r="A264">
        <f>IF(AND(LEN('Aides'!A264)&gt;0,ISNUMBER('Aides'!I264)),'Aides'!I264+261/100000,"")</f>
        <v/>
      </c>
      <c r="B264">
        <f>IF(AND(LEN('Aides'!A264)&gt;0,ISNUMBER('Aides'!I264)),MAX($B$3:B263)+1,"")</f>
        <v/>
      </c>
      <c r="E264">
        <f>IFERROR(MATCH(261,$B$4:$B$503,0),"")</f>
        <v/>
      </c>
    </row>
    <row r="265">
      <c r="A265">
        <f>IF(AND(LEN('Aides'!A265)&gt;0,ISNUMBER('Aides'!I265)),'Aides'!I265+262/100000,"")</f>
        <v/>
      </c>
      <c r="B265">
        <f>IF(AND(LEN('Aides'!A265)&gt;0,ISNUMBER('Aides'!I265)),MAX($B$3:B264)+1,"")</f>
        <v/>
      </c>
      <c r="E265">
        <f>IFERROR(MATCH(262,$B$4:$B$503,0),"")</f>
        <v/>
      </c>
    </row>
    <row r="266">
      <c r="A266">
        <f>IF(AND(LEN('Aides'!A266)&gt;0,ISNUMBER('Aides'!I266)),'Aides'!I266+263/100000,"")</f>
        <v/>
      </c>
      <c r="B266">
        <f>IF(AND(LEN('Aides'!A266)&gt;0,ISNUMBER('Aides'!I266)),MAX($B$3:B265)+1,"")</f>
        <v/>
      </c>
      <c r="E266">
        <f>IFERROR(MATCH(263,$B$4:$B$503,0),"")</f>
        <v/>
      </c>
    </row>
    <row r="267">
      <c r="A267">
        <f>IF(AND(LEN('Aides'!A267)&gt;0,ISNUMBER('Aides'!I267)),'Aides'!I267+264/100000,"")</f>
        <v/>
      </c>
      <c r="B267">
        <f>IF(AND(LEN('Aides'!A267)&gt;0,ISNUMBER('Aides'!I267)),MAX($B$3:B266)+1,"")</f>
        <v/>
      </c>
      <c r="E267">
        <f>IFERROR(MATCH(264,$B$4:$B$503,0),"")</f>
        <v/>
      </c>
    </row>
    <row r="268">
      <c r="A268">
        <f>IF(AND(LEN('Aides'!A268)&gt;0,ISNUMBER('Aides'!I268)),'Aides'!I268+265/100000,"")</f>
        <v/>
      </c>
      <c r="B268">
        <f>IF(AND(LEN('Aides'!A268)&gt;0,ISNUMBER('Aides'!I268)),MAX($B$3:B267)+1,"")</f>
        <v/>
      </c>
      <c r="E268">
        <f>IFERROR(MATCH(265,$B$4:$B$503,0),"")</f>
        <v/>
      </c>
    </row>
    <row r="269">
      <c r="A269">
        <f>IF(AND(LEN('Aides'!A269)&gt;0,ISNUMBER('Aides'!I269)),'Aides'!I269+266/100000,"")</f>
        <v/>
      </c>
      <c r="B269">
        <f>IF(AND(LEN('Aides'!A269)&gt;0,ISNUMBER('Aides'!I269)),MAX($B$3:B268)+1,"")</f>
        <v/>
      </c>
      <c r="E269">
        <f>IFERROR(MATCH(266,$B$4:$B$503,0),"")</f>
        <v/>
      </c>
    </row>
    <row r="270">
      <c r="A270">
        <f>IF(AND(LEN('Aides'!A270)&gt;0,ISNUMBER('Aides'!I270)),'Aides'!I270+267/100000,"")</f>
        <v/>
      </c>
      <c r="B270">
        <f>IF(AND(LEN('Aides'!A270)&gt;0,ISNUMBER('Aides'!I270)),MAX($B$3:B269)+1,"")</f>
        <v/>
      </c>
      <c r="E270">
        <f>IFERROR(MATCH(267,$B$4:$B$503,0),"")</f>
        <v/>
      </c>
    </row>
    <row r="271">
      <c r="A271">
        <f>IF(AND(LEN('Aides'!A271)&gt;0,ISNUMBER('Aides'!I271)),'Aides'!I271+268/100000,"")</f>
        <v/>
      </c>
      <c r="B271">
        <f>IF(AND(LEN('Aides'!A271)&gt;0,ISNUMBER('Aides'!I271)),MAX($B$3:B270)+1,"")</f>
        <v/>
      </c>
      <c r="E271">
        <f>IFERROR(MATCH(268,$B$4:$B$503,0),"")</f>
        <v/>
      </c>
    </row>
    <row r="272">
      <c r="A272">
        <f>IF(AND(LEN('Aides'!A272)&gt;0,ISNUMBER('Aides'!I272)),'Aides'!I272+269/100000,"")</f>
        <v/>
      </c>
      <c r="B272">
        <f>IF(AND(LEN('Aides'!A272)&gt;0,ISNUMBER('Aides'!I272)),MAX($B$3:B271)+1,"")</f>
        <v/>
      </c>
      <c r="E272">
        <f>IFERROR(MATCH(269,$B$4:$B$503,0),"")</f>
        <v/>
      </c>
    </row>
    <row r="273">
      <c r="A273">
        <f>IF(AND(LEN('Aides'!A273)&gt;0,ISNUMBER('Aides'!I273)),'Aides'!I273+270/100000,"")</f>
        <v/>
      </c>
      <c r="B273">
        <f>IF(AND(LEN('Aides'!A273)&gt;0,ISNUMBER('Aides'!I273)),MAX($B$3:B272)+1,"")</f>
        <v/>
      </c>
      <c r="E273">
        <f>IFERROR(MATCH(270,$B$4:$B$503,0),"")</f>
        <v/>
      </c>
    </row>
    <row r="274">
      <c r="A274">
        <f>IF(AND(LEN('Aides'!A274)&gt;0,ISNUMBER('Aides'!I274)),'Aides'!I274+271/100000,"")</f>
        <v/>
      </c>
      <c r="B274">
        <f>IF(AND(LEN('Aides'!A274)&gt;0,ISNUMBER('Aides'!I274)),MAX($B$3:B273)+1,"")</f>
        <v/>
      </c>
      <c r="E274">
        <f>IFERROR(MATCH(271,$B$4:$B$503,0),"")</f>
        <v/>
      </c>
    </row>
    <row r="275">
      <c r="A275">
        <f>IF(AND(LEN('Aides'!A275)&gt;0,ISNUMBER('Aides'!I275)),'Aides'!I275+272/100000,"")</f>
        <v/>
      </c>
      <c r="B275">
        <f>IF(AND(LEN('Aides'!A275)&gt;0,ISNUMBER('Aides'!I275)),MAX($B$3:B274)+1,"")</f>
        <v/>
      </c>
      <c r="E275">
        <f>IFERROR(MATCH(272,$B$4:$B$503,0),"")</f>
        <v/>
      </c>
    </row>
    <row r="276">
      <c r="A276">
        <f>IF(AND(LEN('Aides'!A276)&gt;0,ISNUMBER('Aides'!I276)),'Aides'!I276+273/100000,"")</f>
        <v/>
      </c>
      <c r="B276">
        <f>IF(AND(LEN('Aides'!A276)&gt;0,ISNUMBER('Aides'!I276)),MAX($B$3:B275)+1,"")</f>
        <v/>
      </c>
      <c r="E276">
        <f>IFERROR(MATCH(273,$B$4:$B$503,0),"")</f>
        <v/>
      </c>
    </row>
    <row r="277">
      <c r="A277">
        <f>IF(AND(LEN('Aides'!A277)&gt;0,ISNUMBER('Aides'!I277)),'Aides'!I277+274/100000,"")</f>
        <v/>
      </c>
      <c r="B277">
        <f>IF(AND(LEN('Aides'!A277)&gt;0,ISNUMBER('Aides'!I277)),MAX($B$3:B276)+1,"")</f>
        <v/>
      </c>
      <c r="E277">
        <f>IFERROR(MATCH(274,$B$4:$B$503,0),"")</f>
        <v/>
      </c>
    </row>
    <row r="278">
      <c r="A278">
        <f>IF(AND(LEN('Aides'!A278)&gt;0,ISNUMBER('Aides'!I278)),'Aides'!I278+275/100000,"")</f>
        <v/>
      </c>
      <c r="B278">
        <f>IF(AND(LEN('Aides'!A278)&gt;0,ISNUMBER('Aides'!I278)),MAX($B$3:B277)+1,"")</f>
        <v/>
      </c>
      <c r="E278">
        <f>IFERROR(MATCH(275,$B$4:$B$503,0),"")</f>
        <v/>
      </c>
    </row>
    <row r="279">
      <c r="A279">
        <f>IF(AND(LEN('Aides'!A279)&gt;0,ISNUMBER('Aides'!I279)),'Aides'!I279+276/100000,"")</f>
        <v/>
      </c>
      <c r="B279">
        <f>IF(AND(LEN('Aides'!A279)&gt;0,ISNUMBER('Aides'!I279)),MAX($B$3:B278)+1,"")</f>
        <v/>
      </c>
      <c r="E279">
        <f>IFERROR(MATCH(276,$B$4:$B$503,0),"")</f>
        <v/>
      </c>
    </row>
    <row r="280">
      <c r="A280">
        <f>IF(AND(LEN('Aides'!A280)&gt;0,ISNUMBER('Aides'!I280)),'Aides'!I280+277/100000,"")</f>
        <v/>
      </c>
      <c r="B280">
        <f>IF(AND(LEN('Aides'!A280)&gt;0,ISNUMBER('Aides'!I280)),MAX($B$3:B279)+1,"")</f>
        <v/>
      </c>
      <c r="E280">
        <f>IFERROR(MATCH(277,$B$4:$B$503,0),"")</f>
        <v/>
      </c>
    </row>
    <row r="281">
      <c r="A281">
        <f>IF(AND(LEN('Aides'!A281)&gt;0,ISNUMBER('Aides'!I281)),'Aides'!I281+278/100000,"")</f>
        <v/>
      </c>
      <c r="B281">
        <f>IF(AND(LEN('Aides'!A281)&gt;0,ISNUMBER('Aides'!I281)),MAX($B$3:B280)+1,"")</f>
        <v/>
      </c>
      <c r="E281">
        <f>IFERROR(MATCH(278,$B$4:$B$503,0),"")</f>
        <v/>
      </c>
    </row>
    <row r="282">
      <c r="A282">
        <f>IF(AND(LEN('Aides'!A282)&gt;0,ISNUMBER('Aides'!I282)),'Aides'!I282+279/100000,"")</f>
        <v/>
      </c>
      <c r="B282">
        <f>IF(AND(LEN('Aides'!A282)&gt;0,ISNUMBER('Aides'!I282)),MAX($B$3:B281)+1,"")</f>
        <v/>
      </c>
      <c r="E282">
        <f>IFERROR(MATCH(279,$B$4:$B$503,0),"")</f>
        <v/>
      </c>
    </row>
    <row r="283">
      <c r="A283">
        <f>IF(AND(LEN('Aides'!A283)&gt;0,ISNUMBER('Aides'!I283)),'Aides'!I283+280/100000,"")</f>
        <v/>
      </c>
      <c r="B283">
        <f>IF(AND(LEN('Aides'!A283)&gt;0,ISNUMBER('Aides'!I283)),MAX($B$3:B282)+1,"")</f>
        <v/>
      </c>
      <c r="E283">
        <f>IFERROR(MATCH(280,$B$4:$B$503,0),"")</f>
        <v/>
      </c>
    </row>
    <row r="284">
      <c r="A284">
        <f>IF(AND(LEN('Aides'!A284)&gt;0,ISNUMBER('Aides'!I284)),'Aides'!I284+281/100000,"")</f>
        <v/>
      </c>
      <c r="B284">
        <f>IF(AND(LEN('Aides'!A284)&gt;0,ISNUMBER('Aides'!I284)),MAX($B$3:B283)+1,"")</f>
        <v/>
      </c>
      <c r="E284">
        <f>IFERROR(MATCH(281,$B$4:$B$503,0),"")</f>
        <v/>
      </c>
    </row>
    <row r="285">
      <c r="A285">
        <f>IF(AND(LEN('Aides'!A285)&gt;0,ISNUMBER('Aides'!I285)),'Aides'!I285+282/100000,"")</f>
        <v/>
      </c>
      <c r="B285">
        <f>IF(AND(LEN('Aides'!A285)&gt;0,ISNUMBER('Aides'!I285)),MAX($B$3:B284)+1,"")</f>
        <v/>
      </c>
      <c r="E285">
        <f>IFERROR(MATCH(282,$B$4:$B$503,0),"")</f>
        <v/>
      </c>
    </row>
    <row r="286">
      <c r="A286">
        <f>IF(AND(LEN('Aides'!A286)&gt;0,ISNUMBER('Aides'!I286)),'Aides'!I286+283/100000,"")</f>
        <v/>
      </c>
      <c r="B286">
        <f>IF(AND(LEN('Aides'!A286)&gt;0,ISNUMBER('Aides'!I286)),MAX($B$3:B285)+1,"")</f>
        <v/>
      </c>
      <c r="E286">
        <f>IFERROR(MATCH(283,$B$4:$B$503,0),"")</f>
        <v/>
      </c>
    </row>
    <row r="287">
      <c r="A287">
        <f>IF(AND(LEN('Aides'!A287)&gt;0,ISNUMBER('Aides'!I287)),'Aides'!I287+284/100000,"")</f>
        <v/>
      </c>
      <c r="B287">
        <f>IF(AND(LEN('Aides'!A287)&gt;0,ISNUMBER('Aides'!I287)),MAX($B$3:B286)+1,"")</f>
        <v/>
      </c>
      <c r="E287">
        <f>IFERROR(MATCH(284,$B$4:$B$503,0),"")</f>
        <v/>
      </c>
    </row>
    <row r="288">
      <c r="A288">
        <f>IF(AND(LEN('Aides'!A288)&gt;0,ISNUMBER('Aides'!I288)),'Aides'!I288+285/100000,"")</f>
        <v/>
      </c>
      <c r="B288">
        <f>IF(AND(LEN('Aides'!A288)&gt;0,ISNUMBER('Aides'!I288)),MAX($B$3:B287)+1,"")</f>
        <v/>
      </c>
      <c r="E288">
        <f>IFERROR(MATCH(285,$B$4:$B$503,0),"")</f>
        <v/>
      </c>
    </row>
    <row r="289">
      <c r="A289">
        <f>IF(AND(LEN('Aides'!A289)&gt;0,ISNUMBER('Aides'!I289)),'Aides'!I289+286/100000,"")</f>
        <v/>
      </c>
      <c r="B289">
        <f>IF(AND(LEN('Aides'!A289)&gt;0,ISNUMBER('Aides'!I289)),MAX($B$3:B288)+1,"")</f>
        <v/>
      </c>
      <c r="E289">
        <f>IFERROR(MATCH(286,$B$4:$B$503,0),"")</f>
        <v/>
      </c>
    </row>
    <row r="290">
      <c r="A290">
        <f>IF(AND(LEN('Aides'!A290)&gt;0,ISNUMBER('Aides'!I290)),'Aides'!I290+287/100000,"")</f>
        <v/>
      </c>
      <c r="B290">
        <f>IF(AND(LEN('Aides'!A290)&gt;0,ISNUMBER('Aides'!I290)),MAX($B$3:B289)+1,"")</f>
        <v/>
      </c>
      <c r="E290">
        <f>IFERROR(MATCH(287,$B$4:$B$503,0),"")</f>
        <v/>
      </c>
    </row>
    <row r="291">
      <c r="A291">
        <f>IF(AND(LEN('Aides'!A291)&gt;0,ISNUMBER('Aides'!I291)),'Aides'!I291+288/100000,"")</f>
        <v/>
      </c>
      <c r="B291">
        <f>IF(AND(LEN('Aides'!A291)&gt;0,ISNUMBER('Aides'!I291)),MAX($B$3:B290)+1,"")</f>
        <v/>
      </c>
      <c r="E291">
        <f>IFERROR(MATCH(288,$B$4:$B$503,0),"")</f>
        <v/>
      </c>
    </row>
    <row r="292">
      <c r="A292">
        <f>IF(AND(LEN('Aides'!A292)&gt;0,ISNUMBER('Aides'!I292)),'Aides'!I292+289/100000,"")</f>
        <v/>
      </c>
      <c r="B292">
        <f>IF(AND(LEN('Aides'!A292)&gt;0,ISNUMBER('Aides'!I292)),MAX($B$3:B291)+1,"")</f>
        <v/>
      </c>
      <c r="E292">
        <f>IFERROR(MATCH(289,$B$4:$B$503,0),"")</f>
        <v/>
      </c>
    </row>
    <row r="293">
      <c r="A293">
        <f>IF(AND(LEN('Aides'!A293)&gt;0,ISNUMBER('Aides'!I293)),'Aides'!I293+290/100000,"")</f>
        <v/>
      </c>
      <c r="B293">
        <f>IF(AND(LEN('Aides'!A293)&gt;0,ISNUMBER('Aides'!I293)),MAX($B$3:B292)+1,"")</f>
        <v/>
      </c>
      <c r="E293">
        <f>IFERROR(MATCH(290,$B$4:$B$503,0),"")</f>
        <v/>
      </c>
    </row>
    <row r="294">
      <c r="A294">
        <f>IF(AND(LEN('Aides'!A294)&gt;0,ISNUMBER('Aides'!I294)),'Aides'!I294+291/100000,"")</f>
        <v/>
      </c>
      <c r="B294">
        <f>IF(AND(LEN('Aides'!A294)&gt;0,ISNUMBER('Aides'!I294)),MAX($B$3:B293)+1,"")</f>
        <v/>
      </c>
      <c r="E294">
        <f>IFERROR(MATCH(291,$B$4:$B$503,0),"")</f>
        <v/>
      </c>
    </row>
    <row r="295">
      <c r="A295">
        <f>IF(AND(LEN('Aides'!A295)&gt;0,ISNUMBER('Aides'!I295)),'Aides'!I295+292/100000,"")</f>
        <v/>
      </c>
      <c r="B295">
        <f>IF(AND(LEN('Aides'!A295)&gt;0,ISNUMBER('Aides'!I295)),MAX($B$3:B294)+1,"")</f>
        <v/>
      </c>
      <c r="E295">
        <f>IFERROR(MATCH(292,$B$4:$B$503,0),"")</f>
        <v/>
      </c>
    </row>
    <row r="296">
      <c r="A296">
        <f>IF(AND(LEN('Aides'!A296)&gt;0,ISNUMBER('Aides'!I296)),'Aides'!I296+293/100000,"")</f>
        <v/>
      </c>
      <c r="B296">
        <f>IF(AND(LEN('Aides'!A296)&gt;0,ISNUMBER('Aides'!I296)),MAX($B$3:B295)+1,"")</f>
        <v/>
      </c>
      <c r="E296">
        <f>IFERROR(MATCH(293,$B$4:$B$503,0),"")</f>
        <v/>
      </c>
    </row>
    <row r="297">
      <c r="A297">
        <f>IF(AND(LEN('Aides'!A297)&gt;0,ISNUMBER('Aides'!I297)),'Aides'!I297+294/100000,"")</f>
        <v/>
      </c>
      <c r="B297">
        <f>IF(AND(LEN('Aides'!A297)&gt;0,ISNUMBER('Aides'!I297)),MAX($B$3:B296)+1,"")</f>
        <v/>
      </c>
      <c r="E297">
        <f>IFERROR(MATCH(294,$B$4:$B$503,0),"")</f>
        <v/>
      </c>
    </row>
    <row r="298">
      <c r="A298">
        <f>IF(AND(LEN('Aides'!A298)&gt;0,ISNUMBER('Aides'!I298)),'Aides'!I298+295/100000,"")</f>
        <v/>
      </c>
      <c r="B298">
        <f>IF(AND(LEN('Aides'!A298)&gt;0,ISNUMBER('Aides'!I298)),MAX($B$3:B297)+1,"")</f>
        <v/>
      </c>
      <c r="E298">
        <f>IFERROR(MATCH(295,$B$4:$B$503,0),"")</f>
        <v/>
      </c>
    </row>
    <row r="299">
      <c r="A299">
        <f>IF(AND(LEN('Aides'!A299)&gt;0,ISNUMBER('Aides'!I299)),'Aides'!I299+296/100000,"")</f>
        <v/>
      </c>
      <c r="B299">
        <f>IF(AND(LEN('Aides'!A299)&gt;0,ISNUMBER('Aides'!I299)),MAX($B$3:B298)+1,"")</f>
        <v/>
      </c>
      <c r="E299">
        <f>IFERROR(MATCH(296,$B$4:$B$503,0),"")</f>
        <v/>
      </c>
    </row>
    <row r="300">
      <c r="A300">
        <f>IF(AND(LEN('Aides'!A300)&gt;0,ISNUMBER('Aides'!I300)),'Aides'!I300+297/100000,"")</f>
        <v/>
      </c>
      <c r="B300">
        <f>IF(AND(LEN('Aides'!A300)&gt;0,ISNUMBER('Aides'!I300)),MAX($B$3:B299)+1,"")</f>
        <v/>
      </c>
      <c r="E300">
        <f>IFERROR(MATCH(297,$B$4:$B$503,0),"")</f>
        <v/>
      </c>
    </row>
    <row r="301">
      <c r="A301">
        <f>IF(AND(LEN('Aides'!A301)&gt;0,ISNUMBER('Aides'!I301)),'Aides'!I301+298/100000,"")</f>
        <v/>
      </c>
      <c r="B301">
        <f>IF(AND(LEN('Aides'!A301)&gt;0,ISNUMBER('Aides'!I301)),MAX($B$3:B300)+1,"")</f>
        <v/>
      </c>
      <c r="E301">
        <f>IFERROR(MATCH(298,$B$4:$B$503,0),"")</f>
        <v/>
      </c>
    </row>
    <row r="302">
      <c r="A302">
        <f>IF(AND(LEN('Aides'!A302)&gt;0,ISNUMBER('Aides'!I302)),'Aides'!I302+299/100000,"")</f>
        <v/>
      </c>
      <c r="B302">
        <f>IF(AND(LEN('Aides'!A302)&gt;0,ISNUMBER('Aides'!I302)),MAX($B$3:B301)+1,"")</f>
        <v/>
      </c>
      <c r="E302">
        <f>IFERROR(MATCH(299,$B$4:$B$503,0),"")</f>
        <v/>
      </c>
    </row>
    <row r="303">
      <c r="A303">
        <f>IF(AND(LEN('Aides'!A303)&gt;0,ISNUMBER('Aides'!I303)),'Aides'!I303+300/100000,"")</f>
        <v/>
      </c>
      <c r="B303">
        <f>IF(AND(LEN('Aides'!A303)&gt;0,ISNUMBER('Aides'!I303)),MAX($B$3:B302)+1,"")</f>
        <v/>
      </c>
      <c r="E303">
        <f>IFERROR(MATCH(300,$B$4:$B$503,0),"")</f>
        <v/>
      </c>
    </row>
    <row r="304">
      <c r="A304">
        <f>IF(AND(LEN('Aides'!A304)&gt;0,ISNUMBER('Aides'!I304)),'Aides'!I304+301/100000,"")</f>
        <v/>
      </c>
      <c r="B304">
        <f>IF(AND(LEN('Aides'!A304)&gt;0,ISNUMBER('Aides'!I304)),MAX($B$3:B303)+1,"")</f>
        <v/>
      </c>
      <c r="E304">
        <f>IFERROR(MATCH(301,$B$4:$B$503,0),"")</f>
        <v/>
      </c>
    </row>
    <row r="305">
      <c r="A305">
        <f>IF(AND(LEN('Aides'!A305)&gt;0,ISNUMBER('Aides'!I305)),'Aides'!I305+302/100000,"")</f>
        <v/>
      </c>
      <c r="B305">
        <f>IF(AND(LEN('Aides'!A305)&gt;0,ISNUMBER('Aides'!I305)),MAX($B$3:B304)+1,"")</f>
        <v/>
      </c>
      <c r="E305">
        <f>IFERROR(MATCH(302,$B$4:$B$503,0),"")</f>
        <v/>
      </c>
    </row>
    <row r="306">
      <c r="A306">
        <f>IF(AND(LEN('Aides'!A306)&gt;0,ISNUMBER('Aides'!I306)),'Aides'!I306+303/100000,"")</f>
        <v/>
      </c>
      <c r="B306">
        <f>IF(AND(LEN('Aides'!A306)&gt;0,ISNUMBER('Aides'!I306)),MAX($B$3:B305)+1,"")</f>
        <v/>
      </c>
      <c r="E306">
        <f>IFERROR(MATCH(303,$B$4:$B$503,0),"")</f>
        <v/>
      </c>
    </row>
    <row r="307">
      <c r="A307">
        <f>IF(AND(LEN('Aides'!A307)&gt;0,ISNUMBER('Aides'!I307)),'Aides'!I307+304/100000,"")</f>
        <v/>
      </c>
      <c r="B307">
        <f>IF(AND(LEN('Aides'!A307)&gt;0,ISNUMBER('Aides'!I307)),MAX($B$3:B306)+1,"")</f>
        <v/>
      </c>
      <c r="E307">
        <f>IFERROR(MATCH(304,$B$4:$B$503,0),"")</f>
        <v/>
      </c>
    </row>
    <row r="308">
      <c r="A308">
        <f>IF(AND(LEN('Aides'!A308)&gt;0,ISNUMBER('Aides'!I308)),'Aides'!I308+305/100000,"")</f>
        <v/>
      </c>
      <c r="B308">
        <f>IF(AND(LEN('Aides'!A308)&gt;0,ISNUMBER('Aides'!I308)),MAX($B$3:B307)+1,"")</f>
        <v/>
      </c>
      <c r="E308">
        <f>IFERROR(MATCH(305,$B$4:$B$503,0),"")</f>
        <v/>
      </c>
    </row>
    <row r="309">
      <c r="A309">
        <f>IF(AND(LEN('Aides'!A309)&gt;0,ISNUMBER('Aides'!I309)),'Aides'!I309+306/100000,"")</f>
        <v/>
      </c>
      <c r="B309">
        <f>IF(AND(LEN('Aides'!A309)&gt;0,ISNUMBER('Aides'!I309)),MAX($B$3:B308)+1,"")</f>
        <v/>
      </c>
      <c r="E309">
        <f>IFERROR(MATCH(306,$B$4:$B$503,0),"")</f>
        <v/>
      </c>
    </row>
    <row r="310">
      <c r="A310">
        <f>IF(AND(LEN('Aides'!A310)&gt;0,ISNUMBER('Aides'!I310)),'Aides'!I310+307/100000,"")</f>
        <v/>
      </c>
      <c r="B310">
        <f>IF(AND(LEN('Aides'!A310)&gt;0,ISNUMBER('Aides'!I310)),MAX($B$3:B309)+1,"")</f>
        <v/>
      </c>
      <c r="E310">
        <f>IFERROR(MATCH(307,$B$4:$B$503,0),"")</f>
        <v/>
      </c>
    </row>
    <row r="311">
      <c r="A311">
        <f>IF(AND(LEN('Aides'!A311)&gt;0,ISNUMBER('Aides'!I311)),'Aides'!I311+308/100000,"")</f>
        <v/>
      </c>
      <c r="B311">
        <f>IF(AND(LEN('Aides'!A311)&gt;0,ISNUMBER('Aides'!I311)),MAX($B$3:B310)+1,"")</f>
        <v/>
      </c>
      <c r="E311">
        <f>IFERROR(MATCH(308,$B$4:$B$503,0),"")</f>
        <v/>
      </c>
    </row>
    <row r="312">
      <c r="A312">
        <f>IF(AND(LEN('Aides'!A312)&gt;0,ISNUMBER('Aides'!I312)),'Aides'!I312+309/100000,"")</f>
        <v/>
      </c>
      <c r="B312">
        <f>IF(AND(LEN('Aides'!A312)&gt;0,ISNUMBER('Aides'!I312)),MAX($B$3:B311)+1,"")</f>
        <v/>
      </c>
      <c r="E312">
        <f>IFERROR(MATCH(309,$B$4:$B$503,0),"")</f>
        <v/>
      </c>
    </row>
    <row r="313">
      <c r="A313">
        <f>IF(AND(LEN('Aides'!A313)&gt;0,ISNUMBER('Aides'!I313)),'Aides'!I313+310/100000,"")</f>
        <v/>
      </c>
      <c r="B313">
        <f>IF(AND(LEN('Aides'!A313)&gt;0,ISNUMBER('Aides'!I313)),MAX($B$3:B312)+1,"")</f>
        <v/>
      </c>
      <c r="E313">
        <f>IFERROR(MATCH(310,$B$4:$B$503,0),"")</f>
        <v/>
      </c>
    </row>
    <row r="314">
      <c r="A314">
        <f>IF(AND(LEN('Aides'!A314)&gt;0,ISNUMBER('Aides'!I314)),'Aides'!I314+311/100000,"")</f>
        <v/>
      </c>
      <c r="B314">
        <f>IF(AND(LEN('Aides'!A314)&gt;0,ISNUMBER('Aides'!I314)),MAX($B$3:B313)+1,"")</f>
        <v/>
      </c>
      <c r="E314">
        <f>IFERROR(MATCH(311,$B$4:$B$503,0),"")</f>
        <v/>
      </c>
    </row>
    <row r="315">
      <c r="A315">
        <f>IF(AND(LEN('Aides'!A315)&gt;0,ISNUMBER('Aides'!I315)),'Aides'!I315+312/100000,"")</f>
        <v/>
      </c>
      <c r="B315">
        <f>IF(AND(LEN('Aides'!A315)&gt;0,ISNUMBER('Aides'!I315)),MAX($B$3:B314)+1,"")</f>
        <v/>
      </c>
      <c r="E315">
        <f>IFERROR(MATCH(312,$B$4:$B$503,0),"")</f>
        <v/>
      </c>
    </row>
    <row r="316">
      <c r="A316">
        <f>IF(AND(LEN('Aides'!A316)&gt;0,ISNUMBER('Aides'!I316)),'Aides'!I316+313/100000,"")</f>
        <v/>
      </c>
      <c r="B316">
        <f>IF(AND(LEN('Aides'!A316)&gt;0,ISNUMBER('Aides'!I316)),MAX($B$3:B315)+1,"")</f>
        <v/>
      </c>
      <c r="E316">
        <f>IFERROR(MATCH(313,$B$4:$B$503,0),"")</f>
        <v/>
      </c>
    </row>
    <row r="317">
      <c r="A317">
        <f>IF(AND(LEN('Aides'!A317)&gt;0,ISNUMBER('Aides'!I317)),'Aides'!I317+314/100000,"")</f>
        <v/>
      </c>
      <c r="B317">
        <f>IF(AND(LEN('Aides'!A317)&gt;0,ISNUMBER('Aides'!I317)),MAX($B$3:B316)+1,"")</f>
        <v/>
      </c>
      <c r="E317">
        <f>IFERROR(MATCH(314,$B$4:$B$503,0),"")</f>
        <v/>
      </c>
    </row>
    <row r="318">
      <c r="A318">
        <f>IF(AND(LEN('Aides'!A318)&gt;0,ISNUMBER('Aides'!I318)),'Aides'!I318+315/100000,"")</f>
        <v/>
      </c>
      <c r="B318">
        <f>IF(AND(LEN('Aides'!A318)&gt;0,ISNUMBER('Aides'!I318)),MAX($B$3:B317)+1,"")</f>
        <v/>
      </c>
      <c r="E318">
        <f>IFERROR(MATCH(315,$B$4:$B$503,0),"")</f>
        <v/>
      </c>
    </row>
    <row r="319">
      <c r="A319">
        <f>IF(AND(LEN('Aides'!A319)&gt;0,ISNUMBER('Aides'!I319)),'Aides'!I319+316/100000,"")</f>
        <v/>
      </c>
      <c r="B319">
        <f>IF(AND(LEN('Aides'!A319)&gt;0,ISNUMBER('Aides'!I319)),MAX($B$3:B318)+1,"")</f>
        <v/>
      </c>
      <c r="E319">
        <f>IFERROR(MATCH(316,$B$4:$B$503,0),"")</f>
        <v/>
      </c>
    </row>
    <row r="320">
      <c r="A320">
        <f>IF(AND(LEN('Aides'!A320)&gt;0,ISNUMBER('Aides'!I320)),'Aides'!I320+317/100000,"")</f>
        <v/>
      </c>
      <c r="B320">
        <f>IF(AND(LEN('Aides'!A320)&gt;0,ISNUMBER('Aides'!I320)),MAX($B$3:B319)+1,"")</f>
        <v/>
      </c>
      <c r="E320">
        <f>IFERROR(MATCH(317,$B$4:$B$503,0),"")</f>
        <v/>
      </c>
    </row>
    <row r="321">
      <c r="A321">
        <f>IF(AND(LEN('Aides'!A321)&gt;0,ISNUMBER('Aides'!I321)),'Aides'!I321+318/100000,"")</f>
        <v/>
      </c>
      <c r="B321">
        <f>IF(AND(LEN('Aides'!A321)&gt;0,ISNUMBER('Aides'!I321)),MAX($B$3:B320)+1,"")</f>
        <v/>
      </c>
      <c r="E321">
        <f>IFERROR(MATCH(318,$B$4:$B$503,0),"")</f>
        <v/>
      </c>
    </row>
    <row r="322">
      <c r="A322">
        <f>IF(AND(LEN('Aides'!A322)&gt;0,ISNUMBER('Aides'!I322)),'Aides'!I322+319/100000,"")</f>
        <v/>
      </c>
      <c r="B322">
        <f>IF(AND(LEN('Aides'!A322)&gt;0,ISNUMBER('Aides'!I322)),MAX($B$3:B321)+1,"")</f>
        <v/>
      </c>
      <c r="E322">
        <f>IFERROR(MATCH(319,$B$4:$B$503,0),"")</f>
        <v/>
      </c>
    </row>
    <row r="323">
      <c r="A323">
        <f>IF(AND(LEN('Aides'!A323)&gt;0,ISNUMBER('Aides'!I323)),'Aides'!I323+320/100000,"")</f>
        <v/>
      </c>
      <c r="B323">
        <f>IF(AND(LEN('Aides'!A323)&gt;0,ISNUMBER('Aides'!I323)),MAX($B$3:B322)+1,"")</f>
        <v/>
      </c>
      <c r="E323">
        <f>IFERROR(MATCH(320,$B$4:$B$503,0),"")</f>
        <v/>
      </c>
    </row>
    <row r="324">
      <c r="A324">
        <f>IF(AND(LEN('Aides'!A324)&gt;0,ISNUMBER('Aides'!I324)),'Aides'!I324+321/100000,"")</f>
        <v/>
      </c>
      <c r="B324">
        <f>IF(AND(LEN('Aides'!A324)&gt;0,ISNUMBER('Aides'!I324)),MAX($B$3:B323)+1,"")</f>
        <v/>
      </c>
      <c r="E324">
        <f>IFERROR(MATCH(321,$B$4:$B$503,0),"")</f>
        <v/>
      </c>
    </row>
    <row r="325">
      <c r="A325">
        <f>IF(AND(LEN('Aides'!A325)&gt;0,ISNUMBER('Aides'!I325)),'Aides'!I325+322/100000,"")</f>
        <v/>
      </c>
      <c r="B325">
        <f>IF(AND(LEN('Aides'!A325)&gt;0,ISNUMBER('Aides'!I325)),MAX($B$3:B324)+1,"")</f>
        <v/>
      </c>
      <c r="E325">
        <f>IFERROR(MATCH(322,$B$4:$B$503,0),"")</f>
        <v/>
      </c>
    </row>
    <row r="326">
      <c r="A326">
        <f>IF(AND(LEN('Aides'!A326)&gt;0,ISNUMBER('Aides'!I326)),'Aides'!I326+323/100000,"")</f>
        <v/>
      </c>
      <c r="B326">
        <f>IF(AND(LEN('Aides'!A326)&gt;0,ISNUMBER('Aides'!I326)),MAX($B$3:B325)+1,"")</f>
        <v/>
      </c>
      <c r="E326">
        <f>IFERROR(MATCH(323,$B$4:$B$503,0),"")</f>
        <v/>
      </c>
    </row>
    <row r="327">
      <c r="A327">
        <f>IF(AND(LEN('Aides'!A327)&gt;0,ISNUMBER('Aides'!I327)),'Aides'!I327+324/100000,"")</f>
        <v/>
      </c>
      <c r="B327">
        <f>IF(AND(LEN('Aides'!A327)&gt;0,ISNUMBER('Aides'!I327)),MAX($B$3:B326)+1,"")</f>
        <v/>
      </c>
      <c r="E327">
        <f>IFERROR(MATCH(324,$B$4:$B$503,0),"")</f>
        <v/>
      </c>
    </row>
    <row r="328">
      <c r="A328">
        <f>IF(AND(LEN('Aides'!A328)&gt;0,ISNUMBER('Aides'!I328)),'Aides'!I328+325/100000,"")</f>
        <v/>
      </c>
      <c r="B328">
        <f>IF(AND(LEN('Aides'!A328)&gt;0,ISNUMBER('Aides'!I328)),MAX($B$3:B327)+1,"")</f>
        <v/>
      </c>
      <c r="E328">
        <f>IFERROR(MATCH(325,$B$4:$B$503,0),"")</f>
        <v/>
      </c>
    </row>
    <row r="329">
      <c r="A329">
        <f>IF(AND(LEN('Aides'!A329)&gt;0,ISNUMBER('Aides'!I329)),'Aides'!I329+326/100000,"")</f>
        <v/>
      </c>
      <c r="B329">
        <f>IF(AND(LEN('Aides'!A329)&gt;0,ISNUMBER('Aides'!I329)),MAX($B$3:B328)+1,"")</f>
        <v/>
      </c>
      <c r="E329">
        <f>IFERROR(MATCH(326,$B$4:$B$503,0),"")</f>
        <v/>
      </c>
    </row>
    <row r="330">
      <c r="A330">
        <f>IF(AND(LEN('Aides'!A330)&gt;0,ISNUMBER('Aides'!I330)),'Aides'!I330+327/100000,"")</f>
        <v/>
      </c>
      <c r="B330">
        <f>IF(AND(LEN('Aides'!A330)&gt;0,ISNUMBER('Aides'!I330)),MAX($B$3:B329)+1,"")</f>
        <v/>
      </c>
      <c r="E330">
        <f>IFERROR(MATCH(327,$B$4:$B$503,0),"")</f>
        <v/>
      </c>
    </row>
    <row r="331">
      <c r="A331">
        <f>IF(AND(LEN('Aides'!A331)&gt;0,ISNUMBER('Aides'!I331)),'Aides'!I331+328/100000,"")</f>
        <v/>
      </c>
      <c r="B331">
        <f>IF(AND(LEN('Aides'!A331)&gt;0,ISNUMBER('Aides'!I331)),MAX($B$3:B330)+1,"")</f>
        <v/>
      </c>
      <c r="E331">
        <f>IFERROR(MATCH(328,$B$4:$B$503,0),"")</f>
        <v/>
      </c>
    </row>
    <row r="332">
      <c r="A332">
        <f>IF(AND(LEN('Aides'!A332)&gt;0,ISNUMBER('Aides'!I332)),'Aides'!I332+329/100000,"")</f>
        <v/>
      </c>
      <c r="B332">
        <f>IF(AND(LEN('Aides'!A332)&gt;0,ISNUMBER('Aides'!I332)),MAX($B$3:B331)+1,"")</f>
        <v/>
      </c>
      <c r="E332">
        <f>IFERROR(MATCH(329,$B$4:$B$503,0),"")</f>
        <v/>
      </c>
    </row>
    <row r="333">
      <c r="A333">
        <f>IF(AND(LEN('Aides'!A333)&gt;0,ISNUMBER('Aides'!I333)),'Aides'!I333+330/100000,"")</f>
        <v/>
      </c>
      <c r="B333">
        <f>IF(AND(LEN('Aides'!A333)&gt;0,ISNUMBER('Aides'!I333)),MAX($B$3:B332)+1,"")</f>
        <v/>
      </c>
      <c r="E333">
        <f>IFERROR(MATCH(330,$B$4:$B$503,0),"")</f>
        <v/>
      </c>
    </row>
    <row r="334">
      <c r="A334">
        <f>IF(AND(LEN('Aides'!A334)&gt;0,ISNUMBER('Aides'!I334)),'Aides'!I334+331/100000,"")</f>
        <v/>
      </c>
      <c r="B334">
        <f>IF(AND(LEN('Aides'!A334)&gt;0,ISNUMBER('Aides'!I334)),MAX($B$3:B333)+1,"")</f>
        <v/>
      </c>
      <c r="E334">
        <f>IFERROR(MATCH(331,$B$4:$B$503,0),"")</f>
        <v/>
      </c>
    </row>
    <row r="335">
      <c r="A335">
        <f>IF(AND(LEN('Aides'!A335)&gt;0,ISNUMBER('Aides'!I335)),'Aides'!I335+332/100000,"")</f>
        <v/>
      </c>
      <c r="B335">
        <f>IF(AND(LEN('Aides'!A335)&gt;0,ISNUMBER('Aides'!I335)),MAX($B$3:B334)+1,"")</f>
        <v/>
      </c>
      <c r="E335">
        <f>IFERROR(MATCH(332,$B$4:$B$503,0),"")</f>
        <v/>
      </c>
    </row>
    <row r="336">
      <c r="A336">
        <f>IF(AND(LEN('Aides'!A336)&gt;0,ISNUMBER('Aides'!I336)),'Aides'!I336+333/100000,"")</f>
        <v/>
      </c>
      <c r="B336">
        <f>IF(AND(LEN('Aides'!A336)&gt;0,ISNUMBER('Aides'!I336)),MAX($B$3:B335)+1,"")</f>
        <v/>
      </c>
      <c r="E336">
        <f>IFERROR(MATCH(333,$B$4:$B$503,0),"")</f>
        <v/>
      </c>
    </row>
    <row r="337">
      <c r="A337">
        <f>IF(AND(LEN('Aides'!A337)&gt;0,ISNUMBER('Aides'!I337)),'Aides'!I337+334/100000,"")</f>
        <v/>
      </c>
      <c r="B337">
        <f>IF(AND(LEN('Aides'!A337)&gt;0,ISNUMBER('Aides'!I337)),MAX($B$3:B336)+1,"")</f>
        <v/>
      </c>
      <c r="E337">
        <f>IFERROR(MATCH(334,$B$4:$B$503,0),"")</f>
        <v/>
      </c>
    </row>
    <row r="338">
      <c r="A338">
        <f>IF(AND(LEN('Aides'!A338)&gt;0,ISNUMBER('Aides'!I338)),'Aides'!I338+335/100000,"")</f>
        <v/>
      </c>
      <c r="B338">
        <f>IF(AND(LEN('Aides'!A338)&gt;0,ISNUMBER('Aides'!I338)),MAX($B$3:B337)+1,"")</f>
        <v/>
      </c>
      <c r="E338">
        <f>IFERROR(MATCH(335,$B$4:$B$503,0),"")</f>
        <v/>
      </c>
    </row>
    <row r="339">
      <c r="A339">
        <f>IF(AND(LEN('Aides'!A339)&gt;0,ISNUMBER('Aides'!I339)),'Aides'!I339+336/100000,"")</f>
        <v/>
      </c>
      <c r="B339">
        <f>IF(AND(LEN('Aides'!A339)&gt;0,ISNUMBER('Aides'!I339)),MAX($B$3:B338)+1,"")</f>
        <v/>
      </c>
      <c r="E339">
        <f>IFERROR(MATCH(336,$B$4:$B$503,0),"")</f>
        <v/>
      </c>
    </row>
    <row r="340">
      <c r="A340">
        <f>IF(AND(LEN('Aides'!A340)&gt;0,ISNUMBER('Aides'!I340)),'Aides'!I340+337/100000,"")</f>
        <v/>
      </c>
      <c r="B340">
        <f>IF(AND(LEN('Aides'!A340)&gt;0,ISNUMBER('Aides'!I340)),MAX($B$3:B339)+1,"")</f>
        <v/>
      </c>
      <c r="E340">
        <f>IFERROR(MATCH(337,$B$4:$B$503,0),"")</f>
        <v/>
      </c>
    </row>
    <row r="341">
      <c r="A341">
        <f>IF(AND(LEN('Aides'!A341)&gt;0,ISNUMBER('Aides'!I341)),'Aides'!I341+338/100000,"")</f>
        <v/>
      </c>
      <c r="B341">
        <f>IF(AND(LEN('Aides'!A341)&gt;0,ISNUMBER('Aides'!I341)),MAX($B$3:B340)+1,"")</f>
        <v/>
      </c>
      <c r="E341">
        <f>IFERROR(MATCH(338,$B$4:$B$503,0),"")</f>
        <v/>
      </c>
    </row>
    <row r="342">
      <c r="A342">
        <f>IF(AND(LEN('Aides'!A342)&gt;0,ISNUMBER('Aides'!I342)),'Aides'!I342+339/100000,"")</f>
        <v/>
      </c>
      <c r="B342">
        <f>IF(AND(LEN('Aides'!A342)&gt;0,ISNUMBER('Aides'!I342)),MAX($B$3:B341)+1,"")</f>
        <v/>
      </c>
      <c r="E342">
        <f>IFERROR(MATCH(339,$B$4:$B$503,0),"")</f>
        <v/>
      </c>
    </row>
    <row r="343">
      <c r="A343">
        <f>IF(AND(LEN('Aides'!A343)&gt;0,ISNUMBER('Aides'!I343)),'Aides'!I343+340/100000,"")</f>
        <v/>
      </c>
      <c r="B343">
        <f>IF(AND(LEN('Aides'!A343)&gt;0,ISNUMBER('Aides'!I343)),MAX($B$3:B342)+1,"")</f>
        <v/>
      </c>
      <c r="E343">
        <f>IFERROR(MATCH(340,$B$4:$B$503,0),"")</f>
        <v/>
      </c>
    </row>
    <row r="344">
      <c r="A344">
        <f>IF(AND(LEN('Aides'!A344)&gt;0,ISNUMBER('Aides'!I344)),'Aides'!I344+341/100000,"")</f>
        <v/>
      </c>
      <c r="B344">
        <f>IF(AND(LEN('Aides'!A344)&gt;0,ISNUMBER('Aides'!I344)),MAX($B$3:B343)+1,"")</f>
        <v/>
      </c>
      <c r="E344">
        <f>IFERROR(MATCH(341,$B$4:$B$503,0),"")</f>
        <v/>
      </c>
    </row>
    <row r="345">
      <c r="A345">
        <f>IF(AND(LEN('Aides'!A345)&gt;0,ISNUMBER('Aides'!I345)),'Aides'!I345+342/100000,"")</f>
        <v/>
      </c>
      <c r="B345">
        <f>IF(AND(LEN('Aides'!A345)&gt;0,ISNUMBER('Aides'!I345)),MAX($B$3:B344)+1,"")</f>
        <v/>
      </c>
      <c r="E345">
        <f>IFERROR(MATCH(342,$B$4:$B$503,0),"")</f>
        <v/>
      </c>
    </row>
    <row r="346">
      <c r="A346">
        <f>IF(AND(LEN('Aides'!A346)&gt;0,ISNUMBER('Aides'!I346)),'Aides'!I346+343/100000,"")</f>
        <v/>
      </c>
      <c r="B346">
        <f>IF(AND(LEN('Aides'!A346)&gt;0,ISNUMBER('Aides'!I346)),MAX($B$3:B345)+1,"")</f>
        <v/>
      </c>
      <c r="E346">
        <f>IFERROR(MATCH(343,$B$4:$B$503,0),"")</f>
        <v/>
      </c>
    </row>
    <row r="347">
      <c r="A347">
        <f>IF(AND(LEN('Aides'!A347)&gt;0,ISNUMBER('Aides'!I347)),'Aides'!I347+344/100000,"")</f>
        <v/>
      </c>
      <c r="B347">
        <f>IF(AND(LEN('Aides'!A347)&gt;0,ISNUMBER('Aides'!I347)),MAX($B$3:B346)+1,"")</f>
        <v/>
      </c>
      <c r="E347">
        <f>IFERROR(MATCH(344,$B$4:$B$503,0),"")</f>
        <v/>
      </c>
    </row>
    <row r="348">
      <c r="A348">
        <f>IF(AND(LEN('Aides'!A348)&gt;0,ISNUMBER('Aides'!I348)),'Aides'!I348+345/100000,"")</f>
        <v/>
      </c>
      <c r="B348">
        <f>IF(AND(LEN('Aides'!A348)&gt;0,ISNUMBER('Aides'!I348)),MAX($B$3:B347)+1,"")</f>
        <v/>
      </c>
      <c r="E348">
        <f>IFERROR(MATCH(345,$B$4:$B$503,0),"")</f>
        <v/>
      </c>
    </row>
    <row r="349">
      <c r="A349">
        <f>IF(AND(LEN('Aides'!A349)&gt;0,ISNUMBER('Aides'!I349)),'Aides'!I349+346/100000,"")</f>
        <v/>
      </c>
      <c r="B349">
        <f>IF(AND(LEN('Aides'!A349)&gt;0,ISNUMBER('Aides'!I349)),MAX($B$3:B348)+1,"")</f>
        <v/>
      </c>
      <c r="E349">
        <f>IFERROR(MATCH(346,$B$4:$B$503,0),"")</f>
        <v/>
      </c>
    </row>
    <row r="350">
      <c r="A350">
        <f>IF(AND(LEN('Aides'!A350)&gt;0,ISNUMBER('Aides'!I350)),'Aides'!I350+347/100000,"")</f>
        <v/>
      </c>
      <c r="B350">
        <f>IF(AND(LEN('Aides'!A350)&gt;0,ISNUMBER('Aides'!I350)),MAX($B$3:B349)+1,"")</f>
        <v/>
      </c>
      <c r="E350">
        <f>IFERROR(MATCH(347,$B$4:$B$503,0),"")</f>
        <v/>
      </c>
    </row>
    <row r="351">
      <c r="A351">
        <f>IF(AND(LEN('Aides'!A351)&gt;0,ISNUMBER('Aides'!I351)),'Aides'!I351+348/100000,"")</f>
        <v/>
      </c>
      <c r="B351">
        <f>IF(AND(LEN('Aides'!A351)&gt;0,ISNUMBER('Aides'!I351)),MAX($B$3:B350)+1,"")</f>
        <v/>
      </c>
      <c r="E351">
        <f>IFERROR(MATCH(348,$B$4:$B$503,0),"")</f>
        <v/>
      </c>
    </row>
    <row r="352">
      <c r="A352">
        <f>IF(AND(LEN('Aides'!A352)&gt;0,ISNUMBER('Aides'!I352)),'Aides'!I352+349/100000,"")</f>
        <v/>
      </c>
      <c r="B352">
        <f>IF(AND(LEN('Aides'!A352)&gt;0,ISNUMBER('Aides'!I352)),MAX($B$3:B351)+1,"")</f>
        <v/>
      </c>
      <c r="E352">
        <f>IFERROR(MATCH(349,$B$4:$B$503,0),"")</f>
        <v/>
      </c>
    </row>
    <row r="353">
      <c r="A353">
        <f>IF(AND(LEN('Aides'!A353)&gt;0,ISNUMBER('Aides'!I353)),'Aides'!I353+350/100000,"")</f>
        <v/>
      </c>
      <c r="B353">
        <f>IF(AND(LEN('Aides'!A353)&gt;0,ISNUMBER('Aides'!I353)),MAX($B$3:B352)+1,"")</f>
        <v/>
      </c>
      <c r="E353">
        <f>IFERROR(MATCH(350,$B$4:$B$503,0),"")</f>
        <v/>
      </c>
    </row>
    <row r="354">
      <c r="A354">
        <f>IF(AND(LEN('Aides'!A354)&gt;0,ISNUMBER('Aides'!I354)),'Aides'!I354+351/100000,"")</f>
        <v/>
      </c>
      <c r="B354">
        <f>IF(AND(LEN('Aides'!A354)&gt;0,ISNUMBER('Aides'!I354)),MAX($B$3:B353)+1,"")</f>
        <v/>
      </c>
      <c r="E354">
        <f>IFERROR(MATCH(351,$B$4:$B$503,0),"")</f>
        <v/>
      </c>
    </row>
    <row r="355">
      <c r="A355">
        <f>IF(AND(LEN('Aides'!A355)&gt;0,ISNUMBER('Aides'!I355)),'Aides'!I355+352/100000,"")</f>
        <v/>
      </c>
      <c r="B355">
        <f>IF(AND(LEN('Aides'!A355)&gt;0,ISNUMBER('Aides'!I355)),MAX($B$3:B354)+1,"")</f>
        <v/>
      </c>
      <c r="E355">
        <f>IFERROR(MATCH(352,$B$4:$B$503,0),"")</f>
        <v/>
      </c>
    </row>
    <row r="356">
      <c r="A356">
        <f>IF(AND(LEN('Aides'!A356)&gt;0,ISNUMBER('Aides'!I356)),'Aides'!I356+353/100000,"")</f>
        <v/>
      </c>
      <c r="B356">
        <f>IF(AND(LEN('Aides'!A356)&gt;0,ISNUMBER('Aides'!I356)),MAX($B$3:B355)+1,"")</f>
        <v/>
      </c>
      <c r="E356">
        <f>IFERROR(MATCH(353,$B$4:$B$503,0),"")</f>
        <v/>
      </c>
    </row>
    <row r="357">
      <c r="A357">
        <f>IF(AND(LEN('Aides'!A357)&gt;0,ISNUMBER('Aides'!I357)),'Aides'!I357+354/100000,"")</f>
        <v/>
      </c>
      <c r="B357">
        <f>IF(AND(LEN('Aides'!A357)&gt;0,ISNUMBER('Aides'!I357)),MAX($B$3:B356)+1,"")</f>
        <v/>
      </c>
      <c r="E357">
        <f>IFERROR(MATCH(354,$B$4:$B$503,0),"")</f>
        <v/>
      </c>
    </row>
    <row r="358">
      <c r="A358">
        <f>IF(AND(LEN('Aides'!A358)&gt;0,ISNUMBER('Aides'!I358)),'Aides'!I358+355/100000,"")</f>
        <v/>
      </c>
      <c r="B358">
        <f>IF(AND(LEN('Aides'!A358)&gt;0,ISNUMBER('Aides'!I358)),MAX($B$3:B357)+1,"")</f>
        <v/>
      </c>
      <c r="E358">
        <f>IFERROR(MATCH(355,$B$4:$B$503,0),"")</f>
        <v/>
      </c>
    </row>
    <row r="359">
      <c r="A359">
        <f>IF(AND(LEN('Aides'!A359)&gt;0,ISNUMBER('Aides'!I359)),'Aides'!I359+356/100000,"")</f>
        <v/>
      </c>
      <c r="B359">
        <f>IF(AND(LEN('Aides'!A359)&gt;0,ISNUMBER('Aides'!I359)),MAX($B$3:B358)+1,"")</f>
        <v/>
      </c>
      <c r="E359">
        <f>IFERROR(MATCH(356,$B$4:$B$503,0),"")</f>
        <v/>
      </c>
    </row>
    <row r="360">
      <c r="A360">
        <f>IF(AND(LEN('Aides'!A360)&gt;0,ISNUMBER('Aides'!I360)),'Aides'!I360+357/100000,"")</f>
        <v/>
      </c>
      <c r="B360">
        <f>IF(AND(LEN('Aides'!A360)&gt;0,ISNUMBER('Aides'!I360)),MAX($B$3:B359)+1,"")</f>
        <v/>
      </c>
      <c r="E360">
        <f>IFERROR(MATCH(357,$B$4:$B$503,0),"")</f>
        <v/>
      </c>
    </row>
    <row r="361">
      <c r="A361">
        <f>IF(AND(LEN('Aides'!A361)&gt;0,ISNUMBER('Aides'!I361)),'Aides'!I361+358/100000,"")</f>
        <v/>
      </c>
      <c r="B361">
        <f>IF(AND(LEN('Aides'!A361)&gt;0,ISNUMBER('Aides'!I361)),MAX($B$3:B360)+1,"")</f>
        <v/>
      </c>
      <c r="E361">
        <f>IFERROR(MATCH(358,$B$4:$B$503,0),"")</f>
        <v/>
      </c>
    </row>
    <row r="362">
      <c r="A362">
        <f>IF(AND(LEN('Aides'!A362)&gt;0,ISNUMBER('Aides'!I362)),'Aides'!I362+359/100000,"")</f>
        <v/>
      </c>
      <c r="B362">
        <f>IF(AND(LEN('Aides'!A362)&gt;0,ISNUMBER('Aides'!I362)),MAX($B$3:B361)+1,"")</f>
        <v/>
      </c>
      <c r="E362">
        <f>IFERROR(MATCH(359,$B$4:$B$503,0),"")</f>
        <v/>
      </c>
    </row>
    <row r="363">
      <c r="A363">
        <f>IF(AND(LEN('Aides'!A363)&gt;0,ISNUMBER('Aides'!I363)),'Aides'!I363+360/100000,"")</f>
        <v/>
      </c>
      <c r="B363">
        <f>IF(AND(LEN('Aides'!A363)&gt;0,ISNUMBER('Aides'!I363)),MAX($B$3:B362)+1,"")</f>
        <v/>
      </c>
      <c r="E363">
        <f>IFERROR(MATCH(360,$B$4:$B$503,0),"")</f>
        <v/>
      </c>
    </row>
    <row r="364">
      <c r="A364">
        <f>IF(AND(LEN('Aides'!A364)&gt;0,ISNUMBER('Aides'!I364)),'Aides'!I364+361/100000,"")</f>
        <v/>
      </c>
      <c r="B364">
        <f>IF(AND(LEN('Aides'!A364)&gt;0,ISNUMBER('Aides'!I364)),MAX($B$3:B363)+1,"")</f>
        <v/>
      </c>
      <c r="E364">
        <f>IFERROR(MATCH(361,$B$4:$B$503,0),"")</f>
        <v/>
      </c>
    </row>
    <row r="365">
      <c r="A365">
        <f>IF(AND(LEN('Aides'!A365)&gt;0,ISNUMBER('Aides'!I365)),'Aides'!I365+362/100000,"")</f>
        <v/>
      </c>
      <c r="B365">
        <f>IF(AND(LEN('Aides'!A365)&gt;0,ISNUMBER('Aides'!I365)),MAX($B$3:B364)+1,"")</f>
        <v/>
      </c>
      <c r="E365">
        <f>IFERROR(MATCH(362,$B$4:$B$503,0),"")</f>
        <v/>
      </c>
    </row>
    <row r="366">
      <c r="A366">
        <f>IF(AND(LEN('Aides'!A366)&gt;0,ISNUMBER('Aides'!I366)),'Aides'!I366+363/100000,"")</f>
        <v/>
      </c>
      <c r="B366">
        <f>IF(AND(LEN('Aides'!A366)&gt;0,ISNUMBER('Aides'!I366)),MAX($B$3:B365)+1,"")</f>
        <v/>
      </c>
      <c r="E366">
        <f>IFERROR(MATCH(363,$B$4:$B$503,0),"")</f>
        <v/>
      </c>
    </row>
    <row r="367">
      <c r="A367">
        <f>IF(AND(LEN('Aides'!A367)&gt;0,ISNUMBER('Aides'!I367)),'Aides'!I367+364/100000,"")</f>
        <v/>
      </c>
      <c r="B367">
        <f>IF(AND(LEN('Aides'!A367)&gt;0,ISNUMBER('Aides'!I367)),MAX($B$3:B366)+1,"")</f>
        <v/>
      </c>
      <c r="E367">
        <f>IFERROR(MATCH(364,$B$4:$B$503,0),"")</f>
        <v/>
      </c>
    </row>
    <row r="368">
      <c r="A368">
        <f>IF(AND(LEN('Aides'!A368)&gt;0,ISNUMBER('Aides'!I368)),'Aides'!I368+365/100000,"")</f>
        <v/>
      </c>
      <c r="B368">
        <f>IF(AND(LEN('Aides'!A368)&gt;0,ISNUMBER('Aides'!I368)),MAX($B$3:B367)+1,"")</f>
        <v/>
      </c>
      <c r="E368">
        <f>IFERROR(MATCH(365,$B$4:$B$503,0),"")</f>
        <v/>
      </c>
    </row>
    <row r="369">
      <c r="A369">
        <f>IF(AND(LEN('Aides'!A369)&gt;0,ISNUMBER('Aides'!I369)),'Aides'!I369+366/100000,"")</f>
        <v/>
      </c>
      <c r="B369">
        <f>IF(AND(LEN('Aides'!A369)&gt;0,ISNUMBER('Aides'!I369)),MAX($B$3:B368)+1,"")</f>
        <v/>
      </c>
      <c r="E369">
        <f>IFERROR(MATCH(366,$B$4:$B$503,0),"")</f>
        <v/>
      </c>
    </row>
    <row r="370">
      <c r="A370">
        <f>IF(AND(LEN('Aides'!A370)&gt;0,ISNUMBER('Aides'!I370)),'Aides'!I370+367/100000,"")</f>
        <v/>
      </c>
      <c r="B370">
        <f>IF(AND(LEN('Aides'!A370)&gt;0,ISNUMBER('Aides'!I370)),MAX($B$3:B369)+1,"")</f>
        <v/>
      </c>
      <c r="E370">
        <f>IFERROR(MATCH(367,$B$4:$B$503,0),"")</f>
        <v/>
      </c>
    </row>
    <row r="371">
      <c r="A371">
        <f>IF(AND(LEN('Aides'!A371)&gt;0,ISNUMBER('Aides'!I371)),'Aides'!I371+368/100000,"")</f>
        <v/>
      </c>
      <c r="B371">
        <f>IF(AND(LEN('Aides'!A371)&gt;0,ISNUMBER('Aides'!I371)),MAX($B$3:B370)+1,"")</f>
        <v/>
      </c>
      <c r="E371">
        <f>IFERROR(MATCH(368,$B$4:$B$503,0),"")</f>
        <v/>
      </c>
    </row>
    <row r="372">
      <c r="A372">
        <f>IF(AND(LEN('Aides'!A372)&gt;0,ISNUMBER('Aides'!I372)),'Aides'!I372+369/100000,"")</f>
        <v/>
      </c>
      <c r="B372">
        <f>IF(AND(LEN('Aides'!A372)&gt;0,ISNUMBER('Aides'!I372)),MAX($B$3:B371)+1,"")</f>
        <v/>
      </c>
      <c r="E372">
        <f>IFERROR(MATCH(369,$B$4:$B$503,0),"")</f>
        <v/>
      </c>
    </row>
    <row r="373">
      <c r="A373">
        <f>IF(AND(LEN('Aides'!A373)&gt;0,ISNUMBER('Aides'!I373)),'Aides'!I373+370/100000,"")</f>
        <v/>
      </c>
      <c r="B373">
        <f>IF(AND(LEN('Aides'!A373)&gt;0,ISNUMBER('Aides'!I373)),MAX($B$3:B372)+1,"")</f>
        <v/>
      </c>
      <c r="E373">
        <f>IFERROR(MATCH(370,$B$4:$B$503,0),"")</f>
        <v/>
      </c>
    </row>
    <row r="374">
      <c r="A374">
        <f>IF(AND(LEN('Aides'!A374)&gt;0,ISNUMBER('Aides'!I374)),'Aides'!I374+371/100000,"")</f>
        <v/>
      </c>
      <c r="B374">
        <f>IF(AND(LEN('Aides'!A374)&gt;0,ISNUMBER('Aides'!I374)),MAX($B$3:B373)+1,"")</f>
        <v/>
      </c>
      <c r="E374">
        <f>IFERROR(MATCH(371,$B$4:$B$503,0),"")</f>
        <v/>
      </c>
    </row>
    <row r="375">
      <c r="A375">
        <f>IF(AND(LEN('Aides'!A375)&gt;0,ISNUMBER('Aides'!I375)),'Aides'!I375+372/100000,"")</f>
        <v/>
      </c>
      <c r="B375">
        <f>IF(AND(LEN('Aides'!A375)&gt;0,ISNUMBER('Aides'!I375)),MAX($B$3:B374)+1,"")</f>
        <v/>
      </c>
      <c r="E375">
        <f>IFERROR(MATCH(372,$B$4:$B$503,0),"")</f>
        <v/>
      </c>
    </row>
    <row r="376">
      <c r="A376">
        <f>IF(AND(LEN('Aides'!A376)&gt;0,ISNUMBER('Aides'!I376)),'Aides'!I376+373/100000,"")</f>
        <v/>
      </c>
      <c r="B376">
        <f>IF(AND(LEN('Aides'!A376)&gt;0,ISNUMBER('Aides'!I376)),MAX($B$3:B375)+1,"")</f>
        <v/>
      </c>
      <c r="E376">
        <f>IFERROR(MATCH(373,$B$4:$B$503,0),"")</f>
        <v/>
      </c>
    </row>
    <row r="377">
      <c r="A377">
        <f>IF(AND(LEN('Aides'!A377)&gt;0,ISNUMBER('Aides'!I377)),'Aides'!I377+374/100000,"")</f>
        <v/>
      </c>
      <c r="B377">
        <f>IF(AND(LEN('Aides'!A377)&gt;0,ISNUMBER('Aides'!I377)),MAX($B$3:B376)+1,"")</f>
        <v/>
      </c>
      <c r="E377">
        <f>IFERROR(MATCH(374,$B$4:$B$503,0),"")</f>
        <v/>
      </c>
    </row>
    <row r="378">
      <c r="A378">
        <f>IF(AND(LEN('Aides'!A378)&gt;0,ISNUMBER('Aides'!I378)),'Aides'!I378+375/100000,"")</f>
        <v/>
      </c>
      <c r="B378">
        <f>IF(AND(LEN('Aides'!A378)&gt;0,ISNUMBER('Aides'!I378)),MAX($B$3:B377)+1,"")</f>
        <v/>
      </c>
      <c r="E378">
        <f>IFERROR(MATCH(375,$B$4:$B$503,0),"")</f>
        <v/>
      </c>
    </row>
    <row r="379">
      <c r="A379">
        <f>IF(AND(LEN('Aides'!A379)&gt;0,ISNUMBER('Aides'!I379)),'Aides'!I379+376/100000,"")</f>
        <v/>
      </c>
      <c r="B379">
        <f>IF(AND(LEN('Aides'!A379)&gt;0,ISNUMBER('Aides'!I379)),MAX($B$3:B378)+1,"")</f>
        <v/>
      </c>
      <c r="E379">
        <f>IFERROR(MATCH(376,$B$4:$B$503,0),"")</f>
        <v/>
      </c>
    </row>
    <row r="380">
      <c r="A380">
        <f>IF(AND(LEN('Aides'!A380)&gt;0,ISNUMBER('Aides'!I380)),'Aides'!I380+377/100000,"")</f>
        <v/>
      </c>
      <c r="B380">
        <f>IF(AND(LEN('Aides'!A380)&gt;0,ISNUMBER('Aides'!I380)),MAX($B$3:B379)+1,"")</f>
        <v/>
      </c>
      <c r="E380">
        <f>IFERROR(MATCH(377,$B$4:$B$503,0),"")</f>
        <v/>
      </c>
    </row>
    <row r="381">
      <c r="A381">
        <f>IF(AND(LEN('Aides'!A381)&gt;0,ISNUMBER('Aides'!I381)),'Aides'!I381+378/100000,"")</f>
        <v/>
      </c>
      <c r="B381">
        <f>IF(AND(LEN('Aides'!A381)&gt;0,ISNUMBER('Aides'!I381)),MAX($B$3:B380)+1,"")</f>
        <v/>
      </c>
      <c r="E381">
        <f>IFERROR(MATCH(378,$B$4:$B$503,0),"")</f>
        <v/>
      </c>
    </row>
    <row r="382">
      <c r="A382">
        <f>IF(AND(LEN('Aides'!A382)&gt;0,ISNUMBER('Aides'!I382)),'Aides'!I382+379/100000,"")</f>
        <v/>
      </c>
      <c r="B382">
        <f>IF(AND(LEN('Aides'!A382)&gt;0,ISNUMBER('Aides'!I382)),MAX($B$3:B381)+1,"")</f>
        <v/>
      </c>
      <c r="E382">
        <f>IFERROR(MATCH(379,$B$4:$B$503,0),"")</f>
        <v/>
      </c>
    </row>
    <row r="383">
      <c r="A383">
        <f>IF(AND(LEN('Aides'!A383)&gt;0,ISNUMBER('Aides'!I383)),'Aides'!I383+380/100000,"")</f>
        <v/>
      </c>
      <c r="B383">
        <f>IF(AND(LEN('Aides'!A383)&gt;0,ISNUMBER('Aides'!I383)),MAX($B$3:B382)+1,"")</f>
        <v/>
      </c>
      <c r="E383">
        <f>IFERROR(MATCH(380,$B$4:$B$503,0),"")</f>
        <v/>
      </c>
    </row>
    <row r="384">
      <c r="A384">
        <f>IF(AND(LEN('Aides'!A384)&gt;0,ISNUMBER('Aides'!I384)),'Aides'!I384+381/100000,"")</f>
        <v/>
      </c>
      <c r="B384">
        <f>IF(AND(LEN('Aides'!A384)&gt;0,ISNUMBER('Aides'!I384)),MAX($B$3:B383)+1,"")</f>
        <v/>
      </c>
      <c r="E384">
        <f>IFERROR(MATCH(381,$B$4:$B$503,0),"")</f>
        <v/>
      </c>
    </row>
    <row r="385">
      <c r="A385">
        <f>IF(AND(LEN('Aides'!A385)&gt;0,ISNUMBER('Aides'!I385)),'Aides'!I385+382/100000,"")</f>
        <v/>
      </c>
      <c r="B385">
        <f>IF(AND(LEN('Aides'!A385)&gt;0,ISNUMBER('Aides'!I385)),MAX($B$3:B384)+1,"")</f>
        <v/>
      </c>
      <c r="E385">
        <f>IFERROR(MATCH(382,$B$4:$B$503,0),"")</f>
        <v/>
      </c>
    </row>
    <row r="386">
      <c r="A386">
        <f>IF(AND(LEN('Aides'!A386)&gt;0,ISNUMBER('Aides'!I386)),'Aides'!I386+383/100000,"")</f>
        <v/>
      </c>
      <c r="B386">
        <f>IF(AND(LEN('Aides'!A386)&gt;0,ISNUMBER('Aides'!I386)),MAX($B$3:B385)+1,"")</f>
        <v/>
      </c>
      <c r="E386">
        <f>IFERROR(MATCH(383,$B$4:$B$503,0),"")</f>
        <v/>
      </c>
    </row>
    <row r="387">
      <c r="A387">
        <f>IF(AND(LEN('Aides'!A387)&gt;0,ISNUMBER('Aides'!I387)),'Aides'!I387+384/100000,"")</f>
        <v/>
      </c>
      <c r="B387">
        <f>IF(AND(LEN('Aides'!A387)&gt;0,ISNUMBER('Aides'!I387)),MAX($B$3:B386)+1,"")</f>
        <v/>
      </c>
      <c r="E387">
        <f>IFERROR(MATCH(384,$B$4:$B$503,0),"")</f>
        <v/>
      </c>
    </row>
    <row r="388">
      <c r="A388">
        <f>IF(AND(LEN('Aides'!A388)&gt;0,ISNUMBER('Aides'!I388)),'Aides'!I388+385/100000,"")</f>
        <v/>
      </c>
      <c r="B388">
        <f>IF(AND(LEN('Aides'!A388)&gt;0,ISNUMBER('Aides'!I388)),MAX($B$3:B387)+1,"")</f>
        <v/>
      </c>
      <c r="E388">
        <f>IFERROR(MATCH(385,$B$4:$B$503,0),"")</f>
        <v/>
      </c>
    </row>
    <row r="389">
      <c r="A389">
        <f>IF(AND(LEN('Aides'!A389)&gt;0,ISNUMBER('Aides'!I389)),'Aides'!I389+386/100000,"")</f>
        <v/>
      </c>
      <c r="B389">
        <f>IF(AND(LEN('Aides'!A389)&gt;0,ISNUMBER('Aides'!I389)),MAX($B$3:B388)+1,"")</f>
        <v/>
      </c>
      <c r="E389">
        <f>IFERROR(MATCH(386,$B$4:$B$503,0),"")</f>
        <v/>
      </c>
    </row>
    <row r="390">
      <c r="A390">
        <f>IF(AND(LEN('Aides'!A390)&gt;0,ISNUMBER('Aides'!I390)),'Aides'!I390+387/100000,"")</f>
        <v/>
      </c>
      <c r="B390">
        <f>IF(AND(LEN('Aides'!A390)&gt;0,ISNUMBER('Aides'!I390)),MAX($B$3:B389)+1,"")</f>
        <v/>
      </c>
      <c r="E390">
        <f>IFERROR(MATCH(387,$B$4:$B$503,0),"")</f>
        <v/>
      </c>
    </row>
    <row r="391">
      <c r="A391">
        <f>IF(AND(LEN('Aides'!A391)&gt;0,ISNUMBER('Aides'!I391)),'Aides'!I391+388/100000,"")</f>
        <v/>
      </c>
      <c r="B391">
        <f>IF(AND(LEN('Aides'!A391)&gt;0,ISNUMBER('Aides'!I391)),MAX($B$3:B390)+1,"")</f>
        <v/>
      </c>
      <c r="E391">
        <f>IFERROR(MATCH(388,$B$4:$B$503,0),"")</f>
        <v/>
      </c>
    </row>
    <row r="392">
      <c r="A392">
        <f>IF(AND(LEN('Aides'!A392)&gt;0,ISNUMBER('Aides'!I392)),'Aides'!I392+389/100000,"")</f>
        <v/>
      </c>
      <c r="B392">
        <f>IF(AND(LEN('Aides'!A392)&gt;0,ISNUMBER('Aides'!I392)),MAX($B$3:B391)+1,"")</f>
        <v/>
      </c>
      <c r="E392">
        <f>IFERROR(MATCH(389,$B$4:$B$503,0),"")</f>
        <v/>
      </c>
    </row>
    <row r="393">
      <c r="A393">
        <f>IF(AND(LEN('Aides'!A393)&gt;0,ISNUMBER('Aides'!I393)),'Aides'!I393+390/100000,"")</f>
        <v/>
      </c>
      <c r="B393">
        <f>IF(AND(LEN('Aides'!A393)&gt;0,ISNUMBER('Aides'!I393)),MAX($B$3:B392)+1,"")</f>
        <v/>
      </c>
      <c r="E393">
        <f>IFERROR(MATCH(390,$B$4:$B$503,0),"")</f>
        <v/>
      </c>
    </row>
    <row r="394">
      <c r="A394">
        <f>IF(AND(LEN('Aides'!A394)&gt;0,ISNUMBER('Aides'!I394)),'Aides'!I394+391/100000,"")</f>
        <v/>
      </c>
      <c r="B394">
        <f>IF(AND(LEN('Aides'!A394)&gt;0,ISNUMBER('Aides'!I394)),MAX($B$3:B393)+1,"")</f>
        <v/>
      </c>
      <c r="E394">
        <f>IFERROR(MATCH(391,$B$4:$B$503,0),"")</f>
        <v/>
      </c>
    </row>
    <row r="395">
      <c r="A395">
        <f>IF(AND(LEN('Aides'!A395)&gt;0,ISNUMBER('Aides'!I395)),'Aides'!I395+392/100000,"")</f>
        <v/>
      </c>
      <c r="B395">
        <f>IF(AND(LEN('Aides'!A395)&gt;0,ISNUMBER('Aides'!I395)),MAX($B$3:B394)+1,"")</f>
        <v/>
      </c>
      <c r="E395">
        <f>IFERROR(MATCH(392,$B$4:$B$503,0),"")</f>
        <v/>
      </c>
    </row>
    <row r="396">
      <c r="A396">
        <f>IF(AND(LEN('Aides'!A396)&gt;0,ISNUMBER('Aides'!I396)),'Aides'!I396+393/100000,"")</f>
        <v/>
      </c>
      <c r="B396">
        <f>IF(AND(LEN('Aides'!A396)&gt;0,ISNUMBER('Aides'!I396)),MAX($B$3:B395)+1,"")</f>
        <v/>
      </c>
      <c r="E396">
        <f>IFERROR(MATCH(393,$B$4:$B$503,0),"")</f>
        <v/>
      </c>
    </row>
    <row r="397">
      <c r="A397">
        <f>IF(AND(LEN('Aides'!A397)&gt;0,ISNUMBER('Aides'!I397)),'Aides'!I397+394/100000,"")</f>
        <v/>
      </c>
      <c r="B397">
        <f>IF(AND(LEN('Aides'!A397)&gt;0,ISNUMBER('Aides'!I397)),MAX($B$3:B396)+1,"")</f>
        <v/>
      </c>
      <c r="E397">
        <f>IFERROR(MATCH(394,$B$4:$B$503,0),"")</f>
        <v/>
      </c>
    </row>
    <row r="398">
      <c r="A398">
        <f>IF(AND(LEN('Aides'!A398)&gt;0,ISNUMBER('Aides'!I398)),'Aides'!I398+395/100000,"")</f>
        <v/>
      </c>
      <c r="B398">
        <f>IF(AND(LEN('Aides'!A398)&gt;0,ISNUMBER('Aides'!I398)),MAX($B$3:B397)+1,"")</f>
        <v/>
      </c>
      <c r="E398">
        <f>IFERROR(MATCH(395,$B$4:$B$503,0),"")</f>
        <v/>
      </c>
    </row>
    <row r="399">
      <c r="A399">
        <f>IF(AND(LEN('Aides'!A399)&gt;0,ISNUMBER('Aides'!I399)),'Aides'!I399+396/100000,"")</f>
        <v/>
      </c>
      <c r="B399">
        <f>IF(AND(LEN('Aides'!A399)&gt;0,ISNUMBER('Aides'!I399)),MAX($B$3:B398)+1,"")</f>
        <v/>
      </c>
      <c r="E399">
        <f>IFERROR(MATCH(396,$B$4:$B$503,0),"")</f>
        <v/>
      </c>
    </row>
    <row r="400">
      <c r="A400">
        <f>IF(AND(LEN('Aides'!A400)&gt;0,ISNUMBER('Aides'!I400)),'Aides'!I400+397/100000,"")</f>
        <v/>
      </c>
      <c r="B400">
        <f>IF(AND(LEN('Aides'!A400)&gt;0,ISNUMBER('Aides'!I400)),MAX($B$3:B399)+1,"")</f>
        <v/>
      </c>
      <c r="E400">
        <f>IFERROR(MATCH(397,$B$4:$B$503,0),"")</f>
        <v/>
      </c>
    </row>
    <row r="401">
      <c r="A401">
        <f>IF(AND(LEN('Aides'!A401)&gt;0,ISNUMBER('Aides'!I401)),'Aides'!I401+398/100000,"")</f>
        <v/>
      </c>
      <c r="B401">
        <f>IF(AND(LEN('Aides'!A401)&gt;0,ISNUMBER('Aides'!I401)),MAX($B$3:B400)+1,"")</f>
        <v/>
      </c>
      <c r="E401">
        <f>IFERROR(MATCH(398,$B$4:$B$503,0),"")</f>
        <v/>
      </c>
    </row>
    <row r="402">
      <c r="A402">
        <f>IF(AND(LEN('Aides'!A402)&gt;0,ISNUMBER('Aides'!I402)),'Aides'!I402+399/100000,"")</f>
        <v/>
      </c>
      <c r="B402">
        <f>IF(AND(LEN('Aides'!A402)&gt;0,ISNUMBER('Aides'!I402)),MAX($B$3:B401)+1,"")</f>
        <v/>
      </c>
      <c r="E402">
        <f>IFERROR(MATCH(399,$B$4:$B$503,0),"")</f>
        <v/>
      </c>
    </row>
    <row r="403">
      <c r="A403">
        <f>IF(AND(LEN('Aides'!A403)&gt;0,ISNUMBER('Aides'!I403)),'Aides'!I403+400/100000,"")</f>
        <v/>
      </c>
      <c r="B403">
        <f>IF(AND(LEN('Aides'!A403)&gt;0,ISNUMBER('Aides'!I403)),MAX($B$3:B402)+1,"")</f>
        <v/>
      </c>
      <c r="E403">
        <f>IFERROR(MATCH(400,$B$4:$B$503,0),"")</f>
        <v/>
      </c>
    </row>
    <row r="404">
      <c r="A404">
        <f>IF(AND(LEN('Aides'!A404)&gt;0,ISNUMBER('Aides'!I404)),'Aides'!I404+401/100000,"")</f>
        <v/>
      </c>
      <c r="B404">
        <f>IF(AND(LEN('Aides'!A404)&gt;0,ISNUMBER('Aides'!I404)),MAX($B$3:B403)+1,"")</f>
        <v/>
      </c>
      <c r="E404">
        <f>IFERROR(MATCH(401,$B$4:$B$503,0),"")</f>
        <v/>
      </c>
    </row>
    <row r="405">
      <c r="A405">
        <f>IF(AND(LEN('Aides'!A405)&gt;0,ISNUMBER('Aides'!I405)),'Aides'!I405+402/100000,"")</f>
        <v/>
      </c>
      <c r="B405">
        <f>IF(AND(LEN('Aides'!A405)&gt;0,ISNUMBER('Aides'!I405)),MAX($B$3:B404)+1,"")</f>
        <v/>
      </c>
      <c r="E405">
        <f>IFERROR(MATCH(402,$B$4:$B$503,0),"")</f>
        <v/>
      </c>
    </row>
    <row r="406">
      <c r="A406">
        <f>IF(AND(LEN('Aides'!A406)&gt;0,ISNUMBER('Aides'!I406)),'Aides'!I406+403/100000,"")</f>
        <v/>
      </c>
      <c r="B406">
        <f>IF(AND(LEN('Aides'!A406)&gt;0,ISNUMBER('Aides'!I406)),MAX($B$3:B405)+1,"")</f>
        <v/>
      </c>
      <c r="E406">
        <f>IFERROR(MATCH(403,$B$4:$B$503,0),"")</f>
        <v/>
      </c>
    </row>
    <row r="407">
      <c r="A407">
        <f>IF(AND(LEN('Aides'!A407)&gt;0,ISNUMBER('Aides'!I407)),'Aides'!I407+404/100000,"")</f>
        <v/>
      </c>
      <c r="B407">
        <f>IF(AND(LEN('Aides'!A407)&gt;0,ISNUMBER('Aides'!I407)),MAX($B$3:B406)+1,"")</f>
        <v/>
      </c>
      <c r="E407">
        <f>IFERROR(MATCH(404,$B$4:$B$503,0),"")</f>
        <v/>
      </c>
    </row>
    <row r="408">
      <c r="A408">
        <f>IF(AND(LEN('Aides'!A408)&gt;0,ISNUMBER('Aides'!I408)),'Aides'!I408+405/100000,"")</f>
        <v/>
      </c>
      <c r="B408">
        <f>IF(AND(LEN('Aides'!A408)&gt;0,ISNUMBER('Aides'!I408)),MAX($B$3:B407)+1,"")</f>
        <v/>
      </c>
      <c r="E408">
        <f>IFERROR(MATCH(405,$B$4:$B$503,0),"")</f>
        <v/>
      </c>
    </row>
    <row r="409">
      <c r="A409">
        <f>IF(AND(LEN('Aides'!A409)&gt;0,ISNUMBER('Aides'!I409)),'Aides'!I409+406/100000,"")</f>
        <v/>
      </c>
      <c r="B409">
        <f>IF(AND(LEN('Aides'!A409)&gt;0,ISNUMBER('Aides'!I409)),MAX($B$3:B408)+1,"")</f>
        <v/>
      </c>
      <c r="E409">
        <f>IFERROR(MATCH(406,$B$4:$B$503,0),"")</f>
        <v/>
      </c>
    </row>
    <row r="410">
      <c r="A410">
        <f>IF(AND(LEN('Aides'!A410)&gt;0,ISNUMBER('Aides'!I410)),'Aides'!I410+407/100000,"")</f>
        <v/>
      </c>
      <c r="B410">
        <f>IF(AND(LEN('Aides'!A410)&gt;0,ISNUMBER('Aides'!I410)),MAX($B$3:B409)+1,"")</f>
        <v/>
      </c>
      <c r="E410">
        <f>IFERROR(MATCH(407,$B$4:$B$503,0),"")</f>
        <v/>
      </c>
    </row>
    <row r="411">
      <c r="A411">
        <f>IF(AND(LEN('Aides'!A411)&gt;0,ISNUMBER('Aides'!I411)),'Aides'!I411+408/100000,"")</f>
        <v/>
      </c>
      <c r="B411">
        <f>IF(AND(LEN('Aides'!A411)&gt;0,ISNUMBER('Aides'!I411)),MAX($B$3:B410)+1,"")</f>
        <v/>
      </c>
      <c r="E411">
        <f>IFERROR(MATCH(408,$B$4:$B$503,0),"")</f>
        <v/>
      </c>
    </row>
    <row r="412">
      <c r="A412">
        <f>IF(AND(LEN('Aides'!A412)&gt;0,ISNUMBER('Aides'!I412)),'Aides'!I412+409/100000,"")</f>
        <v/>
      </c>
      <c r="B412">
        <f>IF(AND(LEN('Aides'!A412)&gt;0,ISNUMBER('Aides'!I412)),MAX($B$3:B411)+1,"")</f>
        <v/>
      </c>
      <c r="E412">
        <f>IFERROR(MATCH(409,$B$4:$B$503,0),"")</f>
        <v/>
      </c>
    </row>
    <row r="413">
      <c r="A413">
        <f>IF(AND(LEN('Aides'!A413)&gt;0,ISNUMBER('Aides'!I413)),'Aides'!I413+410/100000,"")</f>
        <v/>
      </c>
      <c r="B413">
        <f>IF(AND(LEN('Aides'!A413)&gt;0,ISNUMBER('Aides'!I413)),MAX($B$3:B412)+1,"")</f>
        <v/>
      </c>
      <c r="E413">
        <f>IFERROR(MATCH(410,$B$4:$B$503,0),"")</f>
        <v/>
      </c>
    </row>
    <row r="414">
      <c r="A414">
        <f>IF(AND(LEN('Aides'!A414)&gt;0,ISNUMBER('Aides'!I414)),'Aides'!I414+411/100000,"")</f>
        <v/>
      </c>
      <c r="B414">
        <f>IF(AND(LEN('Aides'!A414)&gt;0,ISNUMBER('Aides'!I414)),MAX($B$3:B413)+1,"")</f>
        <v/>
      </c>
      <c r="E414">
        <f>IFERROR(MATCH(411,$B$4:$B$503,0),"")</f>
        <v/>
      </c>
    </row>
    <row r="415">
      <c r="A415">
        <f>IF(AND(LEN('Aides'!A415)&gt;0,ISNUMBER('Aides'!I415)),'Aides'!I415+412/100000,"")</f>
        <v/>
      </c>
      <c r="B415">
        <f>IF(AND(LEN('Aides'!A415)&gt;0,ISNUMBER('Aides'!I415)),MAX($B$3:B414)+1,"")</f>
        <v/>
      </c>
      <c r="E415">
        <f>IFERROR(MATCH(412,$B$4:$B$503,0),"")</f>
        <v/>
      </c>
    </row>
    <row r="416">
      <c r="A416">
        <f>IF(AND(LEN('Aides'!A416)&gt;0,ISNUMBER('Aides'!I416)),'Aides'!I416+413/100000,"")</f>
        <v/>
      </c>
      <c r="B416">
        <f>IF(AND(LEN('Aides'!A416)&gt;0,ISNUMBER('Aides'!I416)),MAX($B$3:B415)+1,"")</f>
        <v/>
      </c>
      <c r="E416">
        <f>IFERROR(MATCH(413,$B$4:$B$503,0),"")</f>
        <v/>
      </c>
    </row>
    <row r="417">
      <c r="A417">
        <f>IF(AND(LEN('Aides'!A417)&gt;0,ISNUMBER('Aides'!I417)),'Aides'!I417+414/100000,"")</f>
        <v/>
      </c>
      <c r="B417">
        <f>IF(AND(LEN('Aides'!A417)&gt;0,ISNUMBER('Aides'!I417)),MAX($B$3:B416)+1,"")</f>
        <v/>
      </c>
      <c r="E417">
        <f>IFERROR(MATCH(414,$B$4:$B$503,0),"")</f>
        <v/>
      </c>
    </row>
    <row r="418">
      <c r="A418">
        <f>IF(AND(LEN('Aides'!A418)&gt;0,ISNUMBER('Aides'!I418)),'Aides'!I418+415/100000,"")</f>
        <v/>
      </c>
      <c r="B418">
        <f>IF(AND(LEN('Aides'!A418)&gt;0,ISNUMBER('Aides'!I418)),MAX($B$3:B417)+1,"")</f>
        <v/>
      </c>
      <c r="E418">
        <f>IFERROR(MATCH(415,$B$4:$B$503,0),"")</f>
        <v/>
      </c>
    </row>
    <row r="419">
      <c r="A419">
        <f>IF(AND(LEN('Aides'!A419)&gt;0,ISNUMBER('Aides'!I419)),'Aides'!I419+416/100000,"")</f>
        <v/>
      </c>
      <c r="B419">
        <f>IF(AND(LEN('Aides'!A419)&gt;0,ISNUMBER('Aides'!I419)),MAX($B$3:B418)+1,"")</f>
        <v/>
      </c>
      <c r="E419">
        <f>IFERROR(MATCH(416,$B$4:$B$503,0),"")</f>
        <v/>
      </c>
    </row>
    <row r="420">
      <c r="A420">
        <f>IF(AND(LEN('Aides'!A420)&gt;0,ISNUMBER('Aides'!I420)),'Aides'!I420+417/100000,"")</f>
        <v/>
      </c>
      <c r="B420">
        <f>IF(AND(LEN('Aides'!A420)&gt;0,ISNUMBER('Aides'!I420)),MAX($B$3:B419)+1,"")</f>
        <v/>
      </c>
      <c r="E420">
        <f>IFERROR(MATCH(417,$B$4:$B$503,0),"")</f>
        <v/>
      </c>
    </row>
    <row r="421">
      <c r="A421">
        <f>IF(AND(LEN('Aides'!A421)&gt;0,ISNUMBER('Aides'!I421)),'Aides'!I421+418/100000,"")</f>
        <v/>
      </c>
      <c r="B421">
        <f>IF(AND(LEN('Aides'!A421)&gt;0,ISNUMBER('Aides'!I421)),MAX($B$3:B420)+1,"")</f>
        <v/>
      </c>
      <c r="E421">
        <f>IFERROR(MATCH(418,$B$4:$B$503,0),"")</f>
        <v/>
      </c>
    </row>
    <row r="422">
      <c r="A422">
        <f>IF(AND(LEN('Aides'!A422)&gt;0,ISNUMBER('Aides'!I422)),'Aides'!I422+419/100000,"")</f>
        <v/>
      </c>
      <c r="B422">
        <f>IF(AND(LEN('Aides'!A422)&gt;0,ISNUMBER('Aides'!I422)),MAX($B$3:B421)+1,"")</f>
        <v/>
      </c>
      <c r="E422">
        <f>IFERROR(MATCH(419,$B$4:$B$503,0),"")</f>
        <v/>
      </c>
    </row>
    <row r="423">
      <c r="A423">
        <f>IF(AND(LEN('Aides'!A423)&gt;0,ISNUMBER('Aides'!I423)),'Aides'!I423+420/100000,"")</f>
        <v/>
      </c>
      <c r="B423">
        <f>IF(AND(LEN('Aides'!A423)&gt;0,ISNUMBER('Aides'!I423)),MAX($B$3:B422)+1,"")</f>
        <v/>
      </c>
      <c r="E423">
        <f>IFERROR(MATCH(420,$B$4:$B$503,0),"")</f>
        <v/>
      </c>
    </row>
    <row r="424">
      <c r="A424">
        <f>IF(AND(LEN('Aides'!A424)&gt;0,ISNUMBER('Aides'!I424)),'Aides'!I424+421/100000,"")</f>
        <v/>
      </c>
      <c r="B424">
        <f>IF(AND(LEN('Aides'!A424)&gt;0,ISNUMBER('Aides'!I424)),MAX($B$3:B423)+1,"")</f>
        <v/>
      </c>
      <c r="E424">
        <f>IFERROR(MATCH(421,$B$4:$B$503,0),"")</f>
        <v/>
      </c>
    </row>
    <row r="425">
      <c r="A425">
        <f>IF(AND(LEN('Aides'!A425)&gt;0,ISNUMBER('Aides'!I425)),'Aides'!I425+422/100000,"")</f>
        <v/>
      </c>
      <c r="B425">
        <f>IF(AND(LEN('Aides'!A425)&gt;0,ISNUMBER('Aides'!I425)),MAX($B$3:B424)+1,"")</f>
        <v/>
      </c>
      <c r="E425">
        <f>IFERROR(MATCH(422,$B$4:$B$503,0),"")</f>
        <v/>
      </c>
    </row>
    <row r="426">
      <c r="A426">
        <f>IF(AND(LEN('Aides'!A426)&gt;0,ISNUMBER('Aides'!I426)),'Aides'!I426+423/100000,"")</f>
        <v/>
      </c>
      <c r="B426">
        <f>IF(AND(LEN('Aides'!A426)&gt;0,ISNUMBER('Aides'!I426)),MAX($B$3:B425)+1,"")</f>
        <v/>
      </c>
      <c r="E426">
        <f>IFERROR(MATCH(423,$B$4:$B$503,0),"")</f>
        <v/>
      </c>
    </row>
    <row r="427">
      <c r="A427">
        <f>IF(AND(LEN('Aides'!A427)&gt;0,ISNUMBER('Aides'!I427)),'Aides'!I427+424/100000,"")</f>
        <v/>
      </c>
      <c r="B427">
        <f>IF(AND(LEN('Aides'!A427)&gt;0,ISNUMBER('Aides'!I427)),MAX($B$3:B426)+1,"")</f>
        <v/>
      </c>
      <c r="E427">
        <f>IFERROR(MATCH(424,$B$4:$B$503,0),"")</f>
        <v/>
      </c>
    </row>
    <row r="428">
      <c r="A428">
        <f>IF(AND(LEN('Aides'!A428)&gt;0,ISNUMBER('Aides'!I428)),'Aides'!I428+425/100000,"")</f>
        <v/>
      </c>
      <c r="B428">
        <f>IF(AND(LEN('Aides'!A428)&gt;0,ISNUMBER('Aides'!I428)),MAX($B$3:B427)+1,"")</f>
        <v/>
      </c>
      <c r="E428">
        <f>IFERROR(MATCH(425,$B$4:$B$503,0),"")</f>
        <v/>
      </c>
    </row>
    <row r="429">
      <c r="A429">
        <f>IF(AND(LEN('Aides'!A429)&gt;0,ISNUMBER('Aides'!I429)),'Aides'!I429+426/100000,"")</f>
        <v/>
      </c>
      <c r="B429">
        <f>IF(AND(LEN('Aides'!A429)&gt;0,ISNUMBER('Aides'!I429)),MAX($B$3:B428)+1,"")</f>
        <v/>
      </c>
      <c r="E429">
        <f>IFERROR(MATCH(426,$B$4:$B$503,0),"")</f>
        <v/>
      </c>
    </row>
    <row r="430">
      <c r="A430">
        <f>IF(AND(LEN('Aides'!A430)&gt;0,ISNUMBER('Aides'!I430)),'Aides'!I430+427/100000,"")</f>
        <v/>
      </c>
      <c r="B430">
        <f>IF(AND(LEN('Aides'!A430)&gt;0,ISNUMBER('Aides'!I430)),MAX($B$3:B429)+1,"")</f>
        <v/>
      </c>
      <c r="E430">
        <f>IFERROR(MATCH(427,$B$4:$B$503,0),"")</f>
        <v/>
      </c>
    </row>
    <row r="431">
      <c r="A431">
        <f>IF(AND(LEN('Aides'!A431)&gt;0,ISNUMBER('Aides'!I431)),'Aides'!I431+428/100000,"")</f>
        <v/>
      </c>
      <c r="B431">
        <f>IF(AND(LEN('Aides'!A431)&gt;0,ISNUMBER('Aides'!I431)),MAX($B$3:B430)+1,"")</f>
        <v/>
      </c>
      <c r="E431">
        <f>IFERROR(MATCH(428,$B$4:$B$503,0),"")</f>
        <v/>
      </c>
    </row>
    <row r="432">
      <c r="A432">
        <f>IF(AND(LEN('Aides'!A432)&gt;0,ISNUMBER('Aides'!I432)),'Aides'!I432+429/100000,"")</f>
        <v/>
      </c>
      <c r="B432">
        <f>IF(AND(LEN('Aides'!A432)&gt;0,ISNUMBER('Aides'!I432)),MAX($B$3:B431)+1,"")</f>
        <v/>
      </c>
      <c r="E432">
        <f>IFERROR(MATCH(429,$B$4:$B$503,0),"")</f>
        <v/>
      </c>
    </row>
    <row r="433">
      <c r="A433">
        <f>IF(AND(LEN('Aides'!A433)&gt;0,ISNUMBER('Aides'!I433)),'Aides'!I433+430/100000,"")</f>
        <v/>
      </c>
      <c r="B433">
        <f>IF(AND(LEN('Aides'!A433)&gt;0,ISNUMBER('Aides'!I433)),MAX($B$3:B432)+1,"")</f>
        <v/>
      </c>
      <c r="E433">
        <f>IFERROR(MATCH(430,$B$4:$B$503,0),"")</f>
        <v/>
      </c>
    </row>
    <row r="434">
      <c r="A434">
        <f>IF(AND(LEN('Aides'!A434)&gt;0,ISNUMBER('Aides'!I434)),'Aides'!I434+431/100000,"")</f>
        <v/>
      </c>
      <c r="B434">
        <f>IF(AND(LEN('Aides'!A434)&gt;0,ISNUMBER('Aides'!I434)),MAX($B$3:B433)+1,"")</f>
        <v/>
      </c>
      <c r="E434">
        <f>IFERROR(MATCH(431,$B$4:$B$503,0),"")</f>
        <v/>
      </c>
    </row>
    <row r="435">
      <c r="A435">
        <f>IF(AND(LEN('Aides'!A435)&gt;0,ISNUMBER('Aides'!I435)),'Aides'!I435+432/100000,"")</f>
        <v/>
      </c>
      <c r="B435">
        <f>IF(AND(LEN('Aides'!A435)&gt;0,ISNUMBER('Aides'!I435)),MAX($B$3:B434)+1,"")</f>
        <v/>
      </c>
      <c r="E435">
        <f>IFERROR(MATCH(432,$B$4:$B$503,0),"")</f>
        <v/>
      </c>
    </row>
    <row r="436">
      <c r="A436">
        <f>IF(AND(LEN('Aides'!A436)&gt;0,ISNUMBER('Aides'!I436)),'Aides'!I436+433/100000,"")</f>
        <v/>
      </c>
      <c r="B436">
        <f>IF(AND(LEN('Aides'!A436)&gt;0,ISNUMBER('Aides'!I436)),MAX($B$3:B435)+1,"")</f>
        <v/>
      </c>
      <c r="E436">
        <f>IFERROR(MATCH(433,$B$4:$B$503,0),"")</f>
        <v/>
      </c>
    </row>
    <row r="437">
      <c r="A437">
        <f>IF(AND(LEN('Aides'!A437)&gt;0,ISNUMBER('Aides'!I437)),'Aides'!I437+434/100000,"")</f>
        <v/>
      </c>
      <c r="B437">
        <f>IF(AND(LEN('Aides'!A437)&gt;0,ISNUMBER('Aides'!I437)),MAX($B$3:B436)+1,"")</f>
        <v/>
      </c>
      <c r="E437">
        <f>IFERROR(MATCH(434,$B$4:$B$503,0),"")</f>
        <v/>
      </c>
    </row>
    <row r="438">
      <c r="A438">
        <f>IF(AND(LEN('Aides'!A438)&gt;0,ISNUMBER('Aides'!I438)),'Aides'!I438+435/100000,"")</f>
        <v/>
      </c>
      <c r="B438">
        <f>IF(AND(LEN('Aides'!A438)&gt;0,ISNUMBER('Aides'!I438)),MAX($B$3:B437)+1,"")</f>
        <v/>
      </c>
      <c r="E438">
        <f>IFERROR(MATCH(435,$B$4:$B$503,0),"")</f>
        <v/>
      </c>
    </row>
    <row r="439">
      <c r="A439">
        <f>IF(AND(LEN('Aides'!A439)&gt;0,ISNUMBER('Aides'!I439)),'Aides'!I439+436/100000,"")</f>
        <v/>
      </c>
      <c r="B439">
        <f>IF(AND(LEN('Aides'!A439)&gt;0,ISNUMBER('Aides'!I439)),MAX($B$3:B438)+1,"")</f>
        <v/>
      </c>
      <c r="E439">
        <f>IFERROR(MATCH(436,$B$4:$B$503,0),"")</f>
        <v/>
      </c>
    </row>
    <row r="440">
      <c r="A440">
        <f>IF(AND(LEN('Aides'!A440)&gt;0,ISNUMBER('Aides'!I440)),'Aides'!I440+437/100000,"")</f>
        <v/>
      </c>
      <c r="B440">
        <f>IF(AND(LEN('Aides'!A440)&gt;0,ISNUMBER('Aides'!I440)),MAX($B$3:B439)+1,"")</f>
        <v/>
      </c>
      <c r="E440">
        <f>IFERROR(MATCH(437,$B$4:$B$503,0),"")</f>
        <v/>
      </c>
    </row>
    <row r="441">
      <c r="A441">
        <f>IF(AND(LEN('Aides'!A441)&gt;0,ISNUMBER('Aides'!I441)),'Aides'!I441+438/100000,"")</f>
        <v/>
      </c>
      <c r="B441">
        <f>IF(AND(LEN('Aides'!A441)&gt;0,ISNUMBER('Aides'!I441)),MAX($B$3:B440)+1,"")</f>
        <v/>
      </c>
      <c r="E441">
        <f>IFERROR(MATCH(438,$B$4:$B$503,0),"")</f>
        <v/>
      </c>
    </row>
    <row r="442">
      <c r="A442">
        <f>IF(AND(LEN('Aides'!A442)&gt;0,ISNUMBER('Aides'!I442)),'Aides'!I442+439/100000,"")</f>
        <v/>
      </c>
      <c r="B442">
        <f>IF(AND(LEN('Aides'!A442)&gt;0,ISNUMBER('Aides'!I442)),MAX($B$3:B441)+1,"")</f>
        <v/>
      </c>
      <c r="E442">
        <f>IFERROR(MATCH(439,$B$4:$B$503,0),"")</f>
        <v/>
      </c>
    </row>
    <row r="443">
      <c r="A443">
        <f>IF(AND(LEN('Aides'!A443)&gt;0,ISNUMBER('Aides'!I443)),'Aides'!I443+440/100000,"")</f>
        <v/>
      </c>
      <c r="B443">
        <f>IF(AND(LEN('Aides'!A443)&gt;0,ISNUMBER('Aides'!I443)),MAX($B$3:B442)+1,"")</f>
        <v/>
      </c>
      <c r="E443">
        <f>IFERROR(MATCH(440,$B$4:$B$503,0),"")</f>
        <v/>
      </c>
    </row>
    <row r="444">
      <c r="A444">
        <f>IF(AND(LEN('Aides'!A444)&gt;0,ISNUMBER('Aides'!I444)),'Aides'!I444+441/100000,"")</f>
        <v/>
      </c>
      <c r="B444">
        <f>IF(AND(LEN('Aides'!A444)&gt;0,ISNUMBER('Aides'!I444)),MAX($B$3:B443)+1,"")</f>
        <v/>
      </c>
      <c r="E444">
        <f>IFERROR(MATCH(441,$B$4:$B$503,0),"")</f>
        <v/>
      </c>
    </row>
    <row r="445">
      <c r="A445">
        <f>IF(AND(LEN('Aides'!A445)&gt;0,ISNUMBER('Aides'!I445)),'Aides'!I445+442/100000,"")</f>
        <v/>
      </c>
      <c r="B445">
        <f>IF(AND(LEN('Aides'!A445)&gt;0,ISNUMBER('Aides'!I445)),MAX($B$3:B444)+1,"")</f>
        <v/>
      </c>
      <c r="E445">
        <f>IFERROR(MATCH(442,$B$4:$B$503,0),"")</f>
        <v/>
      </c>
    </row>
    <row r="446">
      <c r="A446">
        <f>IF(AND(LEN('Aides'!A446)&gt;0,ISNUMBER('Aides'!I446)),'Aides'!I446+443/100000,"")</f>
        <v/>
      </c>
      <c r="B446">
        <f>IF(AND(LEN('Aides'!A446)&gt;0,ISNUMBER('Aides'!I446)),MAX($B$3:B445)+1,"")</f>
        <v/>
      </c>
      <c r="E446">
        <f>IFERROR(MATCH(443,$B$4:$B$503,0),"")</f>
        <v/>
      </c>
    </row>
    <row r="447">
      <c r="A447">
        <f>IF(AND(LEN('Aides'!A447)&gt;0,ISNUMBER('Aides'!I447)),'Aides'!I447+444/100000,"")</f>
        <v/>
      </c>
      <c r="B447">
        <f>IF(AND(LEN('Aides'!A447)&gt;0,ISNUMBER('Aides'!I447)),MAX($B$3:B446)+1,"")</f>
        <v/>
      </c>
      <c r="E447">
        <f>IFERROR(MATCH(444,$B$4:$B$503,0),"")</f>
        <v/>
      </c>
    </row>
    <row r="448">
      <c r="A448">
        <f>IF(AND(LEN('Aides'!A448)&gt;0,ISNUMBER('Aides'!I448)),'Aides'!I448+445/100000,"")</f>
        <v/>
      </c>
      <c r="B448">
        <f>IF(AND(LEN('Aides'!A448)&gt;0,ISNUMBER('Aides'!I448)),MAX($B$3:B447)+1,"")</f>
        <v/>
      </c>
      <c r="E448">
        <f>IFERROR(MATCH(445,$B$4:$B$503,0),"")</f>
        <v/>
      </c>
    </row>
    <row r="449">
      <c r="A449">
        <f>IF(AND(LEN('Aides'!A449)&gt;0,ISNUMBER('Aides'!I449)),'Aides'!I449+446/100000,"")</f>
        <v/>
      </c>
      <c r="B449">
        <f>IF(AND(LEN('Aides'!A449)&gt;0,ISNUMBER('Aides'!I449)),MAX($B$3:B448)+1,"")</f>
        <v/>
      </c>
      <c r="E449">
        <f>IFERROR(MATCH(446,$B$4:$B$503,0),"")</f>
        <v/>
      </c>
    </row>
    <row r="450">
      <c r="A450">
        <f>IF(AND(LEN('Aides'!A450)&gt;0,ISNUMBER('Aides'!I450)),'Aides'!I450+447/100000,"")</f>
        <v/>
      </c>
      <c r="B450">
        <f>IF(AND(LEN('Aides'!A450)&gt;0,ISNUMBER('Aides'!I450)),MAX($B$3:B449)+1,"")</f>
        <v/>
      </c>
      <c r="E450">
        <f>IFERROR(MATCH(447,$B$4:$B$503,0),"")</f>
        <v/>
      </c>
    </row>
    <row r="451">
      <c r="A451">
        <f>IF(AND(LEN('Aides'!A451)&gt;0,ISNUMBER('Aides'!I451)),'Aides'!I451+448/100000,"")</f>
        <v/>
      </c>
      <c r="B451">
        <f>IF(AND(LEN('Aides'!A451)&gt;0,ISNUMBER('Aides'!I451)),MAX($B$3:B450)+1,"")</f>
        <v/>
      </c>
      <c r="E451">
        <f>IFERROR(MATCH(448,$B$4:$B$503,0),"")</f>
        <v/>
      </c>
    </row>
    <row r="452">
      <c r="A452">
        <f>IF(AND(LEN('Aides'!A452)&gt;0,ISNUMBER('Aides'!I452)),'Aides'!I452+449/100000,"")</f>
        <v/>
      </c>
      <c r="B452">
        <f>IF(AND(LEN('Aides'!A452)&gt;0,ISNUMBER('Aides'!I452)),MAX($B$3:B451)+1,"")</f>
        <v/>
      </c>
      <c r="E452">
        <f>IFERROR(MATCH(449,$B$4:$B$503,0),"")</f>
        <v/>
      </c>
    </row>
    <row r="453">
      <c r="A453">
        <f>IF(AND(LEN('Aides'!A453)&gt;0,ISNUMBER('Aides'!I453)),'Aides'!I453+450/100000,"")</f>
        <v/>
      </c>
      <c r="B453">
        <f>IF(AND(LEN('Aides'!A453)&gt;0,ISNUMBER('Aides'!I453)),MAX($B$3:B452)+1,"")</f>
        <v/>
      </c>
      <c r="E453">
        <f>IFERROR(MATCH(450,$B$4:$B$503,0),"")</f>
        <v/>
      </c>
    </row>
    <row r="454">
      <c r="A454">
        <f>IF(AND(LEN('Aides'!A454)&gt;0,ISNUMBER('Aides'!I454)),'Aides'!I454+451/100000,"")</f>
        <v/>
      </c>
      <c r="B454">
        <f>IF(AND(LEN('Aides'!A454)&gt;0,ISNUMBER('Aides'!I454)),MAX($B$3:B453)+1,"")</f>
        <v/>
      </c>
      <c r="E454">
        <f>IFERROR(MATCH(451,$B$4:$B$503,0),"")</f>
        <v/>
      </c>
    </row>
    <row r="455">
      <c r="A455">
        <f>IF(AND(LEN('Aides'!A455)&gt;0,ISNUMBER('Aides'!I455)),'Aides'!I455+452/100000,"")</f>
        <v/>
      </c>
      <c r="B455">
        <f>IF(AND(LEN('Aides'!A455)&gt;0,ISNUMBER('Aides'!I455)),MAX($B$3:B454)+1,"")</f>
        <v/>
      </c>
      <c r="E455">
        <f>IFERROR(MATCH(452,$B$4:$B$503,0),"")</f>
        <v/>
      </c>
    </row>
    <row r="456">
      <c r="A456">
        <f>IF(AND(LEN('Aides'!A456)&gt;0,ISNUMBER('Aides'!I456)),'Aides'!I456+453/100000,"")</f>
        <v/>
      </c>
      <c r="B456">
        <f>IF(AND(LEN('Aides'!A456)&gt;0,ISNUMBER('Aides'!I456)),MAX($B$3:B455)+1,"")</f>
        <v/>
      </c>
      <c r="E456">
        <f>IFERROR(MATCH(453,$B$4:$B$503,0),"")</f>
        <v/>
      </c>
    </row>
    <row r="457">
      <c r="A457">
        <f>IF(AND(LEN('Aides'!A457)&gt;0,ISNUMBER('Aides'!I457)),'Aides'!I457+454/100000,"")</f>
        <v/>
      </c>
      <c r="B457">
        <f>IF(AND(LEN('Aides'!A457)&gt;0,ISNUMBER('Aides'!I457)),MAX($B$3:B456)+1,"")</f>
        <v/>
      </c>
      <c r="E457">
        <f>IFERROR(MATCH(454,$B$4:$B$503,0),"")</f>
        <v/>
      </c>
    </row>
    <row r="458">
      <c r="A458">
        <f>IF(AND(LEN('Aides'!A458)&gt;0,ISNUMBER('Aides'!I458)),'Aides'!I458+455/100000,"")</f>
        <v/>
      </c>
      <c r="B458">
        <f>IF(AND(LEN('Aides'!A458)&gt;0,ISNUMBER('Aides'!I458)),MAX($B$3:B457)+1,"")</f>
        <v/>
      </c>
      <c r="E458">
        <f>IFERROR(MATCH(455,$B$4:$B$503,0),"")</f>
        <v/>
      </c>
    </row>
    <row r="459">
      <c r="A459">
        <f>IF(AND(LEN('Aides'!A459)&gt;0,ISNUMBER('Aides'!I459)),'Aides'!I459+456/100000,"")</f>
        <v/>
      </c>
      <c r="B459">
        <f>IF(AND(LEN('Aides'!A459)&gt;0,ISNUMBER('Aides'!I459)),MAX($B$3:B458)+1,"")</f>
        <v/>
      </c>
      <c r="E459">
        <f>IFERROR(MATCH(456,$B$4:$B$503,0),"")</f>
        <v/>
      </c>
    </row>
    <row r="460">
      <c r="A460">
        <f>IF(AND(LEN('Aides'!A460)&gt;0,ISNUMBER('Aides'!I460)),'Aides'!I460+457/100000,"")</f>
        <v/>
      </c>
      <c r="B460">
        <f>IF(AND(LEN('Aides'!A460)&gt;0,ISNUMBER('Aides'!I460)),MAX($B$3:B459)+1,"")</f>
        <v/>
      </c>
      <c r="E460">
        <f>IFERROR(MATCH(457,$B$4:$B$503,0),"")</f>
        <v/>
      </c>
    </row>
    <row r="461">
      <c r="A461">
        <f>IF(AND(LEN('Aides'!A461)&gt;0,ISNUMBER('Aides'!I461)),'Aides'!I461+458/100000,"")</f>
        <v/>
      </c>
      <c r="B461">
        <f>IF(AND(LEN('Aides'!A461)&gt;0,ISNUMBER('Aides'!I461)),MAX($B$3:B460)+1,"")</f>
        <v/>
      </c>
      <c r="E461">
        <f>IFERROR(MATCH(458,$B$4:$B$503,0),"")</f>
        <v/>
      </c>
    </row>
    <row r="462">
      <c r="A462">
        <f>IF(AND(LEN('Aides'!A462)&gt;0,ISNUMBER('Aides'!I462)),'Aides'!I462+459/100000,"")</f>
        <v/>
      </c>
      <c r="B462">
        <f>IF(AND(LEN('Aides'!A462)&gt;0,ISNUMBER('Aides'!I462)),MAX($B$3:B461)+1,"")</f>
        <v/>
      </c>
      <c r="E462">
        <f>IFERROR(MATCH(459,$B$4:$B$503,0),"")</f>
        <v/>
      </c>
    </row>
    <row r="463">
      <c r="A463">
        <f>IF(AND(LEN('Aides'!A463)&gt;0,ISNUMBER('Aides'!I463)),'Aides'!I463+460/100000,"")</f>
        <v/>
      </c>
      <c r="B463">
        <f>IF(AND(LEN('Aides'!A463)&gt;0,ISNUMBER('Aides'!I463)),MAX($B$3:B462)+1,"")</f>
        <v/>
      </c>
      <c r="E463">
        <f>IFERROR(MATCH(460,$B$4:$B$503,0),"")</f>
        <v/>
      </c>
    </row>
    <row r="464">
      <c r="A464">
        <f>IF(AND(LEN('Aides'!A464)&gt;0,ISNUMBER('Aides'!I464)),'Aides'!I464+461/100000,"")</f>
        <v/>
      </c>
      <c r="B464">
        <f>IF(AND(LEN('Aides'!A464)&gt;0,ISNUMBER('Aides'!I464)),MAX($B$3:B463)+1,"")</f>
        <v/>
      </c>
      <c r="E464">
        <f>IFERROR(MATCH(461,$B$4:$B$503,0),"")</f>
        <v/>
      </c>
    </row>
    <row r="465">
      <c r="A465">
        <f>IF(AND(LEN('Aides'!A465)&gt;0,ISNUMBER('Aides'!I465)),'Aides'!I465+462/100000,"")</f>
        <v/>
      </c>
      <c r="B465">
        <f>IF(AND(LEN('Aides'!A465)&gt;0,ISNUMBER('Aides'!I465)),MAX($B$3:B464)+1,"")</f>
        <v/>
      </c>
      <c r="E465">
        <f>IFERROR(MATCH(462,$B$4:$B$503,0),"")</f>
        <v/>
      </c>
    </row>
    <row r="466">
      <c r="A466">
        <f>IF(AND(LEN('Aides'!A466)&gt;0,ISNUMBER('Aides'!I466)),'Aides'!I466+463/100000,"")</f>
        <v/>
      </c>
      <c r="B466">
        <f>IF(AND(LEN('Aides'!A466)&gt;0,ISNUMBER('Aides'!I466)),MAX($B$3:B465)+1,"")</f>
        <v/>
      </c>
      <c r="E466">
        <f>IFERROR(MATCH(463,$B$4:$B$503,0),"")</f>
        <v/>
      </c>
    </row>
    <row r="467">
      <c r="A467">
        <f>IF(AND(LEN('Aides'!A467)&gt;0,ISNUMBER('Aides'!I467)),'Aides'!I467+464/100000,"")</f>
        <v/>
      </c>
      <c r="B467">
        <f>IF(AND(LEN('Aides'!A467)&gt;0,ISNUMBER('Aides'!I467)),MAX($B$3:B466)+1,"")</f>
        <v/>
      </c>
      <c r="E467">
        <f>IFERROR(MATCH(464,$B$4:$B$503,0),"")</f>
        <v/>
      </c>
    </row>
    <row r="468">
      <c r="A468">
        <f>IF(AND(LEN('Aides'!A468)&gt;0,ISNUMBER('Aides'!I468)),'Aides'!I468+465/100000,"")</f>
        <v/>
      </c>
      <c r="B468">
        <f>IF(AND(LEN('Aides'!A468)&gt;0,ISNUMBER('Aides'!I468)),MAX($B$3:B467)+1,"")</f>
        <v/>
      </c>
      <c r="E468">
        <f>IFERROR(MATCH(465,$B$4:$B$503,0),"")</f>
        <v/>
      </c>
    </row>
    <row r="469">
      <c r="A469">
        <f>IF(AND(LEN('Aides'!A469)&gt;0,ISNUMBER('Aides'!I469)),'Aides'!I469+466/100000,"")</f>
        <v/>
      </c>
      <c r="B469">
        <f>IF(AND(LEN('Aides'!A469)&gt;0,ISNUMBER('Aides'!I469)),MAX($B$3:B468)+1,"")</f>
        <v/>
      </c>
      <c r="E469">
        <f>IFERROR(MATCH(466,$B$4:$B$503,0),"")</f>
        <v/>
      </c>
    </row>
    <row r="470">
      <c r="A470">
        <f>IF(AND(LEN('Aides'!A470)&gt;0,ISNUMBER('Aides'!I470)),'Aides'!I470+467/100000,"")</f>
        <v/>
      </c>
      <c r="B470">
        <f>IF(AND(LEN('Aides'!A470)&gt;0,ISNUMBER('Aides'!I470)),MAX($B$3:B469)+1,"")</f>
        <v/>
      </c>
      <c r="E470">
        <f>IFERROR(MATCH(467,$B$4:$B$503,0),"")</f>
        <v/>
      </c>
    </row>
    <row r="471">
      <c r="A471">
        <f>IF(AND(LEN('Aides'!A471)&gt;0,ISNUMBER('Aides'!I471)),'Aides'!I471+468/100000,"")</f>
        <v/>
      </c>
      <c r="B471">
        <f>IF(AND(LEN('Aides'!A471)&gt;0,ISNUMBER('Aides'!I471)),MAX($B$3:B470)+1,"")</f>
        <v/>
      </c>
      <c r="E471">
        <f>IFERROR(MATCH(468,$B$4:$B$503,0),"")</f>
        <v/>
      </c>
    </row>
    <row r="472">
      <c r="A472">
        <f>IF(AND(LEN('Aides'!A472)&gt;0,ISNUMBER('Aides'!I472)),'Aides'!I472+469/100000,"")</f>
        <v/>
      </c>
      <c r="B472">
        <f>IF(AND(LEN('Aides'!A472)&gt;0,ISNUMBER('Aides'!I472)),MAX($B$3:B471)+1,"")</f>
        <v/>
      </c>
      <c r="E472">
        <f>IFERROR(MATCH(469,$B$4:$B$503,0),"")</f>
        <v/>
      </c>
    </row>
    <row r="473">
      <c r="A473">
        <f>IF(AND(LEN('Aides'!A473)&gt;0,ISNUMBER('Aides'!I473)),'Aides'!I473+470/100000,"")</f>
        <v/>
      </c>
      <c r="B473">
        <f>IF(AND(LEN('Aides'!A473)&gt;0,ISNUMBER('Aides'!I473)),MAX($B$3:B472)+1,"")</f>
        <v/>
      </c>
      <c r="E473">
        <f>IFERROR(MATCH(470,$B$4:$B$503,0),"")</f>
        <v/>
      </c>
    </row>
    <row r="474">
      <c r="A474">
        <f>IF(AND(LEN('Aides'!A474)&gt;0,ISNUMBER('Aides'!I474)),'Aides'!I474+471/100000,"")</f>
        <v/>
      </c>
      <c r="B474">
        <f>IF(AND(LEN('Aides'!A474)&gt;0,ISNUMBER('Aides'!I474)),MAX($B$3:B473)+1,"")</f>
        <v/>
      </c>
      <c r="E474">
        <f>IFERROR(MATCH(471,$B$4:$B$503,0),"")</f>
        <v/>
      </c>
    </row>
    <row r="475">
      <c r="A475">
        <f>IF(AND(LEN('Aides'!A475)&gt;0,ISNUMBER('Aides'!I475)),'Aides'!I475+472/100000,"")</f>
        <v/>
      </c>
      <c r="B475">
        <f>IF(AND(LEN('Aides'!A475)&gt;0,ISNUMBER('Aides'!I475)),MAX($B$3:B474)+1,"")</f>
        <v/>
      </c>
      <c r="E475">
        <f>IFERROR(MATCH(472,$B$4:$B$503,0),"")</f>
        <v/>
      </c>
    </row>
    <row r="476">
      <c r="A476">
        <f>IF(AND(LEN('Aides'!A476)&gt;0,ISNUMBER('Aides'!I476)),'Aides'!I476+473/100000,"")</f>
        <v/>
      </c>
      <c r="B476">
        <f>IF(AND(LEN('Aides'!A476)&gt;0,ISNUMBER('Aides'!I476)),MAX($B$3:B475)+1,"")</f>
        <v/>
      </c>
      <c r="E476">
        <f>IFERROR(MATCH(473,$B$4:$B$503,0),"")</f>
        <v/>
      </c>
    </row>
    <row r="477">
      <c r="A477">
        <f>IF(AND(LEN('Aides'!A477)&gt;0,ISNUMBER('Aides'!I477)),'Aides'!I477+474/100000,"")</f>
        <v/>
      </c>
      <c r="B477">
        <f>IF(AND(LEN('Aides'!A477)&gt;0,ISNUMBER('Aides'!I477)),MAX($B$3:B476)+1,"")</f>
        <v/>
      </c>
      <c r="E477">
        <f>IFERROR(MATCH(474,$B$4:$B$503,0),"")</f>
        <v/>
      </c>
    </row>
    <row r="478">
      <c r="A478">
        <f>IF(AND(LEN('Aides'!A478)&gt;0,ISNUMBER('Aides'!I478)),'Aides'!I478+475/100000,"")</f>
        <v/>
      </c>
      <c r="B478">
        <f>IF(AND(LEN('Aides'!A478)&gt;0,ISNUMBER('Aides'!I478)),MAX($B$3:B477)+1,"")</f>
        <v/>
      </c>
      <c r="E478">
        <f>IFERROR(MATCH(475,$B$4:$B$503,0),"")</f>
        <v/>
      </c>
    </row>
    <row r="479">
      <c r="A479">
        <f>IF(AND(LEN('Aides'!A479)&gt;0,ISNUMBER('Aides'!I479)),'Aides'!I479+476/100000,"")</f>
        <v/>
      </c>
      <c r="B479">
        <f>IF(AND(LEN('Aides'!A479)&gt;0,ISNUMBER('Aides'!I479)),MAX($B$3:B478)+1,"")</f>
        <v/>
      </c>
      <c r="E479">
        <f>IFERROR(MATCH(476,$B$4:$B$503,0),"")</f>
        <v/>
      </c>
    </row>
    <row r="480">
      <c r="A480">
        <f>IF(AND(LEN('Aides'!A480)&gt;0,ISNUMBER('Aides'!I480)),'Aides'!I480+477/100000,"")</f>
        <v/>
      </c>
      <c r="B480">
        <f>IF(AND(LEN('Aides'!A480)&gt;0,ISNUMBER('Aides'!I480)),MAX($B$3:B479)+1,"")</f>
        <v/>
      </c>
      <c r="E480">
        <f>IFERROR(MATCH(477,$B$4:$B$503,0),"")</f>
        <v/>
      </c>
    </row>
    <row r="481">
      <c r="A481">
        <f>IF(AND(LEN('Aides'!A481)&gt;0,ISNUMBER('Aides'!I481)),'Aides'!I481+478/100000,"")</f>
        <v/>
      </c>
      <c r="B481">
        <f>IF(AND(LEN('Aides'!A481)&gt;0,ISNUMBER('Aides'!I481)),MAX($B$3:B480)+1,"")</f>
        <v/>
      </c>
      <c r="E481">
        <f>IFERROR(MATCH(478,$B$4:$B$503,0),"")</f>
        <v/>
      </c>
    </row>
    <row r="482">
      <c r="A482">
        <f>IF(AND(LEN('Aides'!A482)&gt;0,ISNUMBER('Aides'!I482)),'Aides'!I482+479/100000,"")</f>
        <v/>
      </c>
      <c r="B482">
        <f>IF(AND(LEN('Aides'!A482)&gt;0,ISNUMBER('Aides'!I482)),MAX($B$3:B481)+1,"")</f>
        <v/>
      </c>
      <c r="E482">
        <f>IFERROR(MATCH(479,$B$4:$B$503,0),"")</f>
        <v/>
      </c>
    </row>
    <row r="483">
      <c r="A483">
        <f>IF(AND(LEN('Aides'!A483)&gt;0,ISNUMBER('Aides'!I483)),'Aides'!I483+480/100000,"")</f>
        <v/>
      </c>
      <c r="B483">
        <f>IF(AND(LEN('Aides'!A483)&gt;0,ISNUMBER('Aides'!I483)),MAX($B$3:B482)+1,"")</f>
        <v/>
      </c>
      <c r="E483">
        <f>IFERROR(MATCH(480,$B$4:$B$503,0),"")</f>
        <v/>
      </c>
    </row>
    <row r="484">
      <c r="A484">
        <f>IF(AND(LEN('Aides'!A484)&gt;0,ISNUMBER('Aides'!I484)),'Aides'!I484+481/100000,"")</f>
        <v/>
      </c>
      <c r="B484">
        <f>IF(AND(LEN('Aides'!A484)&gt;0,ISNUMBER('Aides'!I484)),MAX($B$3:B483)+1,"")</f>
        <v/>
      </c>
      <c r="E484">
        <f>IFERROR(MATCH(481,$B$4:$B$503,0),"")</f>
        <v/>
      </c>
    </row>
    <row r="485">
      <c r="A485">
        <f>IF(AND(LEN('Aides'!A485)&gt;0,ISNUMBER('Aides'!I485)),'Aides'!I485+482/100000,"")</f>
        <v/>
      </c>
      <c r="B485">
        <f>IF(AND(LEN('Aides'!A485)&gt;0,ISNUMBER('Aides'!I485)),MAX($B$3:B484)+1,"")</f>
        <v/>
      </c>
      <c r="E485">
        <f>IFERROR(MATCH(482,$B$4:$B$503,0),"")</f>
        <v/>
      </c>
    </row>
    <row r="486">
      <c r="A486">
        <f>IF(AND(LEN('Aides'!A486)&gt;0,ISNUMBER('Aides'!I486)),'Aides'!I486+483/100000,"")</f>
        <v/>
      </c>
      <c r="B486">
        <f>IF(AND(LEN('Aides'!A486)&gt;0,ISNUMBER('Aides'!I486)),MAX($B$3:B485)+1,"")</f>
        <v/>
      </c>
      <c r="E486">
        <f>IFERROR(MATCH(483,$B$4:$B$503,0),"")</f>
        <v/>
      </c>
    </row>
    <row r="487">
      <c r="A487">
        <f>IF(AND(LEN('Aides'!A487)&gt;0,ISNUMBER('Aides'!I487)),'Aides'!I487+484/100000,"")</f>
        <v/>
      </c>
      <c r="B487">
        <f>IF(AND(LEN('Aides'!A487)&gt;0,ISNUMBER('Aides'!I487)),MAX($B$3:B486)+1,"")</f>
        <v/>
      </c>
      <c r="E487">
        <f>IFERROR(MATCH(484,$B$4:$B$503,0),"")</f>
        <v/>
      </c>
    </row>
    <row r="488">
      <c r="A488">
        <f>IF(AND(LEN('Aides'!A488)&gt;0,ISNUMBER('Aides'!I488)),'Aides'!I488+485/100000,"")</f>
        <v/>
      </c>
      <c r="B488">
        <f>IF(AND(LEN('Aides'!A488)&gt;0,ISNUMBER('Aides'!I488)),MAX($B$3:B487)+1,"")</f>
        <v/>
      </c>
      <c r="E488">
        <f>IFERROR(MATCH(485,$B$4:$B$503,0),"")</f>
        <v/>
      </c>
    </row>
    <row r="489">
      <c r="A489">
        <f>IF(AND(LEN('Aides'!A489)&gt;0,ISNUMBER('Aides'!I489)),'Aides'!I489+486/100000,"")</f>
        <v/>
      </c>
      <c r="B489">
        <f>IF(AND(LEN('Aides'!A489)&gt;0,ISNUMBER('Aides'!I489)),MAX($B$3:B488)+1,"")</f>
        <v/>
      </c>
      <c r="E489">
        <f>IFERROR(MATCH(486,$B$4:$B$503,0),"")</f>
        <v/>
      </c>
    </row>
    <row r="490">
      <c r="A490">
        <f>IF(AND(LEN('Aides'!A490)&gt;0,ISNUMBER('Aides'!I490)),'Aides'!I490+487/100000,"")</f>
        <v/>
      </c>
      <c r="B490">
        <f>IF(AND(LEN('Aides'!A490)&gt;0,ISNUMBER('Aides'!I490)),MAX($B$3:B489)+1,"")</f>
        <v/>
      </c>
      <c r="E490">
        <f>IFERROR(MATCH(487,$B$4:$B$503,0),"")</f>
        <v/>
      </c>
    </row>
    <row r="491">
      <c r="A491">
        <f>IF(AND(LEN('Aides'!A491)&gt;0,ISNUMBER('Aides'!I491)),'Aides'!I491+488/100000,"")</f>
        <v/>
      </c>
      <c r="B491">
        <f>IF(AND(LEN('Aides'!A491)&gt;0,ISNUMBER('Aides'!I491)),MAX($B$3:B490)+1,"")</f>
        <v/>
      </c>
      <c r="E491">
        <f>IFERROR(MATCH(488,$B$4:$B$503,0),"")</f>
        <v/>
      </c>
    </row>
    <row r="492">
      <c r="A492">
        <f>IF(AND(LEN('Aides'!A492)&gt;0,ISNUMBER('Aides'!I492)),'Aides'!I492+489/100000,"")</f>
        <v/>
      </c>
      <c r="B492">
        <f>IF(AND(LEN('Aides'!A492)&gt;0,ISNUMBER('Aides'!I492)),MAX($B$3:B491)+1,"")</f>
        <v/>
      </c>
      <c r="E492">
        <f>IFERROR(MATCH(489,$B$4:$B$503,0),"")</f>
        <v/>
      </c>
    </row>
    <row r="493">
      <c r="A493">
        <f>IF(AND(LEN('Aides'!A493)&gt;0,ISNUMBER('Aides'!I493)),'Aides'!I493+490/100000,"")</f>
        <v/>
      </c>
      <c r="B493">
        <f>IF(AND(LEN('Aides'!A493)&gt;0,ISNUMBER('Aides'!I493)),MAX($B$3:B492)+1,"")</f>
        <v/>
      </c>
      <c r="E493">
        <f>IFERROR(MATCH(490,$B$4:$B$503,0),"")</f>
        <v/>
      </c>
    </row>
    <row r="494">
      <c r="A494">
        <f>IF(AND(LEN('Aides'!A494)&gt;0,ISNUMBER('Aides'!I494)),'Aides'!I494+491/100000,"")</f>
        <v/>
      </c>
      <c r="B494">
        <f>IF(AND(LEN('Aides'!A494)&gt;0,ISNUMBER('Aides'!I494)),MAX($B$3:B493)+1,"")</f>
        <v/>
      </c>
      <c r="E494">
        <f>IFERROR(MATCH(491,$B$4:$B$503,0),"")</f>
        <v/>
      </c>
    </row>
    <row r="495">
      <c r="A495">
        <f>IF(AND(LEN('Aides'!A495)&gt;0,ISNUMBER('Aides'!I495)),'Aides'!I495+492/100000,"")</f>
        <v/>
      </c>
      <c r="B495">
        <f>IF(AND(LEN('Aides'!A495)&gt;0,ISNUMBER('Aides'!I495)),MAX($B$3:B494)+1,"")</f>
        <v/>
      </c>
      <c r="E495">
        <f>IFERROR(MATCH(492,$B$4:$B$503,0),"")</f>
        <v/>
      </c>
    </row>
    <row r="496">
      <c r="A496">
        <f>IF(AND(LEN('Aides'!A496)&gt;0,ISNUMBER('Aides'!I496)),'Aides'!I496+493/100000,"")</f>
        <v/>
      </c>
      <c r="B496">
        <f>IF(AND(LEN('Aides'!A496)&gt;0,ISNUMBER('Aides'!I496)),MAX($B$3:B495)+1,"")</f>
        <v/>
      </c>
      <c r="E496">
        <f>IFERROR(MATCH(493,$B$4:$B$503,0),"")</f>
        <v/>
      </c>
    </row>
    <row r="497">
      <c r="A497">
        <f>IF(AND(LEN('Aides'!A497)&gt;0,ISNUMBER('Aides'!I497)),'Aides'!I497+494/100000,"")</f>
        <v/>
      </c>
      <c r="B497">
        <f>IF(AND(LEN('Aides'!A497)&gt;0,ISNUMBER('Aides'!I497)),MAX($B$3:B496)+1,"")</f>
        <v/>
      </c>
      <c r="E497">
        <f>IFERROR(MATCH(494,$B$4:$B$503,0),"")</f>
        <v/>
      </c>
    </row>
    <row r="498">
      <c r="A498">
        <f>IF(AND(LEN('Aides'!A498)&gt;0,ISNUMBER('Aides'!I498)),'Aides'!I498+495/100000,"")</f>
        <v/>
      </c>
      <c r="B498">
        <f>IF(AND(LEN('Aides'!A498)&gt;0,ISNUMBER('Aides'!I498)),MAX($B$3:B497)+1,"")</f>
        <v/>
      </c>
      <c r="E498">
        <f>IFERROR(MATCH(495,$B$4:$B$503,0),"")</f>
        <v/>
      </c>
    </row>
    <row r="499">
      <c r="A499">
        <f>IF(AND(LEN('Aides'!A499)&gt;0,ISNUMBER('Aides'!I499)),'Aides'!I499+496/100000,"")</f>
        <v/>
      </c>
      <c r="B499">
        <f>IF(AND(LEN('Aides'!A499)&gt;0,ISNUMBER('Aides'!I499)),MAX($B$3:B498)+1,"")</f>
        <v/>
      </c>
      <c r="E499">
        <f>IFERROR(MATCH(496,$B$4:$B$503,0),"")</f>
        <v/>
      </c>
    </row>
    <row r="500">
      <c r="A500">
        <f>IF(AND(LEN('Aides'!A500)&gt;0,ISNUMBER('Aides'!I500)),'Aides'!I500+497/100000,"")</f>
        <v/>
      </c>
      <c r="B500">
        <f>IF(AND(LEN('Aides'!A500)&gt;0,ISNUMBER('Aides'!I500)),MAX($B$3:B499)+1,"")</f>
        <v/>
      </c>
      <c r="E500">
        <f>IFERROR(MATCH(497,$B$4:$B$503,0),"")</f>
        <v/>
      </c>
    </row>
    <row r="501">
      <c r="A501">
        <f>IF(AND(LEN('Aides'!A501)&gt;0,ISNUMBER('Aides'!I501)),'Aides'!I501+498/100000,"")</f>
        <v/>
      </c>
      <c r="B501">
        <f>IF(AND(LEN('Aides'!A501)&gt;0,ISNUMBER('Aides'!I501)),MAX($B$3:B500)+1,"")</f>
        <v/>
      </c>
      <c r="E501">
        <f>IFERROR(MATCH(498,$B$4:$B$503,0),"")</f>
        <v/>
      </c>
    </row>
    <row r="502">
      <c r="A502">
        <f>IF(AND(LEN('Aides'!A502)&gt;0,ISNUMBER('Aides'!I502)),'Aides'!I502+499/100000,"")</f>
        <v/>
      </c>
      <c r="B502">
        <f>IF(AND(LEN('Aides'!A502)&gt;0,ISNUMBER('Aides'!I502)),MAX($B$3:B501)+1,"")</f>
        <v/>
      </c>
      <c r="E502">
        <f>IFERROR(MATCH(499,$B$4:$B$503,0),"")</f>
        <v/>
      </c>
    </row>
    <row r="503">
      <c r="A503">
        <f>IF(AND(LEN('Aides'!A503)&gt;0,ISNUMBER('Aides'!I503)),'Aides'!I503+500/100000,"")</f>
        <v/>
      </c>
      <c r="B503">
        <f>IF(AND(LEN('Aides'!A503)&gt;0,ISNUMBER('Aides'!I503)),MAX($B$3:B502)+1,"")</f>
        <v/>
      </c>
      <c r="E503">
        <f>IFERROR(MATCH(500,$B$4:$B$503,0),"")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1503"/>
  <sheetViews>
    <sheetView tabSelected="0" workbookViewId="0">
      <selection activeCell="A1" sqref="A1"/>
    </sheetView>
  </sheetViews>
  <sheetFormatPr baseColWidth="8" defaultRowHeight="15"/>
  <sheetData>
    <row r="1">
      <c r="A1" t="inlineStr">
        <is>
          <t>Helper for "Import to ExpiryEdge": one row per tracker row per dated item. Do not edit.</t>
        </is>
      </c>
    </row>
    <row r="3">
      <c r="A3" t="inlineStr">
        <is>
          <t>has_date</t>
        </is>
      </c>
      <c r="B3" t="n">
        <v>0</v>
      </c>
      <c r="C3" t="inlineStr">
        <is>
          <t>pos_of_k</t>
        </is>
      </c>
      <c r="D3" t="inlineStr">
        <is>
          <t>name</t>
        </is>
      </c>
      <c r="E3" t="inlineStr">
        <is>
          <t>expiry_date</t>
        </is>
      </c>
      <c r="F3" t="inlineStr">
        <is>
          <t>type</t>
        </is>
      </c>
      <c r="G3" t="inlineStr">
        <is>
          <t>priority</t>
        </is>
      </c>
      <c r="H3" t="inlineStr">
        <is>
          <t>notes</t>
        </is>
      </c>
      <c r="I3" t="inlineStr">
        <is>
          <t>url</t>
        </is>
      </c>
      <c r="J3" t="inlineStr">
        <is>
          <t>notification_email</t>
        </is>
      </c>
    </row>
    <row r="4">
      <c r="A4">
        <f>IF(AND(LEN('Aides'!A4)&gt;0,ISNUMBER('Aides'!I4)),1,0)</f>
        <v/>
      </c>
      <c r="B4">
        <f>B3+A4</f>
        <v/>
      </c>
      <c r="C4">
        <f>IF(1&gt;$B$1503,"",MATCH(1-0.5,$B$3:$B$1503,1))</f>
        <v/>
      </c>
      <c r="D4">
        <f>"CNA certification ("&amp;IF(LEN(INDEX('Aides'!$C$4:$C$503,1))=0,"",INDEX('Aides'!$C$4:$C$503,1))&amp;") – "&amp;IF(LEN(INDEX('Aides'!$A$4:$A$503,1))=0,"",INDEX('Aides'!$A$4:$A$503,1))</f>
        <v/>
      </c>
      <c r="E4">
        <f>IF(ISNUMBER(INDEX('Aides'!$I$4:$I$503,1)),TEXT(INDEX('Aides'!$I$4:$I$503,1),"yyyy-mm-dd"),"")</f>
        <v/>
      </c>
      <c r="F4">
        <f>"Certification"</f>
        <v/>
      </c>
      <c r="G4">
        <f>"High"</f>
        <v/>
      </c>
      <c r="H4">
        <f>TRIM(IF(LEN(IF(LEN(INDEX('Aides'!$D$4:$D$503,1))=0,"",INDEX('Aides'!$D$4:$D$503,1)))=0,"","Registry no.: "&amp;IF(LEN(INDEX('Aides'!$D$4:$D$503,1))=0,"",INDEX('Aides'!$D$4:$D$503,1))&amp;". ")&amp;IF(LEN(IF(ISNUMBER(INDEX('Aides'!$F$4:$F$503,1)),TEXT(INDEX('Aides'!$F$4:$F$503,1),"yyyy-mm-dd"),""))=0,"","Registry expiry: "&amp;IF(ISNUMBER(INDEX('Aides'!$F$4:$F$503,1)),TEXT(INDEX('Aides'!$F$4:$F$503,1),"yyyy-mm-dd"),"")&amp;". ")&amp;IF(LEN(IF(ISNUMBER(INDEX('Aides'!$G$4:$G$503,1)),TEXT(INDEX('Aides'!$G$4:$G$503,1),"yyyy-mm-dd"),""))=0,"","Last paid nursing work: "&amp;IF(ISNUMBER(INDEX('Aides'!$G$4:$G$503,1)),TEXT(INDEX('Aides'!$G$4:$G$503,1),"yyyy-mm-dd"),"")&amp;". ")&amp;IF(LEN(IF(ISNUMBER(INDEX('Aides'!$H$4:$H$503,1)),TEXT(INDEX('Aides'!$H$4:$H$503,1),"yyyy-mm-dd"),""))=0,"","24-month cut-off: "&amp;IF(ISNUMBER(INDEX('Aides'!$H$4:$H$503,1)),TEXT(INDEX('Aides'!$H$4:$H$503,1),"yyyy-mm-dd"),"")&amp;". ")&amp;IF(LEN(IF(LEN(INDEX('Aides'!$U$4:$U$503,1))=0,"",INDEX('Aides'!$U$4:$U$503,1)))=0,"","Owner: "&amp;IF(LEN(INDEX('Aides'!$U$4:$U$503,1))=0,"",INDEX('Aides'!$U$4:$U$503,1))&amp;". ")&amp;IF(LEN(IF(LEN(INDEX('Aides'!$X$4:$X$503,1))=0,"",INDEX('Aides'!$X$4:$X$503,1)))=0,"",IF(LEN(INDEX('Aides'!$X$4:$X$503,1))=0,"",INDEX('Aides'!$X$4:$X$503,1))))</f>
        <v/>
      </c>
      <c r="I4">
        <f>IF(LEN(INDEX('Aides'!$W$4:$W$503,1))=0,"",INDEX('Aides'!$W$4:$W$503,1))</f>
        <v/>
      </c>
      <c r="J4">
        <f>IF(LEN(INDEX('Aides'!$V$4:$V$503,1))=0,"",INDEX('Aides'!$V$4:$V$503,1))</f>
        <v/>
      </c>
    </row>
    <row r="5">
      <c r="A5">
        <f>IF(AND(LEN('Aides'!A5)&gt;0,ISNUMBER('Aides'!I5)),1,0)</f>
        <v/>
      </c>
      <c r="B5">
        <f>B4+A5</f>
        <v/>
      </c>
      <c r="C5">
        <f>IF(2&gt;$B$1503,"",MATCH(2-0.5,$B$3:$B$1503,1))</f>
        <v/>
      </c>
      <c r="D5">
        <f>"CNA certification ("&amp;IF(LEN(INDEX('Aides'!$C$4:$C$503,2))=0,"",INDEX('Aides'!$C$4:$C$503,2))&amp;") – "&amp;IF(LEN(INDEX('Aides'!$A$4:$A$503,2))=0,"",INDEX('Aides'!$A$4:$A$503,2))</f>
        <v/>
      </c>
      <c r="E5">
        <f>IF(ISNUMBER(INDEX('Aides'!$I$4:$I$503,2)),TEXT(INDEX('Aides'!$I$4:$I$503,2),"yyyy-mm-dd"),"")</f>
        <v/>
      </c>
      <c r="F5">
        <f>"Certification"</f>
        <v/>
      </c>
      <c r="G5">
        <f>"High"</f>
        <v/>
      </c>
      <c r="H5">
        <f>TRIM(IF(LEN(IF(LEN(INDEX('Aides'!$D$4:$D$503,2))=0,"",INDEX('Aides'!$D$4:$D$503,2)))=0,"","Registry no.: "&amp;IF(LEN(INDEX('Aides'!$D$4:$D$503,2))=0,"",INDEX('Aides'!$D$4:$D$503,2))&amp;". ")&amp;IF(LEN(IF(ISNUMBER(INDEX('Aides'!$F$4:$F$503,2)),TEXT(INDEX('Aides'!$F$4:$F$503,2),"yyyy-mm-dd"),""))=0,"","Registry expiry: "&amp;IF(ISNUMBER(INDEX('Aides'!$F$4:$F$503,2)),TEXT(INDEX('Aides'!$F$4:$F$503,2),"yyyy-mm-dd"),"")&amp;". ")&amp;IF(LEN(IF(ISNUMBER(INDEX('Aides'!$G$4:$G$503,2)),TEXT(INDEX('Aides'!$G$4:$G$503,2),"yyyy-mm-dd"),""))=0,"","Last paid nursing work: "&amp;IF(ISNUMBER(INDEX('Aides'!$G$4:$G$503,2)),TEXT(INDEX('Aides'!$G$4:$G$503,2),"yyyy-mm-dd"),"")&amp;". ")&amp;IF(LEN(IF(ISNUMBER(INDEX('Aides'!$H$4:$H$503,2)),TEXT(INDEX('Aides'!$H$4:$H$503,2),"yyyy-mm-dd"),""))=0,"","24-month cut-off: "&amp;IF(ISNUMBER(INDEX('Aides'!$H$4:$H$503,2)),TEXT(INDEX('Aides'!$H$4:$H$503,2),"yyyy-mm-dd"),"")&amp;". ")&amp;IF(LEN(IF(LEN(INDEX('Aides'!$U$4:$U$503,2))=0,"",INDEX('Aides'!$U$4:$U$503,2)))=0,"","Owner: "&amp;IF(LEN(INDEX('Aides'!$U$4:$U$503,2))=0,"",INDEX('Aides'!$U$4:$U$503,2))&amp;". ")&amp;IF(LEN(IF(LEN(INDEX('Aides'!$X$4:$X$503,2))=0,"",INDEX('Aides'!$X$4:$X$503,2)))=0,"",IF(LEN(INDEX('Aides'!$X$4:$X$503,2))=0,"",INDEX('Aides'!$X$4:$X$503,2))))</f>
        <v/>
      </c>
      <c r="I5">
        <f>IF(LEN(INDEX('Aides'!$W$4:$W$503,2))=0,"",INDEX('Aides'!$W$4:$W$503,2))</f>
        <v/>
      </c>
      <c r="J5">
        <f>IF(LEN(INDEX('Aides'!$V$4:$V$503,2))=0,"",INDEX('Aides'!$V$4:$V$503,2))</f>
        <v/>
      </c>
    </row>
    <row r="6">
      <c r="A6">
        <f>IF(AND(LEN('Aides'!A6)&gt;0,ISNUMBER('Aides'!I6)),1,0)</f>
        <v/>
      </c>
      <c r="B6">
        <f>B5+A6</f>
        <v/>
      </c>
      <c r="C6">
        <f>IF(3&gt;$B$1503,"",MATCH(3-0.5,$B$3:$B$1503,1))</f>
        <v/>
      </c>
      <c r="D6">
        <f>"CNA certification ("&amp;IF(LEN(INDEX('Aides'!$C$4:$C$503,3))=0,"",INDEX('Aides'!$C$4:$C$503,3))&amp;") – "&amp;IF(LEN(INDEX('Aides'!$A$4:$A$503,3))=0,"",INDEX('Aides'!$A$4:$A$503,3))</f>
        <v/>
      </c>
      <c r="E6">
        <f>IF(ISNUMBER(INDEX('Aides'!$I$4:$I$503,3)),TEXT(INDEX('Aides'!$I$4:$I$503,3),"yyyy-mm-dd"),"")</f>
        <v/>
      </c>
      <c r="F6">
        <f>"Certification"</f>
        <v/>
      </c>
      <c r="G6">
        <f>"High"</f>
        <v/>
      </c>
      <c r="H6">
        <f>TRIM(IF(LEN(IF(LEN(INDEX('Aides'!$D$4:$D$503,3))=0,"",INDEX('Aides'!$D$4:$D$503,3)))=0,"","Registry no.: "&amp;IF(LEN(INDEX('Aides'!$D$4:$D$503,3))=0,"",INDEX('Aides'!$D$4:$D$503,3))&amp;". ")&amp;IF(LEN(IF(ISNUMBER(INDEX('Aides'!$F$4:$F$503,3)),TEXT(INDEX('Aides'!$F$4:$F$503,3),"yyyy-mm-dd"),""))=0,"","Registry expiry: "&amp;IF(ISNUMBER(INDEX('Aides'!$F$4:$F$503,3)),TEXT(INDEX('Aides'!$F$4:$F$503,3),"yyyy-mm-dd"),"")&amp;". ")&amp;IF(LEN(IF(ISNUMBER(INDEX('Aides'!$G$4:$G$503,3)),TEXT(INDEX('Aides'!$G$4:$G$503,3),"yyyy-mm-dd"),""))=0,"","Last paid nursing work: "&amp;IF(ISNUMBER(INDEX('Aides'!$G$4:$G$503,3)),TEXT(INDEX('Aides'!$G$4:$G$503,3),"yyyy-mm-dd"),"")&amp;". ")&amp;IF(LEN(IF(ISNUMBER(INDEX('Aides'!$H$4:$H$503,3)),TEXT(INDEX('Aides'!$H$4:$H$503,3),"yyyy-mm-dd"),""))=0,"","24-month cut-off: "&amp;IF(ISNUMBER(INDEX('Aides'!$H$4:$H$503,3)),TEXT(INDEX('Aides'!$H$4:$H$503,3),"yyyy-mm-dd"),"")&amp;". ")&amp;IF(LEN(IF(LEN(INDEX('Aides'!$U$4:$U$503,3))=0,"",INDEX('Aides'!$U$4:$U$503,3)))=0,"","Owner: "&amp;IF(LEN(INDEX('Aides'!$U$4:$U$503,3))=0,"",INDEX('Aides'!$U$4:$U$503,3))&amp;". ")&amp;IF(LEN(IF(LEN(INDEX('Aides'!$X$4:$X$503,3))=0,"",INDEX('Aides'!$X$4:$X$503,3)))=0,"",IF(LEN(INDEX('Aides'!$X$4:$X$503,3))=0,"",INDEX('Aides'!$X$4:$X$503,3))))</f>
        <v/>
      </c>
      <c r="I6">
        <f>IF(LEN(INDEX('Aides'!$W$4:$W$503,3))=0,"",INDEX('Aides'!$W$4:$W$503,3))</f>
        <v/>
      </c>
      <c r="J6">
        <f>IF(LEN(INDEX('Aides'!$V$4:$V$503,3))=0,"",INDEX('Aides'!$V$4:$V$503,3))</f>
        <v/>
      </c>
    </row>
    <row r="7">
      <c r="A7">
        <f>IF(AND(LEN('Aides'!A7)&gt;0,ISNUMBER('Aides'!I7)),1,0)</f>
        <v/>
      </c>
      <c r="B7">
        <f>B6+A7</f>
        <v/>
      </c>
      <c r="C7">
        <f>IF(4&gt;$B$1503,"",MATCH(4-0.5,$B$3:$B$1503,1))</f>
        <v/>
      </c>
      <c r="D7">
        <f>"CNA certification ("&amp;IF(LEN(INDEX('Aides'!$C$4:$C$503,4))=0,"",INDEX('Aides'!$C$4:$C$503,4))&amp;") – "&amp;IF(LEN(INDEX('Aides'!$A$4:$A$503,4))=0,"",INDEX('Aides'!$A$4:$A$503,4))</f>
        <v/>
      </c>
      <c r="E7">
        <f>IF(ISNUMBER(INDEX('Aides'!$I$4:$I$503,4)),TEXT(INDEX('Aides'!$I$4:$I$503,4),"yyyy-mm-dd"),"")</f>
        <v/>
      </c>
      <c r="F7">
        <f>"Certification"</f>
        <v/>
      </c>
      <c r="G7">
        <f>"High"</f>
        <v/>
      </c>
      <c r="H7">
        <f>TRIM(IF(LEN(IF(LEN(INDEX('Aides'!$D$4:$D$503,4))=0,"",INDEX('Aides'!$D$4:$D$503,4)))=0,"","Registry no.: "&amp;IF(LEN(INDEX('Aides'!$D$4:$D$503,4))=0,"",INDEX('Aides'!$D$4:$D$503,4))&amp;". ")&amp;IF(LEN(IF(ISNUMBER(INDEX('Aides'!$F$4:$F$503,4)),TEXT(INDEX('Aides'!$F$4:$F$503,4),"yyyy-mm-dd"),""))=0,"","Registry expiry: "&amp;IF(ISNUMBER(INDEX('Aides'!$F$4:$F$503,4)),TEXT(INDEX('Aides'!$F$4:$F$503,4),"yyyy-mm-dd"),"")&amp;". ")&amp;IF(LEN(IF(ISNUMBER(INDEX('Aides'!$G$4:$G$503,4)),TEXT(INDEX('Aides'!$G$4:$G$503,4),"yyyy-mm-dd"),""))=0,"","Last paid nursing work: "&amp;IF(ISNUMBER(INDEX('Aides'!$G$4:$G$503,4)),TEXT(INDEX('Aides'!$G$4:$G$503,4),"yyyy-mm-dd"),"")&amp;". ")&amp;IF(LEN(IF(ISNUMBER(INDEX('Aides'!$H$4:$H$503,4)),TEXT(INDEX('Aides'!$H$4:$H$503,4),"yyyy-mm-dd"),""))=0,"","24-month cut-off: "&amp;IF(ISNUMBER(INDEX('Aides'!$H$4:$H$503,4)),TEXT(INDEX('Aides'!$H$4:$H$503,4),"yyyy-mm-dd"),"")&amp;". ")&amp;IF(LEN(IF(LEN(INDEX('Aides'!$U$4:$U$503,4))=0,"",INDEX('Aides'!$U$4:$U$503,4)))=0,"","Owner: "&amp;IF(LEN(INDEX('Aides'!$U$4:$U$503,4))=0,"",INDEX('Aides'!$U$4:$U$503,4))&amp;". ")&amp;IF(LEN(IF(LEN(INDEX('Aides'!$X$4:$X$503,4))=0,"",INDEX('Aides'!$X$4:$X$503,4)))=0,"",IF(LEN(INDEX('Aides'!$X$4:$X$503,4))=0,"",INDEX('Aides'!$X$4:$X$503,4))))</f>
        <v/>
      </c>
      <c r="I7">
        <f>IF(LEN(INDEX('Aides'!$W$4:$W$503,4))=0,"",INDEX('Aides'!$W$4:$W$503,4))</f>
        <v/>
      </c>
      <c r="J7">
        <f>IF(LEN(INDEX('Aides'!$V$4:$V$503,4))=0,"",INDEX('Aides'!$V$4:$V$503,4))</f>
        <v/>
      </c>
    </row>
    <row r="8">
      <c r="A8">
        <f>IF(AND(LEN('Aides'!A8)&gt;0,ISNUMBER('Aides'!I8)),1,0)</f>
        <v/>
      </c>
      <c r="B8">
        <f>B7+A8</f>
        <v/>
      </c>
      <c r="C8">
        <f>IF(5&gt;$B$1503,"",MATCH(5-0.5,$B$3:$B$1503,1))</f>
        <v/>
      </c>
      <c r="D8">
        <f>"CNA certification ("&amp;IF(LEN(INDEX('Aides'!$C$4:$C$503,5))=0,"",INDEX('Aides'!$C$4:$C$503,5))&amp;") – "&amp;IF(LEN(INDEX('Aides'!$A$4:$A$503,5))=0,"",INDEX('Aides'!$A$4:$A$503,5))</f>
        <v/>
      </c>
      <c r="E8">
        <f>IF(ISNUMBER(INDEX('Aides'!$I$4:$I$503,5)),TEXT(INDEX('Aides'!$I$4:$I$503,5),"yyyy-mm-dd"),"")</f>
        <v/>
      </c>
      <c r="F8">
        <f>"Certification"</f>
        <v/>
      </c>
      <c r="G8">
        <f>"High"</f>
        <v/>
      </c>
      <c r="H8">
        <f>TRIM(IF(LEN(IF(LEN(INDEX('Aides'!$D$4:$D$503,5))=0,"",INDEX('Aides'!$D$4:$D$503,5)))=0,"","Registry no.: "&amp;IF(LEN(INDEX('Aides'!$D$4:$D$503,5))=0,"",INDEX('Aides'!$D$4:$D$503,5))&amp;". ")&amp;IF(LEN(IF(ISNUMBER(INDEX('Aides'!$F$4:$F$503,5)),TEXT(INDEX('Aides'!$F$4:$F$503,5),"yyyy-mm-dd"),""))=0,"","Registry expiry: "&amp;IF(ISNUMBER(INDEX('Aides'!$F$4:$F$503,5)),TEXT(INDEX('Aides'!$F$4:$F$503,5),"yyyy-mm-dd"),"")&amp;". ")&amp;IF(LEN(IF(ISNUMBER(INDEX('Aides'!$G$4:$G$503,5)),TEXT(INDEX('Aides'!$G$4:$G$503,5),"yyyy-mm-dd"),""))=0,"","Last paid nursing work: "&amp;IF(ISNUMBER(INDEX('Aides'!$G$4:$G$503,5)),TEXT(INDEX('Aides'!$G$4:$G$503,5),"yyyy-mm-dd"),"")&amp;". ")&amp;IF(LEN(IF(ISNUMBER(INDEX('Aides'!$H$4:$H$503,5)),TEXT(INDEX('Aides'!$H$4:$H$503,5),"yyyy-mm-dd"),""))=0,"","24-month cut-off: "&amp;IF(ISNUMBER(INDEX('Aides'!$H$4:$H$503,5)),TEXT(INDEX('Aides'!$H$4:$H$503,5),"yyyy-mm-dd"),"")&amp;". ")&amp;IF(LEN(IF(LEN(INDEX('Aides'!$U$4:$U$503,5))=0,"",INDEX('Aides'!$U$4:$U$503,5)))=0,"","Owner: "&amp;IF(LEN(INDEX('Aides'!$U$4:$U$503,5))=0,"",INDEX('Aides'!$U$4:$U$503,5))&amp;". ")&amp;IF(LEN(IF(LEN(INDEX('Aides'!$X$4:$X$503,5))=0,"",INDEX('Aides'!$X$4:$X$503,5)))=0,"",IF(LEN(INDEX('Aides'!$X$4:$X$503,5))=0,"",INDEX('Aides'!$X$4:$X$503,5))))</f>
        <v/>
      </c>
      <c r="I8">
        <f>IF(LEN(INDEX('Aides'!$W$4:$W$503,5))=0,"",INDEX('Aides'!$W$4:$W$503,5))</f>
        <v/>
      </c>
      <c r="J8">
        <f>IF(LEN(INDEX('Aides'!$V$4:$V$503,5))=0,"",INDEX('Aides'!$V$4:$V$503,5))</f>
        <v/>
      </c>
    </row>
    <row r="9">
      <c r="A9">
        <f>IF(AND(LEN('Aides'!A9)&gt;0,ISNUMBER('Aides'!I9)),1,0)</f>
        <v/>
      </c>
      <c r="B9">
        <f>B8+A9</f>
        <v/>
      </c>
      <c r="C9">
        <f>IF(6&gt;$B$1503,"",MATCH(6-0.5,$B$3:$B$1503,1))</f>
        <v/>
      </c>
      <c r="D9">
        <f>"CNA certification ("&amp;IF(LEN(INDEX('Aides'!$C$4:$C$503,6))=0,"",INDEX('Aides'!$C$4:$C$503,6))&amp;") – "&amp;IF(LEN(INDEX('Aides'!$A$4:$A$503,6))=0,"",INDEX('Aides'!$A$4:$A$503,6))</f>
        <v/>
      </c>
      <c r="E9">
        <f>IF(ISNUMBER(INDEX('Aides'!$I$4:$I$503,6)),TEXT(INDEX('Aides'!$I$4:$I$503,6),"yyyy-mm-dd"),"")</f>
        <v/>
      </c>
      <c r="F9">
        <f>"Certification"</f>
        <v/>
      </c>
      <c r="G9">
        <f>"High"</f>
        <v/>
      </c>
      <c r="H9">
        <f>TRIM(IF(LEN(IF(LEN(INDEX('Aides'!$D$4:$D$503,6))=0,"",INDEX('Aides'!$D$4:$D$503,6)))=0,"","Registry no.: "&amp;IF(LEN(INDEX('Aides'!$D$4:$D$503,6))=0,"",INDEX('Aides'!$D$4:$D$503,6))&amp;". ")&amp;IF(LEN(IF(ISNUMBER(INDEX('Aides'!$F$4:$F$503,6)),TEXT(INDEX('Aides'!$F$4:$F$503,6),"yyyy-mm-dd"),""))=0,"","Registry expiry: "&amp;IF(ISNUMBER(INDEX('Aides'!$F$4:$F$503,6)),TEXT(INDEX('Aides'!$F$4:$F$503,6),"yyyy-mm-dd"),"")&amp;". ")&amp;IF(LEN(IF(ISNUMBER(INDEX('Aides'!$G$4:$G$503,6)),TEXT(INDEX('Aides'!$G$4:$G$503,6),"yyyy-mm-dd"),""))=0,"","Last paid nursing work: "&amp;IF(ISNUMBER(INDEX('Aides'!$G$4:$G$503,6)),TEXT(INDEX('Aides'!$G$4:$G$503,6),"yyyy-mm-dd"),"")&amp;". ")&amp;IF(LEN(IF(ISNUMBER(INDEX('Aides'!$H$4:$H$503,6)),TEXT(INDEX('Aides'!$H$4:$H$503,6),"yyyy-mm-dd"),""))=0,"","24-month cut-off: "&amp;IF(ISNUMBER(INDEX('Aides'!$H$4:$H$503,6)),TEXT(INDEX('Aides'!$H$4:$H$503,6),"yyyy-mm-dd"),"")&amp;". ")&amp;IF(LEN(IF(LEN(INDEX('Aides'!$U$4:$U$503,6))=0,"",INDEX('Aides'!$U$4:$U$503,6)))=0,"","Owner: "&amp;IF(LEN(INDEX('Aides'!$U$4:$U$503,6))=0,"",INDEX('Aides'!$U$4:$U$503,6))&amp;". ")&amp;IF(LEN(IF(LEN(INDEX('Aides'!$X$4:$X$503,6))=0,"",INDEX('Aides'!$X$4:$X$503,6)))=0,"",IF(LEN(INDEX('Aides'!$X$4:$X$503,6))=0,"",INDEX('Aides'!$X$4:$X$503,6))))</f>
        <v/>
      </c>
      <c r="I9">
        <f>IF(LEN(INDEX('Aides'!$W$4:$W$503,6))=0,"",INDEX('Aides'!$W$4:$W$503,6))</f>
        <v/>
      </c>
      <c r="J9">
        <f>IF(LEN(INDEX('Aides'!$V$4:$V$503,6))=0,"",INDEX('Aides'!$V$4:$V$503,6))</f>
        <v/>
      </c>
    </row>
    <row r="10">
      <c r="A10">
        <f>IF(AND(LEN('Aides'!A10)&gt;0,ISNUMBER('Aides'!I10)),1,0)</f>
        <v/>
      </c>
      <c r="B10">
        <f>B9+A10</f>
        <v/>
      </c>
      <c r="C10">
        <f>IF(7&gt;$B$1503,"",MATCH(7-0.5,$B$3:$B$1503,1))</f>
        <v/>
      </c>
      <c r="D10">
        <f>"CNA certification ("&amp;IF(LEN(INDEX('Aides'!$C$4:$C$503,7))=0,"",INDEX('Aides'!$C$4:$C$503,7))&amp;") – "&amp;IF(LEN(INDEX('Aides'!$A$4:$A$503,7))=0,"",INDEX('Aides'!$A$4:$A$503,7))</f>
        <v/>
      </c>
      <c r="E10">
        <f>IF(ISNUMBER(INDEX('Aides'!$I$4:$I$503,7)),TEXT(INDEX('Aides'!$I$4:$I$503,7),"yyyy-mm-dd"),"")</f>
        <v/>
      </c>
      <c r="F10">
        <f>"Certification"</f>
        <v/>
      </c>
      <c r="G10">
        <f>"High"</f>
        <v/>
      </c>
      <c r="H10">
        <f>TRIM(IF(LEN(IF(LEN(INDEX('Aides'!$D$4:$D$503,7))=0,"",INDEX('Aides'!$D$4:$D$503,7)))=0,"","Registry no.: "&amp;IF(LEN(INDEX('Aides'!$D$4:$D$503,7))=0,"",INDEX('Aides'!$D$4:$D$503,7))&amp;". ")&amp;IF(LEN(IF(ISNUMBER(INDEX('Aides'!$F$4:$F$503,7)),TEXT(INDEX('Aides'!$F$4:$F$503,7),"yyyy-mm-dd"),""))=0,"","Registry expiry: "&amp;IF(ISNUMBER(INDEX('Aides'!$F$4:$F$503,7)),TEXT(INDEX('Aides'!$F$4:$F$503,7),"yyyy-mm-dd"),"")&amp;". ")&amp;IF(LEN(IF(ISNUMBER(INDEX('Aides'!$G$4:$G$503,7)),TEXT(INDEX('Aides'!$G$4:$G$503,7),"yyyy-mm-dd"),""))=0,"","Last paid nursing work: "&amp;IF(ISNUMBER(INDEX('Aides'!$G$4:$G$503,7)),TEXT(INDEX('Aides'!$G$4:$G$503,7),"yyyy-mm-dd"),"")&amp;". ")&amp;IF(LEN(IF(ISNUMBER(INDEX('Aides'!$H$4:$H$503,7)),TEXT(INDEX('Aides'!$H$4:$H$503,7),"yyyy-mm-dd"),""))=0,"","24-month cut-off: "&amp;IF(ISNUMBER(INDEX('Aides'!$H$4:$H$503,7)),TEXT(INDEX('Aides'!$H$4:$H$503,7),"yyyy-mm-dd"),"")&amp;". ")&amp;IF(LEN(IF(LEN(INDEX('Aides'!$U$4:$U$503,7))=0,"",INDEX('Aides'!$U$4:$U$503,7)))=0,"","Owner: "&amp;IF(LEN(INDEX('Aides'!$U$4:$U$503,7))=0,"",INDEX('Aides'!$U$4:$U$503,7))&amp;". ")&amp;IF(LEN(IF(LEN(INDEX('Aides'!$X$4:$X$503,7))=0,"",INDEX('Aides'!$X$4:$X$503,7)))=0,"",IF(LEN(INDEX('Aides'!$X$4:$X$503,7))=0,"",INDEX('Aides'!$X$4:$X$503,7))))</f>
        <v/>
      </c>
      <c r="I10">
        <f>IF(LEN(INDEX('Aides'!$W$4:$W$503,7))=0,"",INDEX('Aides'!$W$4:$W$503,7))</f>
        <v/>
      </c>
      <c r="J10">
        <f>IF(LEN(INDEX('Aides'!$V$4:$V$503,7))=0,"",INDEX('Aides'!$V$4:$V$503,7))</f>
        <v/>
      </c>
    </row>
    <row r="11">
      <c r="A11">
        <f>IF(AND(LEN('Aides'!A11)&gt;0,ISNUMBER('Aides'!I11)),1,0)</f>
        <v/>
      </c>
      <c r="B11">
        <f>B10+A11</f>
        <v/>
      </c>
      <c r="C11">
        <f>IF(8&gt;$B$1503,"",MATCH(8-0.5,$B$3:$B$1503,1))</f>
        <v/>
      </c>
      <c r="D11">
        <f>"CNA certification ("&amp;IF(LEN(INDEX('Aides'!$C$4:$C$503,8))=0,"",INDEX('Aides'!$C$4:$C$503,8))&amp;") – "&amp;IF(LEN(INDEX('Aides'!$A$4:$A$503,8))=0,"",INDEX('Aides'!$A$4:$A$503,8))</f>
        <v/>
      </c>
      <c r="E11">
        <f>IF(ISNUMBER(INDEX('Aides'!$I$4:$I$503,8)),TEXT(INDEX('Aides'!$I$4:$I$503,8),"yyyy-mm-dd"),"")</f>
        <v/>
      </c>
      <c r="F11">
        <f>"Certification"</f>
        <v/>
      </c>
      <c r="G11">
        <f>"High"</f>
        <v/>
      </c>
      <c r="H11">
        <f>TRIM(IF(LEN(IF(LEN(INDEX('Aides'!$D$4:$D$503,8))=0,"",INDEX('Aides'!$D$4:$D$503,8)))=0,"","Registry no.: "&amp;IF(LEN(INDEX('Aides'!$D$4:$D$503,8))=0,"",INDEX('Aides'!$D$4:$D$503,8))&amp;". ")&amp;IF(LEN(IF(ISNUMBER(INDEX('Aides'!$F$4:$F$503,8)),TEXT(INDEX('Aides'!$F$4:$F$503,8),"yyyy-mm-dd"),""))=0,"","Registry expiry: "&amp;IF(ISNUMBER(INDEX('Aides'!$F$4:$F$503,8)),TEXT(INDEX('Aides'!$F$4:$F$503,8),"yyyy-mm-dd"),"")&amp;". ")&amp;IF(LEN(IF(ISNUMBER(INDEX('Aides'!$G$4:$G$503,8)),TEXT(INDEX('Aides'!$G$4:$G$503,8),"yyyy-mm-dd"),""))=0,"","Last paid nursing work: "&amp;IF(ISNUMBER(INDEX('Aides'!$G$4:$G$503,8)),TEXT(INDEX('Aides'!$G$4:$G$503,8),"yyyy-mm-dd"),"")&amp;". ")&amp;IF(LEN(IF(ISNUMBER(INDEX('Aides'!$H$4:$H$503,8)),TEXT(INDEX('Aides'!$H$4:$H$503,8),"yyyy-mm-dd"),""))=0,"","24-month cut-off: "&amp;IF(ISNUMBER(INDEX('Aides'!$H$4:$H$503,8)),TEXT(INDEX('Aides'!$H$4:$H$503,8),"yyyy-mm-dd"),"")&amp;". ")&amp;IF(LEN(IF(LEN(INDEX('Aides'!$U$4:$U$503,8))=0,"",INDEX('Aides'!$U$4:$U$503,8)))=0,"","Owner: "&amp;IF(LEN(INDEX('Aides'!$U$4:$U$503,8))=0,"",INDEX('Aides'!$U$4:$U$503,8))&amp;". ")&amp;IF(LEN(IF(LEN(INDEX('Aides'!$X$4:$X$503,8))=0,"",INDEX('Aides'!$X$4:$X$503,8)))=0,"",IF(LEN(INDEX('Aides'!$X$4:$X$503,8))=0,"",INDEX('Aides'!$X$4:$X$503,8))))</f>
        <v/>
      </c>
      <c r="I11">
        <f>IF(LEN(INDEX('Aides'!$W$4:$W$503,8))=0,"",INDEX('Aides'!$W$4:$W$503,8))</f>
        <v/>
      </c>
      <c r="J11">
        <f>IF(LEN(INDEX('Aides'!$V$4:$V$503,8))=0,"",INDEX('Aides'!$V$4:$V$503,8))</f>
        <v/>
      </c>
    </row>
    <row r="12">
      <c r="A12">
        <f>IF(AND(LEN('Aides'!A12)&gt;0,ISNUMBER('Aides'!I12)),1,0)</f>
        <v/>
      </c>
      <c r="B12">
        <f>B11+A12</f>
        <v/>
      </c>
      <c r="C12">
        <f>IF(9&gt;$B$1503,"",MATCH(9-0.5,$B$3:$B$1503,1))</f>
        <v/>
      </c>
      <c r="D12">
        <f>"CNA certification ("&amp;IF(LEN(INDEX('Aides'!$C$4:$C$503,9))=0,"",INDEX('Aides'!$C$4:$C$503,9))&amp;") – "&amp;IF(LEN(INDEX('Aides'!$A$4:$A$503,9))=0,"",INDEX('Aides'!$A$4:$A$503,9))</f>
        <v/>
      </c>
      <c r="E12">
        <f>IF(ISNUMBER(INDEX('Aides'!$I$4:$I$503,9)),TEXT(INDEX('Aides'!$I$4:$I$503,9),"yyyy-mm-dd"),"")</f>
        <v/>
      </c>
      <c r="F12">
        <f>"Certification"</f>
        <v/>
      </c>
      <c r="G12">
        <f>"High"</f>
        <v/>
      </c>
      <c r="H12">
        <f>TRIM(IF(LEN(IF(LEN(INDEX('Aides'!$D$4:$D$503,9))=0,"",INDEX('Aides'!$D$4:$D$503,9)))=0,"","Registry no.: "&amp;IF(LEN(INDEX('Aides'!$D$4:$D$503,9))=0,"",INDEX('Aides'!$D$4:$D$503,9))&amp;". ")&amp;IF(LEN(IF(ISNUMBER(INDEX('Aides'!$F$4:$F$503,9)),TEXT(INDEX('Aides'!$F$4:$F$503,9),"yyyy-mm-dd"),""))=0,"","Registry expiry: "&amp;IF(ISNUMBER(INDEX('Aides'!$F$4:$F$503,9)),TEXT(INDEX('Aides'!$F$4:$F$503,9),"yyyy-mm-dd"),"")&amp;". ")&amp;IF(LEN(IF(ISNUMBER(INDEX('Aides'!$G$4:$G$503,9)),TEXT(INDEX('Aides'!$G$4:$G$503,9),"yyyy-mm-dd"),""))=0,"","Last paid nursing work: "&amp;IF(ISNUMBER(INDEX('Aides'!$G$4:$G$503,9)),TEXT(INDEX('Aides'!$G$4:$G$503,9),"yyyy-mm-dd"),"")&amp;". ")&amp;IF(LEN(IF(ISNUMBER(INDEX('Aides'!$H$4:$H$503,9)),TEXT(INDEX('Aides'!$H$4:$H$503,9),"yyyy-mm-dd"),""))=0,"","24-month cut-off: "&amp;IF(ISNUMBER(INDEX('Aides'!$H$4:$H$503,9)),TEXT(INDEX('Aides'!$H$4:$H$503,9),"yyyy-mm-dd"),"")&amp;". ")&amp;IF(LEN(IF(LEN(INDEX('Aides'!$U$4:$U$503,9))=0,"",INDEX('Aides'!$U$4:$U$503,9)))=0,"","Owner: "&amp;IF(LEN(INDEX('Aides'!$U$4:$U$503,9))=0,"",INDEX('Aides'!$U$4:$U$503,9))&amp;". ")&amp;IF(LEN(IF(LEN(INDEX('Aides'!$X$4:$X$503,9))=0,"",INDEX('Aides'!$X$4:$X$503,9)))=0,"",IF(LEN(INDEX('Aides'!$X$4:$X$503,9))=0,"",INDEX('Aides'!$X$4:$X$503,9))))</f>
        <v/>
      </c>
      <c r="I12">
        <f>IF(LEN(INDEX('Aides'!$W$4:$W$503,9))=0,"",INDEX('Aides'!$W$4:$W$503,9))</f>
        <v/>
      </c>
      <c r="J12">
        <f>IF(LEN(INDEX('Aides'!$V$4:$V$503,9))=0,"",INDEX('Aides'!$V$4:$V$503,9))</f>
        <v/>
      </c>
    </row>
    <row r="13">
      <c r="A13">
        <f>IF(AND(LEN('Aides'!A13)&gt;0,ISNUMBER('Aides'!I13)),1,0)</f>
        <v/>
      </c>
      <c r="B13">
        <f>B12+A13</f>
        <v/>
      </c>
      <c r="C13">
        <f>IF(10&gt;$B$1503,"",MATCH(10-0.5,$B$3:$B$1503,1))</f>
        <v/>
      </c>
      <c r="D13">
        <f>"CNA certification ("&amp;IF(LEN(INDEX('Aides'!$C$4:$C$503,10))=0,"",INDEX('Aides'!$C$4:$C$503,10))&amp;") – "&amp;IF(LEN(INDEX('Aides'!$A$4:$A$503,10))=0,"",INDEX('Aides'!$A$4:$A$503,10))</f>
        <v/>
      </c>
      <c r="E13">
        <f>IF(ISNUMBER(INDEX('Aides'!$I$4:$I$503,10)),TEXT(INDEX('Aides'!$I$4:$I$503,10),"yyyy-mm-dd"),"")</f>
        <v/>
      </c>
      <c r="F13">
        <f>"Certification"</f>
        <v/>
      </c>
      <c r="G13">
        <f>"High"</f>
        <v/>
      </c>
      <c r="H13">
        <f>TRIM(IF(LEN(IF(LEN(INDEX('Aides'!$D$4:$D$503,10))=0,"",INDEX('Aides'!$D$4:$D$503,10)))=0,"","Registry no.: "&amp;IF(LEN(INDEX('Aides'!$D$4:$D$503,10))=0,"",INDEX('Aides'!$D$4:$D$503,10))&amp;". ")&amp;IF(LEN(IF(ISNUMBER(INDEX('Aides'!$F$4:$F$503,10)),TEXT(INDEX('Aides'!$F$4:$F$503,10),"yyyy-mm-dd"),""))=0,"","Registry expiry: "&amp;IF(ISNUMBER(INDEX('Aides'!$F$4:$F$503,10)),TEXT(INDEX('Aides'!$F$4:$F$503,10),"yyyy-mm-dd"),"")&amp;". ")&amp;IF(LEN(IF(ISNUMBER(INDEX('Aides'!$G$4:$G$503,10)),TEXT(INDEX('Aides'!$G$4:$G$503,10),"yyyy-mm-dd"),""))=0,"","Last paid nursing work: "&amp;IF(ISNUMBER(INDEX('Aides'!$G$4:$G$503,10)),TEXT(INDEX('Aides'!$G$4:$G$503,10),"yyyy-mm-dd"),"")&amp;". ")&amp;IF(LEN(IF(ISNUMBER(INDEX('Aides'!$H$4:$H$503,10)),TEXT(INDEX('Aides'!$H$4:$H$503,10),"yyyy-mm-dd"),""))=0,"","24-month cut-off: "&amp;IF(ISNUMBER(INDEX('Aides'!$H$4:$H$503,10)),TEXT(INDEX('Aides'!$H$4:$H$503,10),"yyyy-mm-dd"),"")&amp;". ")&amp;IF(LEN(IF(LEN(INDEX('Aides'!$U$4:$U$503,10))=0,"",INDEX('Aides'!$U$4:$U$503,10)))=0,"","Owner: "&amp;IF(LEN(INDEX('Aides'!$U$4:$U$503,10))=0,"",INDEX('Aides'!$U$4:$U$503,10))&amp;". ")&amp;IF(LEN(IF(LEN(INDEX('Aides'!$X$4:$X$503,10))=0,"",INDEX('Aides'!$X$4:$X$503,10)))=0,"",IF(LEN(INDEX('Aides'!$X$4:$X$503,10))=0,"",INDEX('Aides'!$X$4:$X$503,10))))</f>
        <v/>
      </c>
      <c r="I13">
        <f>IF(LEN(INDEX('Aides'!$W$4:$W$503,10))=0,"",INDEX('Aides'!$W$4:$W$503,10))</f>
        <v/>
      </c>
      <c r="J13">
        <f>IF(LEN(INDEX('Aides'!$V$4:$V$503,10))=0,"",INDEX('Aides'!$V$4:$V$503,10))</f>
        <v/>
      </c>
    </row>
    <row r="14">
      <c r="A14">
        <f>IF(AND(LEN('Aides'!A14)&gt;0,ISNUMBER('Aides'!I14)),1,0)</f>
        <v/>
      </c>
      <c r="B14">
        <f>B13+A14</f>
        <v/>
      </c>
      <c r="C14">
        <f>IF(11&gt;$B$1503,"",MATCH(11-0.5,$B$3:$B$1503,1))</f>
        <v/>
      </c>
      <c r="D14">
        <f>"CNA certification ("&amp;IF(LEN(INDEX('Aides'!$C$4:$C$503,11))=0,"",INDEX('Aides'!$C$4:$C$503,11))&amp;") – "&amp;IF(LEN(INDEX('Aides'!$A$4:$A$503,11))=0,"",INDEX('Aides'!$A$4:$A$503,11))</f>
        <v/>
      </c>
      <c r="E14">
        <f>IF(ISNUMBER(INDEX('Aides'!$I$4:$I$503,11)),TEXT(INDEX('Aides'!$I$4:$I$503,11),"yyyy-mm-dd"),"")</f>
        <v/>
      </c>
      <c r="F14">
        <f>"Certification"</f>
        <v/>
      </c>
      <c r="G14">
        <f>"High"</f>
        <v/>
      </c>
      <c r="H14">
        <f>TRIM(IF(LEN(IF(LEN(INDEX('Aides'!$D$4:$D$503,11))=0,"",INDEX('Aides'!$D$4:$D$503,11)))=0,"","Registry no.: "&amp;IF(LEN(INDEX('Aides'!$D$4:$D$503,11))=0,"",INDEX('Aides'!$D$4:$D$503,11))&amp;". ")&amp;IF(LEN(IF(ISNUMBER(INDEX('Aides'!$F$4:$F$503,11)),TEXT(INDEX('Aides'!$F$4:$F$503,11),"yyyy-mm-dd"),""))=0,"","Registry expiry: "&amp;IF(ISNUMBER(INDEX('Aides'!$F$4:$F$503,11)),TEXT(INDEX('Aides'!$F$4:$F$503,11),"yyyy-mm-dd"),"")&amp;". ")&amp;IF(LEN(IF(ISNUMBER(INDEX('Aides'!$G$4:$G$503,11)),TEXT(INDEX('Aides'!$G$4:$G$503,11),"yyyy-mm-dd"),""))=0,"","Last paid nursing work: "&amp;IF(ISNUMBER(INDEX('Aides'!$G$4:$G$503,11)),TEXT(INDEX('Aides'!$G$4:$G$503,11),"yyyy-mm-dd"),"")&amp;". ")&amp;IF(LEN(IF(ISNUMBER(INDEX('Aides'!$H$4:$H$503,11)),TEXT(INDEX('Aides'!$H$4:$H$503,11),"yyyy-mm-dd"),""))=0,"","24-month cut-off: "&amp;IF(ISNUMBER(INDEX('Aides'!$H$4:$H$503,11)),TEXT(INDEX('Aides'!$H$4:$H$503,11),"yyyy-mm-dd"),"")&amp;". ")&amp;IF(LEN(IF(LEN(INDEX('Aides'!$U$4:$U$503,11))=0,"",INDEX('Aides'!$U$4:$U$503,11)))=0,"","Owner: "&amp;IF(LEN(INDEX('Aides'!$U$4:$U$503,11))=0,"",INDEX('Aides'!$U$4:$U$503,11))&amp;". ")&amp;IF(LEN(IF(LEN(INDEX('Aides'!$X$4:$X$503,11))=0,"",INDEX('Aides'!$X$4:$X$503,11)))=0,"",IF(LEN(INDEX('Aides'!$X$4:$X$503,11))=0,"",INDEX('Aides'!$X$4:$X$503,11))))</f>
        <v/>
      </c>
      <c r="I14">
        <f>IF(LEN(INDEX('Aides'!$W$4:$W$503,11))=0,"",INDEX('Aides'!$W$4:$W$503,11))</f>
        <v/>
      </c>
      <c r="J14">
        <f>IF(LEN(INDEX('Aides'!$V$4:$V$503,11))=0,"",INDEX('Aides'!$V$4:$V$503,11))</f>
        <v/>
      </c>
    </row>
    <row r="15">
      <c r="A15">
        <f>IF(AND(LEN('Aides'!A15)&gt;0,ISNUMBER('Aides'!I15)),1,0)</f>
        <v/>
      </c>
      <c r="B15">
        <f>B14+A15</f>
        <v/>
      </c>
      <c r="C15">
        <f>IF(12&gt;$B$1503,"",MATCH(12-0.5,$B$3:$B$1503,1))</f>
        <v/>
      </c>
      <c r="D15">
        <f>"CNA certification ("&amp;IF(LEN(INDEX('Aides'!$C$4:$C$503,12))=0,"",INDEX('Aides'!$C$4:$C$503,12))&amp;") – "&amp;IF(LEN(INDEX('Aides'!$A$4:$A$503,12))=0,"",INDEX('Aides'!$A$4:$A$503,12))</f>
        <v/>
      </c>
      <c r="E15">
        <f>IF(ISNUMBER(INDEX('Aides'!$I$4:$I$503,12)),TEXT(INDEX('Aides'!$I$4:$I$503,12),"yyyy-mm-dd"),"")</f>
        <v/>
      </c>
      <c r="F15">
        <f>"Certification"</f>
        <v/>
      </c>
      <c r="G15">
        <f>"High"</f>
        <v/>
      </c>
      <c r="H15">
        <f>TRIM(IF(LEN(IF(LEN(INDEX('Aides'!$D$4:$D$503,12))=0,"",INDEX('Aides'!$D$4:$D$503,12)))=0,"","Registry no.: "&amp;IF(LEN(INDEX('Aides'!$D$4:$D$503,12))=0,"",INDEX('Aides'!$D$4:$D$503,12))&amp;". ")&amp;IF(LEN(IF(ISNUMBER(INDEX('Aides'!$F$4:$F$503,12)),TEXT(INDEX('Aides'!$F$4:$F$503,12),"yyyy-mm-dd"),""))=0,"","Registry expiry: "&amp;IF(ISNUMBER(INDEX('Aides'!$F$4:$F$503,12)),TEXT(INDEX('Aides'!$F$4:$F$503,12),"yyyy-mm-dd"),"")&amp;". ")&amp;IF(LEN(IF(ISNUMBER(INDEX('Aides'!$G$4:$G$503,12)),TEXT(INDEX('Aides'!$G$4:$G$503,12),"yyyy-mm-dd"),""))=0,"","Last paid nursing work: "&amp;IF(ISNUMBER(INDEX('Aides'!$G$4:$G$503,12)),TEXT(INDEX('Aides'!$G$4:$G$503,12),"yyyy-mm-dd"),"")&amp;". ")&amp;IF(LEN(IF(ISNUMBER(INDEX('Aides'!$H$4:$H$503,12)),TEXT(INDEX('Aides'!$H$4:$H$503,12),"yyyy-mm-dd"),""))=0,"","24-month cut-off: "&amp;IF(ISNUMBER(INDEX('Aides'!$H$4:$H$503,12)),TEXT(INDEX('Aides'!$H$4:$H$503,12),"yyyy-mm-dd"),"")&amp;". ")&amp;IF(LEN(IF(LEN(INDEX('Aides'!$U$4:$U$503,12))=0,"",INDEX('Aides'!$U$4:$U$503,12)))=0,"","Owner: "&amp;IF(LEN(INDEX('Aides'!$U$4:$U$503,12))=0,"",INDEX('Aides'!$U$4:$U$503,12))&amp;". ")&amp;IF(LEN(IF(LEN(INDEX('Aides'!$X$4:$X$503,12))=0,"",INDEX('Aides'!$X$4:$X$503,12)))=0,"",IF(LEN(INDEX('Aides'!$X$4:$X$503,12))=0,"",INDEX('Aides'!$X$4:$X$503,12))))</f>
        <v/>
      </c>
      <c r="I15">
        <f>IF(LEN(INDEX('Aides'!$W$4:$W$503,12))=0,"",INDEX('Aides'!$W$4:$W$503,12))</f>
        <v/>
      </c>
      <c r="J15">
        <f>IF(LEN(INDEX('Aides'!$V$4:$V$503,12))=0,"",INDEX('Aides'!$V$4:$V$503,12))</f>
        <v/>
      </c>
    </row>
    <row r="16">
      <c r="A16">
        <f>IF(AND(LEN('Aides'!A16)&gt;0,ISNUMBER('Aides'!I16)),1,0)</f>
        <v/>
      </c>
      <c r="B16">
        <f>B15+A16</f>
        <v/>
      </c>
      <c r="C16">
        <f>IF(13&gt;$B$1503,"",MATCH(13-0.5,$B$3:$B$1503,1))</f>
        <v/>
      </c>
      <c r="D16">
        <f>"CNA certification ("&amp;IF(LEN(INDEX('Aides'!$C$4:$C$503,13))=0,"",INDEX('Aides'!$C$4:$C$503,13))&amp;") – "&amp;IF(LEN(INDEX('Aides'!$A$4:$A$503,13))=0,"",INDEX('Aides'!$A$4:$A$503,13))</f>
        <v/>
      </c>
      <c r="E16">
        <f>IF(ISNUMBER(INDEX('Aides'!$I$4:$I$503,13)),TEXT(INDEX('Aides'!$I$4:$I$503,13),"yyyy-mm-dd"),"")</f>
        <v/>
      </c>
      <c r="F16">
        <f>"Certification"</f>
        <v/>
      </c>
      <c r="G16">
        <f>"High"</f>
        <v/>
      </c>
      <c r="H16">
        <f>TRIM(IF(LEN(IF(LEN(INDEX('Aides'!$D$4:$D$503,13))=0,"",INDEX('Aides'!$D$4:$D$503,13)))=0,"","Registry no.: "&amp;IF(LEN(INDEX('Aides'!$D$4:$D$503,13))=0,"",INDEX('Aides'!$D$4:$D$503,13))&amp;". ")&amp;IF(LEN(IF(ISNUMBER(INDEX('Aides'!$F$4:$F$503,13)),TEXT(INDEX('Aides'!$F$4:$F$503,13),"yyyy-mm-dd"),""))=0,"","Registry expiry: "&amp;IF(ISNUMBER(INDEX('Aides'!$F$4:$F$503,13)),TEXT(INDEX('Aides'!$F$4:$F$503,13),"yyyy-mm-dd"),"")&amp;". ")&amp;IF(LEN(IF(ISNUMBER(INDEX('Aides'!$G$4:$G$503,13)),TEXT(INDEX('Aides'!$G$4:$G$503,13),"yyyy-mm-dd"),""))=0,"","Last paid nursing work: "&amp;IF(ISNUMBER(INDEX('Aides'!$G$4:$G$503,13)),TEXT(INDEX('Aides'!$G$4:$G$503,13),"yyyy-mm-dd"),"")&amp;". ")&amp;IF(LEN(IF(ISNUMBER(INDEX('Aides'!$H$4:$H$503,13)),TEXT(INDEX('Aides'!$H$4:$H$503,13),"yyyy-mm-dd"),""))=0,"","24-month cut-off: "&amp;IF(ISNUMBER(INDEX('Aides'!$H$4:$H$503,13)),TEXT(INDEX('Aides'!$H$4:$H$503,13),"yyyy-mm-dd"),"")&amp;". ")&amp;IF(LEN(IF(LEN(INDEX('Aides'!$U$4:$U$503,13))=0,"",INDEX('Aides'!$U$4:$U$503,13)))=0,"","Owner: "&amp;IF(LEN(INDEX('Aides'!$U$4:$U$503,13))=0,"",INDEX('Aides'!$U$4:$U$503,13))&amp;". ")&amp;IF(LEN(IF(LEN(INDEX('Aides'!$X$4:$X$503,13))=0,"",INDEX('Aides'!$X$4:$X$503,13)))=0,"",IF(LEN(INDEX('Aides'!$X$4:$X$503,13))=0,"",INDEX('Aides'!$X$4:$X$503,13))))</f>
        <v/>
      </c>
      <c r="I16">
        <f>IF(LEN(INDEX('Aides'!$W$4:$W$503,13))=0,"",INDEX('Aides'!$W$4:$W$503,13))</f>
        <v/>
      </c>
      <c r="J16">
        <f>IF(LEN(INDEX('Aides'!$V$4:$V$503,13))=0,"",INDEX('Aides'!$V$4:$V$503,13))</f>
        <v/>
      </c>
    </row>
    <row r="17">
      <c r="A17">
        <f>IF(AND(LEN('Aides'!A17)&gt;0,ISNUMBER('Aides'!I17)),1,0)</f>
        <v/>
      </c>
      <c r="B17">
        <f>B16+A17</f>
        <v/>
      </c>
      <c r="C17">
        <f>IF(14&gt;$B$1503,"",MATCH(14-0.5,$B$3:$B$1503,1))</f>
        <v/>
      </c>
      <c r="D17">
        <f>"CNA certification ("&amp;IF(LEN(INDEX('Aides'!$C$4:$C$503,14))=0,"",INDEX('Aides'!$C$4:$C$503,14))&amp;") – "&amp;IF(LEN(INDEX('Aides'!$A$4:$A$503,14))=0,"",INDEX('Aides'!$A$4:$A$503,14))</f>
        <v/>
      </c>
      <c r="E17">
        <f>IF(ISNUMBER(INDEX('Aides'!$I$4:$I$503,14)),TEXT(INDEX('Aides'!$I$4:$I$503,14),"yyyy-mm-dd"),"")</f>
        <v/>
      </c>
      <c r="F17">
        <f>"Certification"</f>
        <v/>
      </c>
      <c r="G17">
        <f>"High"</f>
        <v/>
      </c>
      <c r="H17">
        <f>TRIM(IF(LEN(IF(LEN(INDEX('Aides'!$D$4:$D$503,14))=0,"",INDEX('Aides'!$D$4:$D$503,14)))=0,"","Registry no.: "&amp;IF(LEN(INDEX('Aides'!$D$4:$D$503,14))=0,"",INDEX('Aides'!$D$4:$D$503,14))&amp;". ")&amp;IF(LEN(IF(ISNUMBER(INDEX('Aides'!$F$4:$F$503,14)),TEXT(INDEX('Aides'!$F$4:$F$503,14),"yyyy-mm-dd"),""))=0,"","Registry expiry: "&amp;IF(ISNUMBER(INDEX('Aides'!$F$4:$F$503,14)),TEXT(INDEX('Aides'!$F$4:$F$503,14),"yyyy-mm-dd"),"")&amp;". ")&amp;IF(LEN(IF(ISNUMBER(INDEX('Aides'!$G$4:$G$503,14)),TEXT(INDEX('Aides'!$G$4:$G$503,14),"yyyy-mm-dd"),""))=0,"","Last paid nursing work: "&amp;IF(ISNUMBER(INDEX('Aides'!$G$4:$G$503,14)),TEXT(INDEX('Aides'!$G$4:$G$503,14),"yyyy-mm-dd"),"")&amp;". ")&amp;IF(LEN(IF(ISNUMBER(INDEX('Aides'!$H$4:$H$503,14)),TEXT(INDEX('Aides'!$H$4:$H$503,14),"yyyy-mm-dd"),""))=0,"","24-month cut-off: "&amp;IF(ISNUMBER(INDEX('Aides'!$H$4:$H$503,14)),TEXT(INDEX('Aides'!$H$4:$H$503,14),"yyyy-mm-dd"),"")&amp;". ")&amp;IF(LEN(IF(LEN(INDEX('Aides'!$U$4:$U$503,14))=0,"",INDEX('Aides'!$U$4:$U$503,14)))=0,"","Owner: "&amp;IF(LEN(INDEX('Aides'!$U$4:$U$503,14))=0,"",INDEX('Aides'!$U$4:$U$503,14))&amp;". ")&amp;IF(LEN(IF(LEN(INDEX('Aides'!$X$4:$X$503,14))=0,"",INDEX('Aides'!$X$4:$X$503,14)))=0,"",IF(LEN(INDEX('Aides'!$X$4:$X$503,14))=0,"",INDEX('Aides'!$X$4:$X$503,14))))</f>
        <v/>
      </c>
      <c r="I17">
        <f>IF(LEN(INDEX('Aides'!$W$4:$W$503,14))=0,"",INDEX('Aides'!$W$4:$W$503,14))</f>
        <v/>
      </c>
      <c r="J17">
        <f>IF(LEN(INDEX('Aides'!$V$4:$V$503,14))=0,"",INDEX('Aides'!$V$4:$V$503,14))</f>
        <v/>
      </c>
    </row>
    <row r="18">
      <c r="A18">
        <f>IF(AND(LEN('Aides'!A18)&gt;0,ISNUMBER('Aides'!I18)),1,0)</f>
        <v/>
      </c>
      <c r="B18">
        <f>B17+A18</f>
        <v/>
      </c>
      <c r="C18">
        <f>IF(15&gt;$B$1503,"",MATCH(15-0.5,$B$3:$B$1503,1))</f>
        <v/>
      </c>
      <c r="D18">
        <f>"CNA certification ("&amp;IF(LEN(INDEX('Aides'!$C$4:$C$503,15))=0,"",INDEX('Aides'!$C$4:$C$503,15))&amp;") – "&amp;IF(LEN(INDEX('Aides'!$A$4:$A$503,15))=0,"",INDEX('Aides'!$A$4:$A$503,15))</f>
        <v/>
      </c>
      <c r="E18">
        <f>IF(ISNUMBER(INDEX('Aides'!$I$4:$I$503,15)),TEXT(INDEX('Aides'!$I$4:$I$503,15),"yyyy-mm-dd"),"")</f>
        <v/>
      </c>
      <c r="F18">
        <f>"Certification"</f>
        <v/>
      </c>
      <c r="G18">
        <f>"High"</f>
        <v/>
      </c>
      <c r="H18">
        <f>TRIM(IF(LEN(IF(LEN(INDEX('Aides'!$D$4:$D$503,15))=0,"",INDEX('Aides'!$D$4:$D$503,15)))=0,"","Registry no.: "&amp;IF(LEN(INDEX('Aides'!$D$4:$D$503,15))=0,"",INDEX('Aides'!$D$4:$D$503,15))&amp;". ")&amp;IF(LEN(IF(ISNUMBER(INDEX('Aides'!$F$4:$F$503,15)),TEXT(INDEX('Aides'!$F$4:$F$503,15),"yyyy-mm-dd"),""))=0,"","Registry expiry: "&amp;IF(ISNUMBER(INDEX('Aides'!$F$4:$F$503,15)),TEXT(INDEX('Aides'!$F$4:$F$503,15),"yyyy-mm-dd"),"")&amp;". ")&amp;IF(LEN(IF(ISNUMBER(INDEX('Aides'!$G$4:$G$503,15)),TEXT(INDEX('Aides'!$G$4:$G$503,15),"yyyy-mm-dd"),""))=0,"","Last paid nursing work: "&amp;IF(ISNUMBER(INDEX('Aides'!$G$4:$G$503,15)),TEXT(INDEX('Aides'!$G$4:$G$503,15),"yyyy-mm-dd"),"")&amp;". ")&amp;IF(LEN(IF(ISNUMBER(INDEX('Aides'!$H$4:$H$503,15)),TEXT(INDEX('Aides'!$H$4:$H$503,15),"yyyy-mm-dd"),""))=0,"","24-month cut-off: "&amp;IF(ISNUMBER(INDEX('Aides'!$H$4:$H$503,15)),TEXT(INDEX('Aides'!$H$4:$H$503,15),"yyyy-mm-dd"),"")&amp;". ")&amp;IF(LEN(IF(LEN(INDEX('Aides'!$U$4:$U$503,15))=0,"",INDEX('Aides'!$U$4:$U$503,15)))=0,"","Owner: "&amp;IF(LEN(INDEX('Aides'!$U$4:$U$503,15))=0,"",INDEX('Aides'!$U$4:$U$503,15))&amp;". ")&amp;IF(LEN(IF(LEN(INDEX('Aides'!$X$4:$X$503,15))=0,"",INDEX('Aides'!$X$4:$X$503,15)))=0,"",IF(LEN(INDEX('Aides'!$X$4:$X$503,15))=0,"",INDEX('Aides'!$X$4:$X$503,15))))</f>
        <v/>
      </c>
      <c r="I18">
        <f>IF(LEN(INDEX('Aides'!$W$4:$W$503,15))=0,"",INDEX('Aides'!$W$4:$W$503,15))</f>
        <v/>
      </c>
      <c r="J18">
        <f>IF(LEN(INDEX('Aides'!$V$4:$V$503,15))=0,"",INDEX('Aides'!$V$4:$V$503,15))</f>
        <v/>
      </c>
    </row>
    <row r="19">
      <c r="A19">
        <f>IF(AND(LEN('Aides'!A19)&gt;0,ISNUMBER('Aides'!I19)),1,0)</f>
        <v/>
      </c>
      <c r="B19">
        <f>B18+A19</f>
        <v/>
      </c>
      <c r="C19">
        <f>IF(16&gt;$B$1503,"",MATCH(16-0.5,$B$3:$B$1503,1))</f>
        <v/>
      </c>
      <c r="D19">
        <f>"CNA certification ("&amp;IF(LEN(INDEX('Aides'!$C$4:$C$503,16))=0,"",INDEX('Aides'!$C$4:$C$503,16))&amp;") – "&amp;IF(LEN(INDEX('Aides'!$A$4:$A$503,16))=0,"",INDEX('Aides'!$A$4:$A$503,16))</f>
        <v/>
      </c>
      <c r="E19">
        <f>IF(ISNUMBER(INDEX('Aides'!$I$4:$I$503,16)),TEXT(INDEX('Aides'!$I$4:$I$503,16),"yyyy-mm-dd"),"")</f>
        <v/>
      </c>
      <c r="F19">
        <f>"Certification"</f>
        <v/>
      </c>
      <c r="G19">
        <f>"High"</f>
        <v/>
      </c>
      <c r="H19">
        <f>TRIM(IF(LEN(IF(LEN(INDEX('Aides'!$D$4:$D$503,16))=0,"",INDEX('Aides'!$D$4:$D$503,16)))=0,"","Registry no.: "&amp;IF(LEN(INDEX('Aides'!$D$4:$D$503,16))=0,"",INDEX('Aides'!$D$4:$D$503,16))&amp;". ")&amp;IF(LEN(IF(ISNUMBER(INDEX('Aides'!$F$4:$F$503,16)),TEXT(INDEX('Aides'!$F$4:$F$503,16),"yyyy-mm-dd"),""))=0,"","Registry expiry: "&amp;IF(ISNUMBER(INDEX('Aides'!$F$4:$F$503,16)),TEXT(INDEX('Aides'!$F$4:$F$503,16),"yyyy-mm-dd"),"")&amp;". ")&amp;IF(LEN(IF(ISNUMBER(INDEX('Aides'!$G$4:$G$503,16)),TEXT(INDEX('Aides'!$G$4:$G$503,16),"yyyy-mm-dd"),""))=0,"","Last paid nursing work: "&amp;IF(ISNUMBER(INDEX('Aides'!$G$4:$G$503,16)),TEXT(INDEX('Aides'!$G$4:$G$503,16),"yyyy-mm-dd"),"")&amp;". ")&amp;IF(LEN(IF(ISNUMBER(INDEX('Aides'!$H$4:$H$503,16)),TEXT(INDEX('Aides'!$H$4:$H$503,16),"yyyy-mm-dd"),""))=0,"","24-month cut-off: "&amp;IF(ISNUMBER(INDEX('Aides'!$H$4:$H$503,16)),TEXT(INDEX('Aides'!$H$4:$H$503,16),"yyyy-mm-dd"),"")&amp;". ")&amp;IF(LEN(IF(LEN(INDEX('Aides'!$U$4:$U$503,16))=0,"",INDEX('Aides'!$U$4:$U$503,16)))=0,"","Owner: "&amp;IF(LEN(INDEX('Aides'!$U$4:$U$503,16))=0,"",INDEX('Aides'!$U$4:$U$503,16))&amp;". ")&amp;IF(LEN(IF(LEN(INDEX('Aides'!$X$4:$X$503,16))=0,"",INDEX('Aides'!$X$4:$X$503,16)))=0,"",IF(LEN(INDEX('Aides'!$X$4:$X$503,16))=0,"",INDEX('Aides'!$X$4:$X$503,16))))</f>
        <v/>
      </c>
      <c r="I19">
        <f>IF(LEN(INDEX('Aides'!$W$4:$W$503,16))=0,"",INDEX('Aides'!$W$4:$W$503,16))</f>
        <v/>
      </c>
      <c r="J19">
        <f>IF(LEN(INDEX('Aides'!$V$4:$V$503,16))=0,"",INDEX('Aides'!$V$4:$V$503,16))</f>
        <v/>
      </c>
    </row>
    <row r="20">
      <c r="A20">
        <f>IF(AND(LEN('Aides'!A20)&gt;0,ISNUMBER('Aides'!I20)),1,0)</f>
        <v/>
      </c>
      <c r="B20">
        <f>B19+A20</f>
        <v/>
      </c>
      <c r="C20">
        <f>IF(17&gt;$B$1503,"",MATCH(17-0.5,$B$3:$B$1503,1))</f>
        <v/>
      </c>
      <c r="D20">
        <f>"CNA certification ("&amp;IF(LEN(INDEX('Aides'!$C$4:$C$503,17))=0,"",INDEX('Aides'!$C$4:$C$503,17))&amp;") – "&amp;IF(LEN(INDEX('Aides'!$A$4:$A$503,17))=0,"",INDEX('Aides'!$A$4:$A$503,17))</f>
        <v/>
      </c>
      <c r="E20">
        <f>IF(ISNUMBER(INDEX('Aides'!$I$4:$I$503,17)),TEXT(INDEX('Aides'!$I$4:$I$503,17),"yyyy-mm-dd"),"")</f>
        <v/>
      </c>
      <c r="F20">
        <f>"Certification"</f>
        <v/>
      </c>
      <c r="G20">
        <f>"High"</f>
        <v/>
      </c>
      <c r="H20">
        <f>TRIM(IF(LEN(IF(LEN(INDEX('Aides'!$D$4:$D$503,17))=0,"",INDEX('Aides'!$D$4:$D$503,17)))=0,"","Registry no.: "&amp;IF(LEN(INDEX('Aides'!$D$4:$D$503,17))=0,"",INDEX('Aides'!$D$4:$D$503,17))&amp;". ")&amp;IF(LEN(IF(ISNUMBER(INDEX('Aides'!$F$4:$F$503,17)),TEXT(INDEX('Aides'!$F$4:$F$503,17),"yyyy-mm-dd"),""))=0,"","Registry expiry: "&amp;IF(ISNUMBER(INDEX('Aides'!$F$4:$F$503,17)),TEXT(INDEX('Aides'!$F$4:$F$503,17),"yyyy-mm-dd"),"")&amp;". ")&amp;IF(LEN(IF(ISNUMBER(INDEX('Aides'!$G$4:$G$503,17)),TEXT(INDEX('Aides'!$G$4:$G$503,17),"yyyy-mm-dd"),""))=0,"","Last paid nursing work: "&amp;IF(ISNUMBER(INDEX('Aides'!$G$4:$G$503,17)),TEXT(INDEX('Aides'!$G$4:$G$503,17),"yyyy-mm-dd"),"")&amp;". ")&amp;IF(LEN(IF(ISNUMBER(INDEX('Aides'!$H$4:$H$503,17)),TEXT(INDEX('Aides'!$H$4:$H$503,17),"yyyy-mm-dd"),""))=0,"","24-month cut-off: "&amp;IF(ISNUMBER(INDEX('Aides'!$H$4:$H$503,17)),TEXT(INDEX('Aides'!$H$4:$H$503,17),"yyyy-mm-dd"),"")&amp;". ")&amp;IF(LEN(IF(LEN(INDEX('Aides'!$U$4:$U$503,17))=0,"",INDEX('Aides'!$U$4:$U$503,17)))=0,"","Owner: "&amp;IF(LEN(INDEX('Aides'!$U$4:$U$503,17))=0,"",INDEX('Aides'!$U$4:$U$503,17))&amp;". ")&amp;IF(LEN(IF(LEN(INDEX('Aides'!$X$4:$X$503,17))=0,"",INDEX('Aides'!$X$4:$X$503,17)))=0,"",IF(LEN(INDEX('Aides'!$X$4:$X$503,17))=0,"",INDEX('Aides'!$X$4:$X$503,17))))</f>
        <v/>
      </c>
      <c r="I20">
        <f>IF(LEN(INDEX('Aides'!$W$4:$W$503,17))=0,"",INDEX('Aides'!$W$4:$W$503,17))</f>
        <v/>
      </c>
      <c r="J20">
        <f>IF(LEN(INDEX('Aides'!$V$4:$V$503,17))=0,"",INDEX('Aides'!$V$4:$V$503,17))</f>
        <v/>
      </c>
    </row>
    <row r="21">
      <c r="A21">
        <f>IF(AND(LEN('Aides'!A21)&gt;0,ISNUMBER('Aides'!I21)),1,0)</f>
        <v/>
      </c>
      <c r="B21">
        <f>B20+A21</f>
        <v/>
      </c>
      <c r="C21">
        <f>IF(18&gt;$B$1503,"",MATCH(18-0.5,$B$3:$B$1503,1))</f>
        <v/>
      </c>
      <c r="D21">
        <f>"CNA certification ("&amp;IF(LEN(INDEX('Aides'!$C$4:$C$503,18))=0,"",INDEX('Aides'!$C$4:$C$503,18))&amp;") – "&amp;IF(LEN(INDEX('Aides'!$A$4:$A$503,18))=0,"",INDEX('Aides'!$A$4:$A$503,18))</f>
        <v/>
      </c>
      <c r="E21">
        <f>IF(ISNUMBER(INDEX('Aides'!$I$4:$I$503,18)),TEXT(INDEX('Aides'!$I$4:$I$503,18),"yyyy-mm-dd"),"")</f>
        <v/>
      </c>
      <c r="F21">
        <f>"Certification"</f>
        <v/>
      </c>
      <c r="G21">
        <f>"High"</f>
        <v/>
      </c>
      <c r="H21">
        <f>TRIM(IF(LEN(IF(LEN(INDEX('Aides'!$D$4:$D$503,18))=0,"",INDEX('Aides'!$D$4:$D$503,18)))=0,"","Registry no.: "&amp;IF(LEN(INDEX('Aides'!$D$4:$D$503,18))=0,"",INDEX('Aides'!$D$4:$D$503,18))&amp;". ")&amp;IF(LEN(IF(ISNUMBER(INDEX('Aides'!$F$4:$F$503,18)),TEXT(INDEX('Aides'!$F$4:$F$503,18),"yyyy-mm-dd"),""))=0,"","Registry expiry: "&amp;IF(ISNUMBER(INDEX('Aides'!$F$4:$F$503,18)),TEXT(INDEX('Aides'!$F$4:$F$503,18),"yyyy-mm-dd"),"")&amp;". ")&amp;IF(LEN(IF(ISNUMBER(INDEX('Aides'!$G$4:$G$503,18)),TEXT(INDEX('Aides'!$G$4:$G$503,18),"yyyy-mm-dd"),""))=0,"","Last paid nursing work: "&amp;IF(ISNUMBER(INDEX('Aides'!$G$4:$G$503,18)),TEXT(INDEX('Aides'!$G$4:$G$503,18),"yyyy-mm-dd"),"")&amp;". ")&amp;IF(LEN(IF(ISNUMBER(INDEX('Aides'!$H$4:$H$503,18)),TEXT(INDEX('Aides'!$H$4:$H$503,18),"yyyy-mm-dd"),""))=0,"","24-month cut-off: "&amp;IF(ISNUMBER(INDEX('Aides'!$H$4:$H$503,18)),TEXT(INDEX('Aides'!$H$4:$H$503,18),"yyyy-mm-dd"),"")&amp;". ")&amp;IF(LEN(IF(LEN(INDEX('Aides'!$U$4:$U$503,18))=0,"",INDEX('Aides'!$U$4:$U$503,18)))=0,"","Owner: "&amp;IF(LEN(INDEX('Aides'!$U$4:$U$503,18))=0,"",INDEX('Aides'!$U$4:$U$503,18))&amp;". ")&amp;IF(LEN(IF(LEN(INDEX('Aides'!$X$4:$X$503,18))=0,"",INDEX('Aides'!$X$4:$X$503,18)))=0,"",IF(LEN(INDEX('Aides'!$X$4:$X$503,18))=0,"",INDEX('Aides'!$X$4:$X$503,18))))</f>
        <v/>
      </c>
      <c r="I21">
        <f>IF(LEN(INDEX('Aides'!$W$4:$W$503,18))=0,"",INDEX('Aides'!$W$4:$W$503,18))</f>
        <v/>
      </c>
      <c r="J21">
        <f>IF(LEN(INDEX('Aides'!$V$4:$V$503,18))=0,"",INDEX('Aides'!$V$4:$V$503,18))</f>
        <v/>
      </c>
    </row>
    <row r="22">
      <c r="A22">
        <f>IF(AND(LEN('Aides'!A22)&gt;0,ISNUMBER('Aides'!I22)),1,0)</f>
        <v/>
      </c>
      <c r="B22">
        <f>B21+A22</f>
        <v/>
      </c>
      <c r="C22">
        <f>IF(19&gt;$B$1503,"",MATCH(19-0.5,$B$3:$B$1503,1))</f>
        <v/>
      </c>
      <c r="D22">
        <f>"CNA certification ("&amp;IF(LEN(INDEX('Aides'!$C$4:$C$503,19))=0,"",INDEX('Aides'!$C$4:$C$503,19))&amp;") – "&amp;IF(LEN(INDEX('Aides'!$A$4:$A$503,19))=0,"",INDEX('Aides'!$A$4:$A$503,19))</f>
        <v/>
      </c>
      <c r="E22">
        <f>IF(ISNUMBER(INDEX('Aides'!$I$4:$I$503,19)),TEXT(INDEX('Aides'!$I$4:$I$503,19),"yyyy-mm-dd"),"")</f>
        <v/>
      </c>
      <c r="F22">
        <f>"Certification"</f>
        <v/>
      </c>
      <c r="G22">
        <f>"High"</f>
        <v/>
      </c>
      <c r="H22">
        <f>TRIM(IF(LEN(IF(LEN(INDEX('Aides'!$D$4:$D$503,19))=0,"",INDEX('Aides'!$D$4:$D$503,19)))=0,"","Registry no.: "&amp;IF(LEN(INDEX('Aides'!$D$4:$D$503,19))=0,"",INDEX('Aides'!$D$4:$D$503,19))&amp;". ")&amp;IF(LEN(IF(ISNUMBER(INDEX('Aides'!$F$4:$F$503,19)),TEXT(INDEX('Aides'!$F$4:$F$503,19),"yyyy-mm-dd"),""))=0,"","Registry expiry: "&amp;IF(ISNUMBER(INDEX('Aides'!$F$4:$F$503,19)),TEXT(INDEX('Aides'!$F$4:$F$503,19),"yyyy-mm-dd"),"")&amp;". ")&amp;IF(LEN(IF(ISNUMBER(INDEX('Aides'!$G$4:$G$503,19)),TEXT(INDEX('Aides'!$G$4:$G$503,19),"yyyy-mm-dd"),""))=0,"","Last paid nursing work: "&amp;IF(ISNUMBER(INDEX('Aides'!$G$4:$G$503,19)),TEXT(INDEX('Aides'!$G$4:$G$503,19),"yyyy-mm-dd"),"")&amp;". ")&amp;IF(LEN(IF(ISNUMBER(INDEX('Aides'!$H$4:$H$503,19)),TEXT(INDEX('Aides'!$H$4:$H$503,19),"yyyy-mm-dd"),""))=0,"","24-month cut-off: "&amp;IF(ISNUMBER(INDEX('Aides'!$H$4:$H$503,19)),TEXT(INDEX('Aides'!$H$4:$H$503,19),"yyyy-mm-dd"),"")&amp;". ")&amp;IF(LEN(IF(LEN(INDEX('Aides'!$U$4:$U$503,19))=0,"",INDEX('Aides'!$U$4:$U$503,19)))=0,"","Owner: "&amp;IF(LEN(INDEX('Aides'!$U$4:$U$503,19))=0,"",INDEX('Aides'!$U$4:$U$503,19))&amp;". ")&amp;IF(LEN(IF(LEN(INDEX('Aides'!$X$4:$X$503,19))=0,"",INDEX('Aides'!$X$4:$X$503,19)))=0,"",IF(LEN(INDEX('Aides'!$X$4:$X$503,19))=0,"",INDEX('Aides'!$X$4:$X$503,19))))</f>
        <v/>
      </c>
      <c r="I22">
        <f>IF(LEN(INDEX('Aides'!$W$4:$W$503,19))=0,"",INDEX('Aides'!$W$4:$W$503,19))</f>
        <v/>
      </c>
      <c r="J22">
        <f>IF(LEN(INDEX('Aides'!$V$4:$V$503,19))=0,"",INDEX('Aides'!$V$4:$V$503,19))</f>
        <v/>
      </c>
    </row>
    <row r="23">
      <c r="A23">
        <f>IF(AND(LEN('Aides'!A23)&gt;0,ISNUMBER('Aides'!I23)),1,0)</f>
        <v/>
      </c>
      <c r="B23">
        <f>B22+A23</f>
        <v/>
      </c>
      <c r="C23">
        <f>IF(20&gt;$B$1503,"",MATCH(20-0.5,$B$3:$B$1503,1))</f>
        <v/>
      </c>
      <c r="D23">
        <f>"CNA certification ("&amp;IF(LEN(INDEX('Aides'!$C$4:$C$503,20))=0,"",INDEX('Aides'!$C$4:$C$503,20))&amp;") – "&amp;IF(LEN(INDEX('Aides'!$A$4:$A$503,20))=0,"",INDEX('Aides'!$A$4:$A$503,20))</f>
        <v/>
      </c>
      <c r="E23">
        <f>IF(ISNUMBER(INDEX('Aides'!$I$4:$I$503,20)),TEXT(INDEX('Aides'!$I$4:$I$503,20),"yyyy-mm-dd"),"")</f>
        <v/>
      </c>
      <c r="F23">
        <f>"Certification"</f>
        <v/>
      </c>
      <c r="G23">
        <f>"High"</f>
        <v/>
      </c>
      <c r="H23">
        <f>TRIM(IF(LEN(IF(LEN(INDEX('Aides'!$D$4:$D$503,20))=0,"",INDEX('Aides'!$D$4:$D$503,20)))=0,"","Registry no.: "&amp;IF(LEN(INDEX('Aides'!$D$4:$D$503,20))=0,"",INDEX('Aides'!$D$4:$D$503,20))&amp;". ")&amp;IF(LEN(IF(ISNUMBER(INDEX('Aides'!$F$4:$F$503,20)),TEXT(INDEX('Aides'!$F$4:$F$503,20),"yyyy-mm-dd"),""))=0,"","Registry expiry: "&amp;IF(ISNUMBER(INDEX('Aides'!$F$4:$F$503,20)),TEXT(INDEX('Aides'!$F$4:$F$503,20),"yyyy-mm-dd"),"")&amp;". ")&amp;IF(LEN(IF(ISNUMBER(INDEX('Aides'!$G$4:$G$503,20)),TEXT(INDEX('Aides'!$G$4:$G$503,20),"yyyy-mm-dd"),""))=0,"","Last paid nursing work: "&amp;IF(ISNUMBER(INDEX('Aides'!$G$4:$G$503,20)),TEXT(INDEX('Aides'!$G$4:$G$503,20),"yyyy-mm-dd"),"")&amp;". ")&amp;IF(LEN(IF(ISNUMBER(INDEX('Aides'!$H$4:$H$503,20)),TEXT(INDEX('Aides'!$H$4:$H$503,20),"yyyy-mm-dd"),""))=0,"","24-month cut-off: "&amp;IF(ISNUMBER(INDEX('Aides'!$H$4:$H$503,20)),TEXT(INDEX('Aides'!$H$4:$H$503,20),"yyyy-mm-dd"),"")&amp;". ")&amp;IF(LEN(IF(LEN(INDEX('Aides'!$U$4:$U$503,20))=0,"",INDEX('Aides'!$U$4:$U$503,20)))=0,"","Owner: "&amp;IF(LEN(INDEX('Aides'!$U$4:$U$503,20))=0,"",INDEX('Aides'!$U$4:$U$503,20))&amp;". ")&amp;IF(LEN(IF(LEN(INDEX('Aides'!$X$4:$X$503,20))=0,"",INDEX('Aides'!$X$4:$X$503,20)))=0,"",IF(LEN(INDEX('Aides'!$X$4:$X$503,20))=0,"",INDEX('Aides'!$X$4:$X$503,20))))</f>
        <v/>
      </c>
      <c r="I23">
        <f>IF(LEN(INDEX('Aides'!$W$4:$W$503,20))=0,"",INDEX('Aides'!$W$4:$W$503,20))</f>
        <v/>
      </c>
      <c r="J23">
        <f>IF(LEN(INDEX('Aides'!$V$4:$V$503,20))=0,"",INDEX('Aides'!$V$4:$V$503,20))</f>
        <v/>
      </c>
    </row>
    <row r="24">
      <c r="A24">
        <f>IF(AND(LEN('Aides'!A24)&gt;0,ISNUMBER('Aides'!I24)),1,0)</f>
        <v/>
      </c>
      <c r="B24">
        <f>B23+A24</f>
        <v/>
      </c>
      <c r="C24">
        <f>IF(21&gt;$B$1503,"",MATCH(21-0.5,$B$3:$B$1503,1))</f>
        <v/>
      </c>
      <c r="D24">
        <f>"CNA certification ("&amp;IF(LEN(INDEX('Aides'!$C$4:$C$503,21))=0,"",INDEX('Aides'!$C$4:$C$503,21))&amp;") – "&amp;IF(LEN(INDEX('Aides'!$A$4:$A$503,21))=0,"",INDEX('Aides'!$A$4:$A$503,21))</f>
        <v/>
      </c>
      <c r="E24">
        <f>IF(ISNUMBER(INDEX('Aides'!$I$4:$I$503,21)),TEXT(INDEX('Aides'!$I$4:$I$503,21),"yyyy-mm-dd"),"")</f>
        <v/>
      </c>
      <c r="F24">
        <f>"Certification"</f>
        <v/>
      </c>
      <c r="G24">
        <f>"High"</f>
        <v/>
      </c>
      <c r="H24">
        <f>TRIM(IF(LEN(IF(LEN(INDEX('Aides'!$D$4:$D$503,21))=0,"",INDEX('Aides'!$D$4:$D$503,21)))=0,"","Registry no.: "&amp;IF(LEN(INDEX('Aides'!$D$4:$D$503,21))=0,"",INDEX('Aides'!$D$4:$D$503,21))&amp;". ")&amp;IF(LEN(IF(ISNUMBER(INDEX('Aides'!$F$4:$F$503,21)),TEXT(INDEX('Aides'!$F$4:$F$503,21),"yyyy-mm-dd"),""))=0,"","Registry expiry: "&amp;IF(ISNUMBER(INDEX('Aides'!$F$4:$F$503,21)),TEXT(INDEX('Aides'!$F$4:$F$503,21),"yyyy-mm-dd"),"")&amp;". ")&amp;IF(LEN(IF(ISNUMBER(INDEX('Aides'!$G$4:$G$503,21)),TEXT(INDEX('Aides'!$G$4:$G$503,21),"yyyy-mm-dd"),""))=0,"","Last paid nursing work: "&amp;IF(ISNUMBER(INDEX('Aides'!$G$4:$G$503,21)),TEXT(INDEX('Aides'!$G$4:$G$503,21),"yyyy-mm-dd"),"")&amp;". ")&amp;IF(LEN(IF(ISNUMBER(INDEX('Aides'!$H$4:$H$503,21)),TEXT(INDEX('Aides'!$H$4:$H$503,21),"yyyy-mm-dd"),""))=0,"","24-month cut-off: "&amp;IF(ISNUMBER(INDEX('Aides'!$H$4:$H$503,21)),TEXT(INDEX('Aides'!$H$4:$H$503,21),"yyyy-mm-dd"),"")&amp;". ")&amp;IF(LEN(IF(LEN(INDEX('Aides'!$U$4:$U$503,21))=0,"",INDEX('Aides'!$U$4:$U$503,21)))=0,"","Owner: "&amp;IF(LEN(INDEX('Aides'!$U$4:$U$503,21))=0,"",INDEX('Aides'!$U$4:$U$503,21))&amp;". ")&amp;IF(LEN(IF(LEN(INDEX('Aides'!$X$4:$X$503,21))=0,"",INDEX('Aides'!$X$4:$X$503,21)))=0,"",IF(LEN(INDEX('Aides'!$X$4:$X$503,21))=0,"",INDEX('Aides'!$X$4:$X$503,21))))</f>
        <v/>
      </c>
      <c r="I24">
        <f>IF(LEN(INDEX('Aides'!$W$4:$W$503,21))=0,"",INDEX('Aides'!$W$4:$W$503,21))</f>
        <v/>
      </c>
      <c r="J24">
        <f>IF(LEN(INDEX('Aides'!$V$4:$V$503,21))=0,"",INDEX('Aides'!$V$4:$V$503,21))</f>
        <v/>
      </c>
    </row>
    <row r="25">
      <c r="A25">
        <f>IF(AND(LEN('Aides'!A25)&gt;0,ISNUMBER('Aides'!I25)),1,0)</f>
        <v/>
      </c>
      <c r="B25">
        <f>B24+A25</f>
        <v/>
      </c>
      <c r="C25">
        <f>IF(22&gt;$B$1503,"",MATCH(22-0.5,$B$3:$B$1503,1))</f>
        <v/>
      </c>
      <c r="D25">
        <f>"CNA certification ("&amp;IF(LEN(INDEX('Aides'!$C$4:$C$503,22))=0,"",INDEX('Aides'!$C$4:$C$503,22))&amp;") – "&amp;IF(LEN(INDEX('Aides'!$A$4:$A$503,22))=0,"",INDEX('Aides'!$A$4:$A$503,22))</f>
        <v/>
      </c>
      <c r="E25">
        <f>IF(ISNUMBER(INDEX('Aides'!$I$4:$I$503,22)),TEXT(INDEX('Aides'!$I$4:$I$503,22),"yyyy-mm-dd"),"")</f>
        <v/>
      </c>
      <c r="F25">
        <f>"Certification"</f>
        <v/>
      </c>
      <c r="G25">
        <f>"High"</f>
        <v/>
      </c>
      <c r="H25">
        <f>TRIM(IF(LEN(IF(LEN(INDEX('Aides'!$D$4:$D$503,22))=0,"",INDEX('Aides'!$D$4:$D$503,22)))=0,"","Registry no.: "&amp;IF(LEN(INDEX('Aides'!$D$4:$D$503,22))=0,"",INDEX('Aides'!$D$4:$D$503,22))&amp;". ")&amp;IF(LEN(IF(ISNUMBER(INDEX('Aides'!$F$4:$F$503,22)),TEXT(INDEX('Aides'!$F$4:$F$503,22),"yyyy-mm-dd"),""))=0,"","Registry expiry: "&amp;IF(ISNUMBER(INDEX('Aides'!$F$4:$F$503,22)),TEXT(INDEX('Aides'!$F$4:$F$503,22),"yyyy-mm-dd"),"")&amp;". ")&amp;IF(LEN(IF(ISNUMBER(INDEX('Aides'!$G$4:$G$503,22)),TEXT(INDEX('Aides'!$G$4:$G$503,22),"yyyy-mm-dd"),""))=0,"","Last paid nursing work: "&amp;IF(ISNUMBER(INDEX('Aides'!$G$4:$G$503,22)),TEXT(INDEX('Aides'!$G$4:$G$503,22),"yyyy-mm-dd"),"")&amp;". ")&amp;IF(LEN(IF(ISNUMBER(INDEX('Aides'!$H$4:$H$503,22)),TEXT(INDEX('Aides'!$H$4:$H$503,22),"yyyy-mm-dd"),""))=0,"","24-month cut-off: "&amp;IF(ISNUMBER(INDEX('Aides'!$H$4:$H$503,22)),TEXT(INDEX('Aides'!$H$4:$H$503,22),"yyyy-mm-dd"),"")&amp;". ")&amp;IF(LEN(IF(LEN(INDEX('Aides'!$U$4:$U$503,22))=0,"",INDEX('Aides'!$U$4:$U$503,22)))=0,"","Owner: "&amp;IF(LEN(INDEX('Aides'!$U$4:$U$503,22))=0,"",INDEX('Aides'!$U$4:$U$503,22))&amp;". ")&amp;IF(LEN(IF(LEN(INDEX('Aides'!$X$4:$X$503,22))=0,"",INDEX('Aides'!$X$4:$X$503,22)))=0,"",IF(LEN(INDEX('Aides'!$X$4:$X$503,22))=0,"",INDEX('Aides'!$X$4:$X$503,22))))</f>
        <v/>
      </c>
      <c r="I25">
        <f>IF(LEN(INDEX('Aides'!$W$4:$W$503,22))=0,"",INDEX('Aides'!$W$4:$W$503,22))</f>
        <v/>
      </c>
      <c r="J25">
        <f>IF(LEN(INDEX('Aides'!$V$4:$V$503,22))=0,"",INDEX('Aides'!$V$4:$V$503,22))</f>
        <v/>
      </c>
    </row>
    <row r="26">
      <c r="A26">
        <f>IF(AND(LEN('Aides'!A26)&gt;0,ISNUMBER('Aides'!I26)),1,0)</f>
        <v/>
      </c>
      <c r="B26">
        <f>B25+A26</f>
        <v/>
      </c>
      <c r="C26">
        <f>IF(23&gt;$B$1503,"",MATCH(23-0.5,$B$3:$B$1503,1))</f>
        <v/>
      </c>
      <c r="D26">
        <f>"CNA certification ("&amp;IF(LEN(INDEX('Aides'!$C$4:$C$503,23))=0,"",INDEX('Aides'!$C$4:$C$503,23))&amp;") – "&amp;IF(LEN(INDEX('Aides'!$A$4:$A$503,23))=0,"",INDEX('Aides'!$A$4:$A$503,23))</f>
        <v/>
      </c>
      <c r="E26">
        <f>IF(ISNUMBER(INDEX('Aides'!$I$4:$I$503,23)),TEXT(INDEX('Aides'!$I$4:$I$503,23),"yyyy-mm-dd"),"")</f>
        <v/>
      </c>
      <c r="F26">
        <f>"Certification"</f>
        <v/>
      </c>
      <c r="G26">
        <f>"High"</f>
        <v/>
      </c>
      <c r="H26">
        <f>TRIM(IF(LEN(IF(LEN(INDEX('Aides'!$D$4:$D$503,23))=0,"",INDEX('Aides'!$D$4:$D$503,23)))=0,"","Registry no.: "&amp;IF(LEN(INDEX('Aides'!$D$4:$D$503,23))=0,"",INDEX('Aides'!$D$4:$D$503,23))&amp;". ")&amp;IF(LEN(IF(ISNUMBER(INDEX('Aides'!$F$4:$F$503,23)),TEXT(INDEX('Aides'!$F$4:$F$503,23),"yyyy-mm-dd"),""))=0,"","Registry expiry: "&amp;IF(ISNUMBER(INDEX('Aides'!$F$4:$F$503,23)),TEXT(INDEX('Aides'!$F$4:$F$503,23),"yyyy-mm-dd"),"")&amp;". ")&amp;IF(LEN(IF(ISNUMBER(INDEX('Aides'!$G$4:$G$503,23)),TEXT(INDEX('Aides'!$G$4:$G$503,23),"yyyy-mm-dd"),""))=0,"","Last paid nursing work: "&amp;IF(ISNUMBER(INDEX('Aides'!$G$4:$G$503,23)),TEXT(INDEX('Aides'!$G$4:$G$503,23),"yyyy-mm-dd"),"")&amp;". ")&amp;IF(LEN(IF(ISNUMBER(INDEX('Aides'!$H$4:$H$503,23)),TEXT(INDEX('Aides'!$H$4:$H$503,23),"yyyy-mm-dd"),""))=0,"","24-month cut-off: "&amp;IF(ISNUMBER(INDEX('Aides'!$H$4:$H$503,23)),TEXT(INDEX('Aides'!$H$4:$H$503,23),"yyyy-mm-dd"),"")&amp;". ")&amp;IF(LEN(IF(LEN(INDEX('Aides'!$U$4:$U$503,23))=0,"",INDEX('Aides'!$U$4:$U$503,23)))=0,"","Owner: "&amp;IF(LEN(INDEX('Aides'!$U$4:$U$503,23))=0,"",INDEX('Aides'!$U$4:$U$503,23))&amp;". ")&amp;IF(LEN(IF(LEN(INDEX('Aides'!$X$4:$X$503,23))=0,"",INDEX('Aides'!$X$4:$X$503,23)))=0,"",IF(LEN(INDEX('Aides'!$X$4:$X$503,23))=0,"",INDEX('Aides'!$X$4:$X$503,23))))</f>
        <v/>
      </c>
      <c r="I26">
        <f>IF(LEN(INDEX('Aides'!$W$4:$W$503,23))=0,"",INDEX('Aides'!$W$4:$W$503,23))</f>
        <v/>
      </c>
      <c r="J26">
        <f>IF(LEN(INDEX('Aides'!$V$4:$V$503,23))=0,"",INDEX('Aides'!$V$4:$V$503,23))</f>
        <v/>
      </c>
    </row>
    <row r="27">
      <c r="A27">
        <f>IF(AND(LEN('Aides'!A27)&gt;0,ISNUMBER('Aides'!I27)),1,0)</f>
        <v/>
      </c>
      <c r="B27">
        <f>B26+A27</f>
        <v/>
      </c>
      <c r="C27">
        <f>IF(24&gt;$B$1503,"",MATCH(24-0.5,$B$3:$B$1503,1))</f>
        <v/>
      </c>
      <c r="D27">
        <f>"CNA certification ("&amp;IF(LEN(INDEX('Aides'!$C$4:$C$503,24))=0,"",INDEX('Aides'!$C$4:$C$503,24))&amp;") – "&amp;IF(LEN(INDEX('Aides'!$A$4:$A$503,24))=0,"",INDEX('Aides'!$A$4:$A$503,24))</f>
        <v/>
      </c>
      <c r="E27">
        <f>IF(ISNUMBER(INDEX('Aides'!$I$4:$I$503,24)),TEXT(INDEX('Aides'!$I$4:$I$503,24),"yyyy-mm-dd"),"")</f>
        <v/>
      </c>
      <c r="F27">
        <f>"Certification"</f>
        <v/>
      </c>
      <c r="G27">
        <f>"High"</f>
        <v/>
      </c>
      <c r="H27">
        <f>TRIM(IF(LEN(IF(LEN(INDEX('Aides'!$D$4:$D$503,24))=0,"",INDEX('Aides'!$D$4:$D$503,24)))=0,"","Registry no.: "&amp;IF(LEN(INDEX('Aides'!$D$4:$D$503,24))=0,"",INDEX('Aides'!$D$4:$D$503,24))&amp;". ")&amp;IF(LEN(IF(ISNUMBER(INDEX('Aides'!$F$4:$F$503,24)),TEXT(INDEX('Aides'!$F$4:$F$503,24),"yyyy-mm-dd"),""))=0,"","Registry expiry: "&amp;IF(ISNUMBER(INDEX('Aides'!$F$4:$F$503,24)),TEXT(INDEX('Aides'!$F$4:$F$503,24),"yyyy-mm-dd"),"")&amp;". ")&amp;IF(LEN(IF(ISNUMBER(INDEX('Aides'!$G$4:$G$503,24)),TEXT(INDEX('Aides'!$G$4:$G$503,24),"yyyy-mm-dd"),""))=0,"","Last paid nursing work: "&amp;IF(ISNUMBER(INDEX('Aides'!$G$4:$G$503,24)),TEXT(INDEX('Aides'!$G$4:$G$503,24),"yyyy-mm-dd"),"")&amp;". ")&amp;IF(LEN(IF(ISNUMBER(INDEX('Aides'!$H$4:$H$503,24)),TEXT(INDEX('Aides'!$H$4:$H$503,24),"yyyy-mm-dd"),""))=0,"","24-month cut-off: "&amp;IF(ISNUMBER(INDEX('Aides'!$H$4:$H$503,24)),TEXT(INDEX('Aides'!$H$4:$H$503,24),"yyyy-mm-dd"),"")&amp;". ")&amp;IF(LEN(IF(LEN(INDEX('Aides'!$U$4:$U$503,24))=0,"",INDEX('Aides'!$U$4:$U$503,24)))=0,"","Owner: "&amp;IF(LEN(INDEX('Aides'!$U$4:$U$503,24))=0,"",INDEX('Aides'!$U$4:$U$503,24))&amp;". ")&amp;IF(LEN(IF(LEN(INDEX('Aides'!$X$4:$X$503,24))=0,"",INDEX('Aides'!$X$4:$X$503,24)))=0,"",IF(LEN(INDEX('Aides'!$X$4:$X$503,24))=0,"",INDEX('Aides'!$X$4:$X$503,24))))</f>
        <v/>
      </c>
      <c r="I27">
        <f>IF(LEN(INDEX('Aides'!$W$4:$W$503,24))=0,"",INDEX('Aides'!$W$4:$W$503,24))</f>
        <v/>
      </c>
      <c r="J27">
        <f>IF(LEN(INDEX('Aides'!$V$4:$V$503,24))=0,"",INDEX('Aides'!$V$4:$V$503,24))</f>
        <v/>
      </c>
    </row>
    <row r="28">
      <c r="A28">
        <f>IF(AND(LEN('Aides'!A28)&gt;0,ISNUMBER('Aides'!I28)),1,0)</f>
        <v/>
      </c>
      <c r="B28">
        <f>B27+A28</f>
        <v/>
      </c>
      <c r="C28">
        <f>IF(25&gt;$B$1503,"",MATCH(25-0.5,$B$3:$B$1503,1))</f>
        <v/>
      </c>
      <c r="D28">
        <f>"CNA certification ("&amp;IF(LEN(INDEX('Aides'!$C$4:$C$503,25))=0,"",INDEX('Aides'!$C$4:$C$503,25))&amp;") – "&amp;IF(LEN(INDEX('Aides'!$A$4:$A$503,25))=0,"",INDEX('Aides'!$A$4:$A$503,25))</f>
        <v/>
      </c>
      <c r="E28">
        <f>IF(ISNUMBER(INDEX('Aides'!$I$4:$I$503,25)),TEXT(INDEX('Aides'!$I$4:$I$503,25),"yyyy-mm-dd"),"")</f>
        <v/>
      </c>
      <c r="F28">
        <f>"Certification"</f>
        <v/>
      </c>
      <c r="G28">
        <f>"High"</f>
        <v/>
      </c>
      <c r="H28">
        <f>TRIM(IF(LEN(IF(LEN(INDEX('Aides'!$D$4:$D$503,25))=0,"",INDEX('Aides'!$D$4:$D$503,25)))=0,"","Registry no.: "&amp;IF(LEN(INDEX('Aides'!$D$4:$D$503,25))=0,"",INDEX('Aides'!$D$4:$D$503,25))&amp;". ")&amp;IF(LEN(IF(ISNUMBER(INDEX('Aides'!$F$4:$F$503,25)),TEXT(INDEX('Aides'!$F$4:$F$503,25),"yyyy-mm-dd"),""))=0,"","Registry expiry: "&amp;IF(ISNUMBER(INDEX('Aides'!$F$4:$F$503,25)),TEXT(INDEX('Aides'!$F$4:$F$503,25),"yyyy-mm-dd"),"")&amp;". ")&amp;IF(LEN(IF(ISNUMBER(INDEX('Aides'!$G$4:$G$503,25)),TEXT(INDEX('Aides'!$G$4:$G$503,25),"yyyy-mm-dd"),""))=0,"","Last paid nursing work: "&amp;IF(ISNUMBER(INDEX('Aides'!$G$4:$G$503,25)),TEXT(INDEX('Aides'!$G$4:$G$503,25),"yyyy-mm-dd"),"")&amp;". ")&amp;IF(LEN(IF(ISNUMBER(INDEX('Aides'!$H$4:$H$503,25)),TEXT(INDEX('Aides'!$H$4:$H$503,25),"yyyy-mm-dd"),""))=0,"","24-month cut-off: "&amp;IF(ISNUMBER(INDEX('Aides'!$H$4:$H$503,25)),TEXT(INDEX('Aides'!$H$4:$H$503,25),"yyyy-mm-dd"),"")&amp;". ")&amp;IF(LEN(IF(LEN(INDEX('Aides'!$U$4:$U$503,25))=0,"",INDEX('Aides'!$U$4:$U$503,25)))=0,"","Owner: "&amp;IF(LEN(INDEX('Aides'!$U$4:$U$503,25))=0,"",INDEX('Aides'!$U$4:$U$503,25))&amp;". ")&amp;IF(LEN(IF(LEN(INDEX('Aides'!$X$4:$X$503,25))=0,"",INDEX('Aides'!$X$4:$X$503,25)))=0,"",IF(LEN(INDEX('Aides'!$X$4:$X$503,25))=0,"",INDEX('Aides'!$X$4:$X$503,25))))</f>
        <v/>
      </c>
      <c r="I28">
        <f>IF(LEN(INDEX('Aides'!$W$4:$W$503,25))=0,"",INDEX('Aides'!$W$4:$W$503,25))</f>
        <v/>
      </c>
      <c r="J28">
        <f>IF(LEN(INDEX('Aides'!$V$4:$V$503,25))=0,"",INDEX('Aides'!$V$4:$V$503,25))</f>
        <v/>
      </c>
    </row>
    <row r="29">
      <c r="A29">
        <f>IF(AND(LEN('Aides'!A29)&gt;0,ISNUMBER('Aides'!I29)),1,0)</f>
        <v/>
      </c>
      <c r="B29">
        <f>B28+A29</f>
        <v/>
      </c>
      <c r="C29">
        <f>IF(26&gt;$B$1503,"",MATCH(26-0.5,$B$3:$B$1503,1))</f>
        <v/>
      </c>
      <c r="D29">
        <f>"CNA certification ("&amp;IF(LEN(INDEX('Aides'!$C$4:$C$503,26))=0,"",INDEX('Aides'!$C$4:$C$503,26))&amp;") – "&amp;IF(LEN(INDEX('Aides'!$A$4:$A$503,26))=0,"",INDEX('Aides'!$A$4:$A$503,26))</f>
        <v/>
      </c>
      <c r="E29">
        <f>IF(ISNUMBER(INDEX('Aides'!$I$4:$I$503,26)),TEXT(INDEX('Aides'!$I$4:$I$503,26),"yyyy-mm-dd"),"")</f>
        <v/>
      </c>
      <c r="F29">
        <f>"Certification"</f>
        <v/>
      </c>
      <c r="G29">
        <f>"High"</f>
        <v/>
      </c>
      <c r="H29">
        <f>TRIM(IF(LEN(IF(LEN(INDEX('Aides'!$D$4:$D$503,26))=0,"",INDEX('Aides'!$D$4:$D$503,26)))=0,"","Registry no.: "&amp;IF(LEN(INDEX('Aides'!$D$4:$D$503,26))=0,"",INDEX('Aides'!$D$4:$D$503,26))&amp;". ")&amp;IF(LEN(IF(ISNUMBER(INDEX('Aides'!$F$4:$F$503,26)),TEXT(INDEX('Aides'!$F$4:$F$503,26),"yyyy-mm-dd"),""))=0,"","Registry expiry: "&amp;IF(ISNUMBER(INDEX('Aides'!$F$4:$F$503,26)),TEXT(INDEX('Aides'!$F$4:$F$503,26),"yyyy-mm-dd"),"")&amp;". ")&amp;IF(LEN(IF(ISNUMBER(INDEX('Aides'!$G$4:$G$503,26)),TEXT(INDEX('Aides'!$G$4:$G$503,26),"yyyy-mm-dd"),""))=0,"","Last paid nursing work: "&amp;IF(ISNUMBER(INDEX('Aides'!$G$4:$G$503,26)),TEXT(INDEX('Aides'!$G$4:$G$503,26),"yyyy-mm-dd"),"")&amp;". ")&amp;IF(LEN(IF(ISNUMBER(INDEX('Aides'!$H$4:$H$503,26)),TEXT(INDEX('Aides'!$H$4:$H$503,26),"yyyy-mm-dd"),""))=0,"","24-month cut-off: "&amp;IF(ISNUMBER(INDEX('Aides'!$H$4:$H$503,26)),TEXT(INDEX('Aides'!$H$4:$H$503,26),"yyyy-mm-dd"),"")&amp;". ")&amp;IF(LEN(IF(LEN(INDEX('Aides'!$U$4:$U$503,26))=0,"",INDEX('Aides'!$U$4:$U$503,26)))=0,"","Owner: "&amp;IF(LEN(INDEX('Aides'!$U$4:$U$503,26))=0,"",INDEX('Aides'!$U$4:$U$503,26))&amp;". ")&amp;IF(LEN(IF(LEN(INDEX('Aides'!$X$4:$X$503,26))=0,"",INDEX('Aides'!$X$4:$X$503,26)))=0,"",IF(LEN(INDEX('Aides'!$X$4:$X$503,26))=0,"",INDEX('Aides'!$X$4:$X$503,26))))</f>
        <v/>
      </c>
      <c r="I29">
        <f>IF(LEN(INDEX('Aides'!$W$4:$W$503,26))=0,"",INDEX('Aides'!$W$4:$W$503,26))</f>
        <v/>
      </c>
      <c r="J29">
        <f>IF(LEN(INDEX('Aides'!$V$4:$V$503,26))=0,"",INDEX('Aides'!$V$4:$V$503,26))</f>
        <v/>
      </c>
    </row>
    <row r="30">
      <c r="A30">
        <f>IF(AND(LEN('Aides'!A30)&gt;0,ISNUMBER('Aides'!I30)),1,0)</f>
        <v/>
      </c>
      <c r="B30">
        <f>B29+A30</f>
        <v/>
      </c>
      <c r="C30">
        <f>IF(27&gt;$B$1503,"",MATCH(27-0.5,$B$3:$B$1503,1))</f>
        <v/>
      </c>
      <c r="D30">
        <f>"CNA certification ("&amp;IF(LEN(INDEX('Aides'!$C$4:$C$503,27))=0,"",INDEX('Aides'!$C$4:$C$503,27))&amp;") – "&amp;IF(LEN(INDEX('Aides'!$A$4:$A$503,27))=0,"",INDEX('Aides'!$A$4:$A$503,27))</f>
        <v/>
      </c>
      <c r="E30">
        <f>IF(ISNUMBER(INDEX('Aides'!$I$4:$I$503,27)),TEXT(INDEX('Aides'!$I$4:$I$503,27),"yyyy-mm-dd"),"")</f>
        <v/>
      </c>
      <c r="F30">
        <f>"Certification"</f>
        <v/>
      </c>
      <c r="G30">
        <f>"High"</f>
        <v/>
      </c>
      <c r="H30">
        <f>TRIM(IF(LEN(IF(LEN(INDEX('Aides'!$D$4:$D$503,27))=0,"",INDEX('Aides'!$D$4:$D$503,27)))=0,"","Registry no.: "&amp;IF(LEN(INDEX('Aides'!$D$4:$D$503,27))=0,"",INDEX('Aides'!$D$4:$D$503,27))&amp;". ")&amp;IF(LEN(IF(ISNUMBER(INDEX('Aides'!$F$4:$F$503,27)),TEXT(INDEX('Aides'!$F$4:$F$503,27),"yyyy-mm-dd"),""))=0,"","Registry expiry: "&amp;IF(ISNUMBER(INDEX('Aides'!$F$4:$F$503,27)),TEXT(INDEX('Aides'!$F$4:$F$503,27),"yyyy-mm-dd"),"")&amp;". ")&amp;IF(LEN(IF(ISNUMBER(INDEX('Aides'!$G$4:$G$503,27)),TEXT(INDEX('Aides'!$G$4:$G$503,27),"yyyy-mm-dd"),""))=0,"","Last paid nursing work: "&amp;IF(ISNUMBER(INDEX('Aides'!$G$4:$G$503,27)),TEXT(INDEX('Aides'!$G$4:$G$503,27),"yyyy-mm-dd"),"")&amp;". ")&amp;IF(LEN(IF(ISNUMBER(INDEX('Aides'!$H$4:$H$503,27)),TEXT(INDEX('Aides'!$H$4:$H$503,27),"yyyy-mm-dd"),""))=0,"","24-month cut-off: "&amp;IF(ISNUMBER(INDEX('Aides'!$H$4:$H$503,27)),TEXT(INDEX('Aides'!$H$4:$H$503,27),"yyyy-mm-dd"),"")&amp;". ")&amp;IF(LEN(IF(LEN(INDEX('Aides'!$U$4:$U$503,27))=0,"",INDEX('Aides'!$U$4:$U$503,27)))=0,"","Owner: "&amp;IF(LEN(INDEX('Aides'!$U$4:$U$503,27))=0,"",INDEX('Aides'!$U$4:$U$503,27))&amp;". ")&amp;IF(LEN(IF(LEN(INDEX('Aides'!$X$4:$X$503,27))=0,"",INDEX('Aides'!$X$4:$X$503,27)))=0,"",IF(LEN(INDEX('Aides'!$X$4:$X$503,27))=0,"",INDEX('Aides'!$X$4:$X$503,27))))</f>
        <v/>
      </c>
      <c r="I30">
        <f>IF(LEN(INDEX('Aides'!$W$4:$W$503,27))=0,"",INDEX('Aides'!$W$4:$W$503,27))</f>
        <v/>
      </c>
      <c r="J30">
        <f>IF(LEN(INDEX('Aides'!$V$4:$V$503,27))=0,"",INDEX('Aides'!$V$4:$V$503,27))</f>
        <v/>
      </c>
    </row>
    <row r="31">
      <c r="A31">
        <f>IF(AND(LEN('Aides'!A31)&gt;0,ISNUMBER('Aides'!I31)),1,0)</f>
        <v/>
      </c>
      <c r="B31">
        <f>B30+A31</f>
        <v/>
      </c>
      <c r="C31">
        <f>IF(28&gt;$B$1503,"",MATCH(28-0.5,$B$3:$B$1503,1))</f>
        <v/>
      </c>
      <c r="D31">
        <f>"CNA certification ("&amp;IF(LEN(INDEX('Aides'!$C$4:$C$503,28))=0,"",INDEX('Aides'!$C$4:$C$503,28))&amp;") – "&amp;IF(LEN(INDEX('Aides'!$A$4:$A$503,28))=0,"",INDEX('Aides'!$A$4:$A$503,28))</f>
        <v/>
      </c>
      <c r="E31">
        <f>IF(ISNUMBER(INDEX('Aides'!$I$4:$I$503,28)),TEXT(INDEX('Aides'!$I$4:$I$503,28),"yyyy-mm-dd"),"")</f>
        <v/>
      </c>
      <c r="F31">
        <f>"Certification"</f>
        <v/>
      </c>
      <c r="G31">
        <f>"High"</f>
        <v/>
      </c>
      <c r="H31">
        <f>TRIM(IF(LEN(IF(LEN(INDEX('Aides'!$D$4:$D$503,28))=0,"",INDEX('Aides'!$D$4:$D$503,28)))=0,"","Registry no.: "&amp;IF(LEN(INDEX('Aides'!$D$4:$D$503,28))=0,"",INDEX('Aides'!$D$4:$D$503,28))&amp;". ")&amp;IF(LEN(IF(ISNUMBER(INDEX('Aides'!$F$4:$F$503,28)),TEXT(INDEX('Aides'!$F$4:$F$503,28),"yyyy-mm-dd"),""))=0,"","Registry expiry: "&amp;IF(ISNUMBER(INDEX('Aides'!$F$4:$F$503,28)),TEXT(INDEX('Aides'!$F$4:$F$503,28),"yyyy-mm-dd"),"")&amp;". ")&amp;IF(LEN(IF(ISNUMBER(INDEX('Aides'!$G$4:$G$503,28)),TEXT(INDEX('Aides'!$G$4:$G$503,28),"yyyy-mm-dd"),""))=0,"","Last paid nursing work: "&amp;IF(ISNUMBER(INDEX('Aides'!$G$4:$G$503,28)),TEXT(INDEX('Aides'!$G$4:$G$503,28),"yyyy-mm-dd"),"")&amp;". ")&amp;IF(LEN(IF(ISNUMBER(INDEX('Aides'!$H$4:$H$503,28)),TEXT(INDEX('Aides'!$H$4:$H$503,28),"yyyy-mm-dd"),""))=0,"","24-month cut-off: "&amp;IF(ISNUMBER(INDEX('Aides'!$H$4:$H$503,28)),TEXT(INDEX('Aides'!$H$4:$H$503,28),"yyyy-mm-dd"),"")&amp;". ")&amp;IF(LEN(IF(LEN(INDEX('Aides'!$U$4:$U$503,28))=0,"",INDEX('Aides'!$U$4:$U$503,28)))=0,"","Owner: "&amp;IF(LEN(INDEX('Aides'!$U$4:$U$503,28))=0,"",INDEX('Aides'!$U$4:$U$503,28))&amp;". ")&amp;IF(LEN(IF(LEN(INDEX('Aides'!$X$4:$X$503,28))=0,"",INDEX('Aides'!$X$4:$X$503,28)))=0,"",IF(LEN(INDEX('Aides'!$X$4:$X$503,28))=0,"",INDEX('Aides'!$X$4:$X$503,28))))</f>
        <v/>
      </c>
      <c r="I31">
        <f>IF(LEN(INDEX('Aides'!$W$4:$W$503,28))=0,"",INDEX('Aides'!$W$4:$W$503,28))</f>
        <v/>
      </c>
      <c r="J31">
        <f>IF(LEN(INDEX('Aides'!$V$4:$V$503,28))=0,"",INDEX('Aides'!$V$4:$V$503,28))</f>
        <v/>
      </c>
    </row>
    <row r="32">
      <c r="A32">
        <f>IF(AND(LEN('Aides'!A32)&gt;0,ISNUMBER('Aides'!I32)),1,0)</f>
        <v/>
      </c>
      <c r="B32">
        <f>B31+A32</f>
        <v/>
      </c>
      <c r="C32">
        <f>IF(29&gt;$B$1503,"",MATCH(29-0.5,$B$3:$B$1503,1))</f>
        <v/>
      </c>
      <c r="D32">
        <f>"CNA certification ("&amp;IF(LEN(INDEX('Aides'!$C$4:$C$503,29))=0,"",INDEX('Aides'!$C$4:$C$503,29))&amp;") – "&amp;IF(LEN(INDEX('Aides'!$A$4:$A$503,29))=0,"",INDEX('Aides'!$A$4:$A$503,29))</f>
        <v/>
      </c>
      <c r="E32">
        <f>IF(ISNUMBER(INDEX('Aides'!$I$4:$I$503,29)),TEXT(INDEX('Aides'!$I$4:$I$503,29),"yyyy-mm-dd"),"")</f>
        <v/>
      </c>
      <c r="F32">
        <f>"Certification"</f>
        <v/>
      </c>
      <c r="G32">
        <f>"High"</f>
        <v/>
      </c>
      <c r="H32">
        <f>TRIM(IF(LEN(IF(LEN(INDEX('Aides'!$D$4:$D$503,29))=0,"",INDEX('Aides'!$D$4:$D$503,29)))=0,"","Registry no.: "&amp;IF(LEN(INDEX('Aides'!$D$4:$D$503,29))=0,"",INDEX('Aides'!$D$4:$D$503,29))&amp;". ")&amp;IF(LEN(IF(ISNUMBER(INDEX('Aides'!$F$4:$F$503,29)),TEXT(INDEX('Aides'!$F$4:$F$503,29),"yyyy-mm-dd"),""))=0,"","Registry expiry: "&amp;IF(ISNUMBER(INDEX('Aides'!$F$4:$F$503,29)),TEXT(INDEX('Aides'!$F$4:$F$503,29),"yyyy-mm-dd"),"")&amp;". ")&amp;IF(LEN(IF(ISNUMBER(INDEX('Aides'!$G$4:$G$503,29)),TEXT(INDEX('Aides'!$G$4:$G$503,29),"yyyy-mm-dd"),""))=0,"","Last paid nursing work: "&amp;IF(ISNUMBER(INDEX('Aides'!$G$4:$G$503,29)),TEXT(INDEX('Aides'!$G$4:$G$503,29),"yyyy-mm-dd"),"")&amp;". ")&amp;IF(LEN(IF(ISNUMBER(INDEX('Aides'!$H$4:$H$503,29)),TEXT(INDEX('Aides'!$H$4:$H$503,29),"yyyy-mm-dd"),""))=0,"","24-month cut-off: "&amp;IF(ISNUMBER(INDEX('Aides'!$H$4:$H$503,29)),TEXT(INDEX('Aides'!$H$4:$H$503,29),"yyyy-mm-dd"),"")&amp;". ")&amp;IF(LEN(IF(LEN(INDEX('Aides'!$U$4:$U$503,29))=0,"",INDEX('Aides'!$U$4:$U$503,29)))=0,"","Owner: "&amp;IF(LEN(INDEX('Aides'!$U$4:$U$503,29))=0,"",INDEX('Aides'!$U$4:$U$503,29))&amp;". ")&amp;IF(LEN(IF(LEN(INDEX('Aides'!$X$4:$X$503,29))=0,"",INDEX('Aides'!$X$4:$X$503,29)))=0,"",IF(LEN(INDEX('Aides'!$X$4:$X$503,29))=0,"",INDEX('Aides'!$X$4:$X$503,29))))</f>
        <v/>
      </c>
      <c r="I32">
        <f>IF(LEN(INDEX('Aides'!$W$4:$W$503,29))=0,"",INDEX('Aides'!$W$4:$W$503,29))</f>
        <v/>
      </c>
      <c r="J32">
        <f>IF(LEN(INDEX('Aides'!$V$4:$V$503,29))=0,"",INDEX('Aides'!$V$4:$V$503,29))</f>
        <v/>
      </c>
    </row>
    <row r="33">
      <c r="A33">
        <f>IF(AND(LEN('Aides'!A33)&gt;0,ISNUMBER('Aides'!I33)),1,0)</f>
        <v/>
      </c>
      <c r="B33">
        <f>B32+A33</f>
        <v/>
      </c>
      <c r="C33">
        <f>IF(30&gt;$B$1503,"",MATCH(30-0.5,$B$3:$B$1503,1))</f>
        <v/>
      </c>
      <c r="D33">
        <f>"CNA certification ("&amp;IF(LEN(INDEX('Aides'!$C$4:$C$503,30))=0,"",INDEX('Aides'!$C$4:$C$503,30))&amp;") – "&amp;IF(LEN(INDEX('Aides'!$A$4:$A$503,30))=0,"",INDEX('Aides'!$A$4:$A$503,30))</f>
        <v/>
      </c>
      <c r="E33">
        <f>IF(ISNUMBER(INDEX('Aides'!$I$4:$I$503,30)),TEXT(INDEX('Aides'!$I$4:$I$503,30),"yyyy-mm-dd"),"")</f>
        <v/>
      </c>
      <c r="F33">
        <f>"Certification"</f>
        <v/>
      </c>
      <c r="G33">
        <f>"High"</f>
        <v/>
      </c>
      <c r="H33">
        <f>TRIM(IF(LEN(IF(LEN(INDEX('Aides'!$D$4:$D$503,30))=0,"",INDEX('Aides'!$D$4:$D$503,30)))=0,"","Registry no.: "&amp;IF(LEN(INDEX('Aides'!$D$4:$D$503,30))=0,"",INDEX('Aides'!$D$4:$D$503,30))&amp;". ")&amp;IF(LEN(IF(ISNUMBER(INDEX('Aides'!$F$4:$F$503,30)),TEXT(INDEX('Aides'!$F$4:$F$503,30),"yyyy-mm-dd"),""))=0,"","Registry expiry: "&amp;IF(ISNUMBER(INDEX('Aides'!$F$4:$F$503,30)),TEXT(INDEX('Aides'!$F$4:$F$503,30),"yyyy-mm-dd"),"")&amp;". ")&amp;IF(LEN(IF(ISNUMBER(INDEX('Aides'!$G$4:$G$503,30)),TEXT(INDEX('Aides'!$G$4:$G$503,30),"yyyy-mm-dd"),""))=0,"","Last paid nursing work: "&amp;IF(ISNUMBER(INDEX('Aides'!$G$4:$G$503,30)),TEXT(INDEX('Aides'!$G$4:$G$503,30),"yyyy-mm-dd"),"")&amp;". ")&amp;IF(LEN(IF(ISNUMBER(INDEX('Aides'!$H$4:$H$503,30)),TEXT(INDEX('Aides'!$H$4:$H$503,30),"yyyy-mm-dd"),""))=0,"","24-month cut-off: "&amp;IF(ISNUMBER(INDEX('Aides'!$H$4:$H$503,30)),TEXT(INDEX('Aides'!$H$4:$H$503,30),"yyyy-mm-dd"),"")&amp;". ")&amp;IF(LEN(IF(LEN(INDEX('Aides'!$U$4:$U$503,30))=0,"",INDEX('Aides'!$U$4:$U$503,30)))=0,"","Owner: "&amp;IF(LEN(INDEX('Aides'!$U$4:$U$503,30))=0,"",INDEX('Aides'!$U$4:$U$503,30))&amp;". ")&amp;IF(LEN(IF(LEN(INDEX('Aides'!$X$4:$X$503,30))=0,"",INDEX('Aides'!$X$4:$X$503,30)))=0,"",IF(LEN(INDEX('Aides'!$X$4:$X$503,30))=0,"",INDEX('Aides'!$X$4:$X$503,30))))</f>
        <v/>
      </c>
      <c r="I33">
        <f>IF(LEN(INDEX('Aides'!$W$4:$W$503,30))=0,"",INDEX('Aides'!$W$4:$W$503,30))</f>
        <v/>
      </c>
      <c r="J33">
        <f>IF(LEN(INDEX('Aides'!$V$4:$V$503,30))=0,"",INDEX('Aides'!$V$4:$V$503,30))</f>
        <v/>
      </c>
    </row>
    <row r="34">
      <c r="A34">
        <f>IF(AND(LEN('Aides'!A34)&gt;0,ISNUMBER('Aides'!I34)),1,0)</f>
        <v/>
      </c>
      <c r="B34">
        <f>B33+A34</f>
        <v/>
      </c>
      <c r="C34">
        <f>IF(31&gt;$B$1503,"",MATCH(31-0.5,$B$3:$B$1503,1))</f>
        <v/>
      </c>
      <c r="D34">
        <f>"CNA certification ("&amp;IF(LEN(INDEX('Aides'!$C$4:$C$503,31))=0,"",INDEX('Aides'!$C$4:$C$503,31))&amp;") – "&amp;IF(LEN(INDEX('Aides'!$A$4:$A$503,31))=0,"",INDEX('Aides'!$A$4:$A$503,31))</f>
        <v/>
      </c>
      <c r="E34">
        <f>IF(ISNUMBER(INDEX('Aides'!$I$4:$I$503,31)),TEXT(INDEX('Aides'!$I$4:$I$503,31),"yyyy-mm-dd"),"")</f>
        <v/>
      </c>
      <c r="F34">
        <f>"Certification"</f>
        <v/>
      </c>
      <c r="G34">
        <f>"High"</f>
        <v/>
      </c>
      <c r="H34">
        <f>TRIM(IF(LEN(IF(LEN(INDEX('Aides'!$D$4:$D$503,31))=0,"",INDEX('Aides'!$D$4:$D$503,31)))=0,"","Registry no.: "&amp;IF(LEN(INDEX('Aides'!$D$4:$D$503,31))=0,"",INDEX('Aides'!$D$4:$D$503,31))&amp;". ")&amp;IF(LEN(IF(ISNUMBER(INDEX('Aides'!$F$4:$F$503,31)),TEXT(INDEX('Aides'!$F$4:$F$503,31),"yyyy-mm-dd"),""))=0,"","Registry expiry: "&amp;IF(ISNUMBER(INDEX('Aides'!$F$4:$F$503,31)),TEXT(INDEX('Aides'!$F$4:$F$503,31),"yyyy-mm-dd"),"")&amp;". ")&amp;IF(LEN(IF(ISNUMBER(INDEX('Aides'!$G$4:$G$503,31)),TEXT(INDEX('Aides'!$G$4:$G$503,31),"yyyy-mm-dd"),""))=0,"","Last paid nursing work: "&amp;IF(ISNUMBER(INDEX('Aides'!$G$4:$G$503,31)),TEXT(INDEX('Aides'!$G$4:$G$503,31),"yyyy-mm-dd"),"")&amp;". ")&amp;IF(LEN(IF(ISNUMBER(INDEX('Aides'!$H$4:$H$503,31)),TEXT(INDEX('Aides'!$H$4:$H$503,31),"yyyy-mm-dd"),""))=0,"","24-month cut-off: "&amp;IF(ISNUMBER(INDEX('Aides'!$H$4:$H$503,31)),TEXT(INDEX('Aides'!$H$4:$H$503,31),"yyyy-mm-dd"),"")&amp;". ")&amp;IF(LEN(IF(LEN(INDEX('Aides'!$U$4:$U$503,31))=0,"",INDEX('Aides'!$U$4:$U$503,31)))=0,"","Owner: "&amp;IF(LEN(INDEX('Aides'!$U$4:$U$503,31))=0,"",INDEX('Aides'!$U$4:$U$503,31))&amp;". ")&amp;IF(LEN(IF(LEN(INDEX('Aides'!$X$4:$X$503,31))=0,"",INDEX('Aides'!$X$4:$X$503,31)))=0,"",IF(LEN(INDEX('Aides'!$X$4:$X$503,31))=0,"",INDEX('Aides'!$X$4:$X$503,31))))</f>
        <v/>
      </c>
      <c r="I34">
        <f>IF(LEN(INDEX('Aides'!$W$4:$W$503,31))=0,"",INDEX('Aides'!$W$4:$W$503,31))</f>
        <v/>
      </c>
      <c r="J34">
        <f>IF(LEN(INDEX('Aides'!$V$4:$V$503,31))=0,"",INDEX('Aides'!$V$4:$V$503,31))</f>
        <v/>
      </c>
    </row>
    <row r="35">
      <c r="A35">
        <f>IF(AND(LEN('Aides'!A35)&gt;0,ISNUMBER('Aides'!I35)),1,0)</f>
        <v/>
      </c>
      <c r="B35">
        <f>B34+A35</f>
        <v/>
      </c>
      <c r="C35">
        <f>IF(32&gt;$B$1503,"",MATCH(32-0.5,$B$3:$B$1503,1))</f>
        <v/>
      </c>
      <c r="D35">
        <f>"CNA certification ("&amp;IF(LEN(INDEX('Aides'!$C$4:$C$503,32))=0,"",INDEX('Aides'!$C$4:$C$503,32))&amp;") – "&amp;IF(LEN(INDEX('Aides'!$A$4:$A$503,32))=0,"",INDEX('Aides'!$A$4:$A$503,32))</f>
        <v/>
      </c>
      <c r="E35">
        <f>IF(ISNUMBER(INDEX('Aides'!$I$4:$I$503,32)),TEXT(INDEX('Aides'!$I$4:$I$503,32),"yyyy-mm-dd"),"")</f>
        <v/>
      </c>
      <c r="F35">
        <f>"Certification"</f>
        <v/>
      </c>
      <c r="G35">
        <f>"High"</f>
        <v/>
      </c>
      <c r="H35">
        <f>TRIM(IF(LEN(IF(LEN(INDEX('Aides'!$D$4:$D$503,32))=0,"",INDEX('Aides'!$D$4:$D$503,32)))=0,"","Registry no.: "&amp;IF(LEN(INDEX('Aides'!$D$4:$D$503,32))=0,"",INDEX('Aides'!$D$4:$D$503,32))&amp;". ")&amp;IF(LEN(IF(ISNUMBER(INDEX('Aides'!$F$4:$F$503,32)),TEXT(INDEX('Aides'!$F$4:$F$503,32),"yyyy-mm-dd"),""))=0,"","Registry expiry: "&amp;IF(ISNUMBER(INDEX('Aides'!$F$4:$F$503,32)),TEXT(INDEX('Aides'!$F$4:$F$503,32),"yyyy-mm-dd"),"")&amp;". ")&amp;IF(LEN(IF(ISNUMBER(INDEX('Aides'!$G$4:$G$503,32)),TEXT(INDEX('Aides'!$G$4:$G$503,32),"yyyy-mm-dd"),""))=0,"","Last paid nursing work: "&amp;IF(ISNUMBER(INDEX('Aides'!$G$4:$G$503,32)),TEXT(INDEX('Aides'!$G$4:$G$503,32),"yyyy-mm-dd"),"")&amp;". ")&amp;IF(LEN(IF(ISNUMBER(INDEX('Aides'!$H$4:$H$503,32)),TEXT(INDEX('Aides'!$H$4:$H$503,32),"yyyy-mm-dd"),""))=0,"","24-month cut-off: "&amp;IF(ISNUMBER(INDEX('Aides'!$H$4:$H$503,32)),TEXT(INDEX('Aides'!$H$4:$H$503,32),"yyyy-mm-dd"),"")&amp;". ")&amp;IF(LEN(IF(LEN(INDEX('Aides'!$U$4:$U$503,32))=0,"",INDEX('Aides'!$U$4:$U$503,32)))=0,"","Owner: "&amp;IF(LEN(INDEX('Aides'!$U$4:$U$503,32))=0,"",INDEX('Aides'!$U$4:$U$503,32))&amp;". ")&amp;IF(LEN(IF(LEN(INDEX('Aides'!$X$4:$X$503,32))=0,"",INDEX('Aides'!$X$4:$X$503,32)))=0,"",IF(LEN(INDEX('Aides'!$X$4:$X$503,32))=0,"",INDEX('Aides'!$X$4:$X$503,32))))</f>
        <v/>
      </c>
      <c r="I35">
        <f>IF(LEN(INDEX('Aides'!$W$4:$W$503,32))=0,"",INDEX('Aides'!$W$4:$W$503,32))</f>
        <v/>
      </c>
      <c r="J35">
        <f>IF(LEN(INDEX('Aides'!$V$4:$V$503,32))=0,"",INDEX('Aides'!$V$4:$V$503,32))</f>
        <v/>
      </c>
    </row>
    <row r="36">
      <c r="A36">
        <f>IF(AND(LEN('Aides'!A36)&gt;0,ISNUMBER('Aides'!I36)),1,0)</f>
        <v/>
      </c>
      <c r="B36">
        <f>B35+A36</f>
        <v/>
      </c>
      <c r="C36">
        <f>IF(33&gt;$B$1503,"",MATCH(33-0.5,$B$3:$B$1503,1))</f>
        <v/>
      </c>
      <c r="D36">
        <f>"CNA certification ("&amp;IF(LEN(INDEX('Aides'!$C$4:$C$503,33))=0,"",INDEX('Aides'!$C$4:$C$503,33))&amp;") – "&amp;IF(LEN(INDEX('Aides'!$A$4:$A$503,33))=0,"",INDEX('Aides'!$A$4:$A$503,33))</f>
        <v/>
      </c>
      <c r="E36">
        <f>IF(ISNUMBER(INDEX('Aides'!$I$4:$I$503,33)),TEXT(INDEX('Aides'!$I$4:$I$503,33),"yyyy-mm-dd"),"")</f>
        <v/>
      </c>
      <c r="F36">
        <f>"Certification"</f>
        <v/>
      </c>
      <c r="G36">
        <f>"High"</f>
        <v/>
      </c>
      <c r="H36">
        <f>TRIM(IF(LEN(IF(LEN(INDEX('Aides'!$D$4:$D$503,33))=0,"",INDEX('Aides'!$D$4:$D$503,33)))=0,"","Registry no.: "&amp;IF(LEN(INDEX('Aides'!$D$4:$D$503,33))=0,"",INDEX('Aides'!$D$4:$D$503,33))&amp;". ")&amp;IF(LEN(IF(ISNUMBER(INDEX('Aides'!$F$4:$F$503,33)),TEXT(INDEX('Aides'!$F$4:$F$503,33),"yyyy-mm-dd"),""))=0,"","Registry expiry: "&amp;IF(ISNUMBER(INDEX('Aides'!$F$4:$F$503,33)),TEXT(INDEX('Aides'!$F$4:$F$503,33),"yyyy-mm-dd"),"")&amp;". ")&amp;IF(LEN(IF(ISNUMBER(INDEX('Aides'!$G$4:$G$503,33)),TEXT(INDEX('Aides'!$G$4:$G$503,33),"yyyy-mm-dd"),""))=0,"","Last paid nursing work: "&amp;IF(ISNUMBER(INDEX('Aides'!$G$4:$G$503,33)),TEXT(INDEX('Aides'!$G$4:$G$503,33),"yyyy-mm-dd"),"")&amp;". ")&amp;IF(LEN(IF(ISNUMBER(INDEX('Aides'!$H$4:$H$503,33)),TEXT(INDEX('Aides'!$H$4:$H$503,33),"yyyy-mm-dd"),""))=0,"","24-month cut-off: "&amp;IF(ISNUMBER(INDEX('Aides'!$H$4:$H$503,33)),TEXT(INDEX('Aides'!$H$4:$H$503,33),"yyyy-mm-dd"),"")&amp;". ")&amp;IF(LEN(IF(LEN(INDEX('Aides'!$U$4:$U$503,33))=0,"",INDEX('Aides'!$U$4:$U$503,33)))=0,"","Owner: "&amp;IF(LEN(INDEX('Aides'!$U$4:$U$503,33))=0,"",INDEX('Aides'!$U$4:$U$503,33))&amp;". ")&amp;IF(LEN(IF(LEN(INDEX('Aides'!$X$4:$X$503,33))=0,"",INDEX('Aides'!$X$4:$X$503,33)))=0,"",IF(LEN(INDEX('Aides'!$X$4:$X$503,33))=0,"",INDEX('Aides'!$X$4:$X$503,33))))</f>
        <v/>
      </c>
      <c r="I36">
        <f>IF(LEN(INDEX('Aides'!$W$4:$W$503,33))=0,"",INDEX('Aides'!$W$4:$W$503,33))</f>
        <v/>
      </c>
      <c r="J36">
        <f>IF(LEN(INDEX('Aides'!$V$4:$V$503,33))=0,"",INDEX('Aides'!$V$4:$V$503,33))</f>
        <v/>
      </c>
    </row>
    <row r="37">
      <c r="A37">
        <f>IF(AND(LEN('Aides'!A37)&gt;0,ISNUMBER('Aides'!I37)),1,0)</f>
        <v/>
      </c>
      <c r="B37">
        <f>B36+A37</f>
        <v/>
      </c>
      <c r="C37">
        <f>IF(34&gt;$B$1503,"",MATCH(34-0.5,$B$3:$B$1503,1))</f>
        <v/>
      </c>
      <c r="D37">
        <f>"CNA certification ("&amp;IF(LEN(INDEX('Aides'!$C$4:$C$503,34))=0,"",INDEX('Aides'!$C$4:$C$503,34))&amp;") – "&amp;IF(LEN(INDEX('Aides'!$A$4:$A$503,34))=0,"",INDEX('Aides'!$A$4:$A$503,34))</f>
        <v/>
      </c>
      <c r="E37">
        <f>IF(ISNUMBER(INDEX('Aides'!$I$4:$I$503,34)),TEXT(INDEX('Aides'!$I$4:$I$503,34),"yyyy-mm-dd"),"")</f>
        <v/>
      </c>
      <c r="F37">
        <f>"Certification"</f>
        <v/>
      </c>
      <c r="G37">
        <f>"High"</f>
        <v/>
      </c>
      <c r="H37">
        <f>TRIM(IF(LEN(IF(LEN(INDEX('Aides'!$D$4:$D$503,34))=0,"",INDEX('Aides'!$D$4:$D$503,34)))=0,"","Registry no.: "&amp;IF(LEN(INDEX('Aides'!$D$4:$D$503,34))=0,"",INDEX('Aides'!$D$4:$D$503,34))&amp;". ")&amp;IF(LEN(IF(ISNUMBER(INDEX('Aides'!$F$4:$F$503,34)),TEXT(INDEX('Aides'!$F$4:$F$503,34),"yyyy-mm-dd"),""))=0,"","Registry expiry: "&amp;IF(ISNUMBER(INDEX('Aides'!$F$4:$F$503,34)),TEXT(INDEX('Aides'!$F$4:$F$503,34),"yyyy-mm-dd"),"")&amp;". ")&amp;IF(LEN(IF(ISNUMBER(INDEX('Aides'!$G$4:$G$503,34)),TEXT(INDEX('Aides'!$G$4:$G$503,34),"yyyy-mm-dd"),""))=0,"","Last paid nursing work: "&amp;IF(ISNUMBER(INDEX('Aides'!$G$4:$G$503,34)),TEXT(INDEX('Aides'!$G$4:$G$503,34),"yyyy-mm-dd"),"")&amp;". ")&amp;IF(LEN(IF(ISNUMBER(INDEX('Aides'!$H$4:$H$503,34)),TEXT(INDEX('Aides'!$H$4:$H$503,34),"yyyy-mm-dd"),""))=0,"","24-month cut-off: "&amp;IF(ISNUMBER(INDEX('Aides'!$H$4:$H$503,34)),TEXT(INDEX('Aides'!$H$4:$H$503,34),"yyyy-mm-dd"),"")&amp;". ")&amp;IF(LEN(IF(LEN(INDEX('Aides'!$U$4:$U$503,34))=0,"",INDEX('Aides'!$U$4:$U$503,34)))=0,"","Owner: "&amp;IF(LEN(INDEX('Aides'!$U$4:$U$503,34))=0,"",INDEX('Aides'!$U$4:$U$503,34))&amp;". ")&amp;IF(LEN(IF(LEN(INDEX('Aides'!$X$4:$X$503,34))=0,"",INDEX('Aides'!$X$4:$X$503,34)))=0,"",IF(LEN(INDEX('Aides'!$X$4:$X$503,34))=0,"",INDEX('Aides'!$X$4:$X$503,34))))</f>
        <v/>
      </c>
      <c r="I37">
        <f>IF(LEN(INDEX('Aides'!$W$4:$W$503,34))=0,"",INDEX('Aides'!$W$4:$W$503,34))</f>
        <v/>
      </c>
      <c r="J37">
        <f>IF(LEN(INDEX('Aides'!$V$4:$V$503,34))=0,"",INDEX('Aides'!$V$4:$V$503,34))</f>
        <v/>
      </c>
    </row>
    <row r="38">
      <c r="A38">
        <f>IF(AND(LEN('Aides'!A38)&gt;0,ISNUMBER('Aides'!I38)),1,0)</f>
        <v/>
      </c>
      <c r="B38">
        <f>B37+A38</f>
        <v/>
      </c>
      <c r="C38">
        <f>IF(35&gt;$B$1503,"",MATCH(35-0.5,$B$3:$B$1503,1))</f>
        <v/>
      </c>
      <c r="D38">
        <f>"CNA certification ("&amp;IF(LEN(INDEX('Aides'!$C$4:$C$503,35))=0,"",INDEX('Aides'!$C$4:$C$503,35))&amp;") – "&amp;IF(LEN(INDEX('Aides'!$A$4:$A$503,35))=0,"",INDEX('Aides'!$A$4:$A$503,35))</f>
        <v/>
      </c>
      <c r="E38">
        <f>IF(ISNUMBER(INDEX('Aides'!$I$4:$I$503,35)),TEXT(INDEX('Aides'!$I$4:$I$503,35),"yyyy-mm-dd"),"")</f>
        <v/>
      </c>
      <c r="F38">
        <f>"Certification"</f>
        <v/>
      </c>
      <c r="G38">
        <f>"High"</f>
        <v/>
      </c>
      <c r="H38">
        <f>TRIM(IF(LEN(IF(LEN(INDEX('Aides'!$D$4:$D$503,35))=0,"",INDEX('Aides'!$D$4:$D$503,35)))=0,"","Registry no.: "&amp;IF(LEN(INDEX('Aides'!$D$4:$D$503,35))=0,"",INDEX('Aides'!$D$4:$D$503,35))&amp;". ")&amp;IF(LEN(IF(ISNUMBER(INDEX('Aides'!$F$4:$F$503,35)),TEXT(INDEX('Aides'!$F$4:$F$503,35),"yyyy-mm-dd"),""))=0,"","Registry expiry: "&amp;IF(ISNUMBER(INDEX('Aides'!$F$4:$F$503,35)),TEXT(INDEX('Aides'!$F$4:$F$503,35),"yyyy-mm-dd"),"")&amp;". ")&amp;IF(LEN(IF(ISNUMBER(INDEX('Aides'!$G$4:$G$503,35)),TEXT(INDEX('Aides'!$G$4:$G$503,35),"yyyy-mm-dd"),""))=0,"","Last paid nursing work: "&amp;IF(ISNUMBER(INDEX('Aides'!$G$4:$G$503,35)),TEXT(INDEX('Aides'!$G$4:$G$503,35),"yyyy-mm-dd"),"")&amp;". ")&amp;IF(LEN(IF(ISNUMBER(INDEX('Aides'!$H$4:$H$503,35)),TEXT(INDEX('Aides'!$H$4:$H$503,35),"yyyy-mm-dd"),""))=0,"","24-month cut-off: "&amp;IF(ISNUMBER(INDEX('Aides'!$H$4:$H$503,35)),TEXT(INDEX('Aides'!$H$4:$H$503,35),"yyyy-mm-dd"),"")&amp;". ")&amp;IF(LEN(IF(LEN(INDEX('Aides'!$U$4:$U$503,35))=0,"",INDEX('Aides'!$U$4:$U$503,35)))=0,"","Owner: "&amp;IF(LEN(INDEX('Aides'!$U$4:$U$503,35))=0,"",INDEX('Aides'!$U$4:$U$503,35))&amp;". ")&amp;IF(LEN(IF(LEN(INDEX('Aides'!$X$4:$X$503,35))=0,"",INDEX('Aides'!$X$4:$X$503,35)))=0,"",IF(LEN(INDEX('Aides'!$X$4:$X$503,35))=0,"",INDEX('Aides'!$X$4:$X$503,35))))</f>
        <v/>
      </c>
      <c r="I38">
        <f>IF(LEN(INDEX('Aides'!$W$4:$W$503,35))=0,"",INDEX('Aides'!$W$4:$W$503,35))</f>
        <v/>
      </c>
      <c r="J38">
        <f>IF(LEN(INDEX('Aides'!$V$4:$V$503,35))=0,"",INDEX('Aides'!$V$4:$V$503,35))</f>
        <v/>
      </c>
    </row>
    <row r="39">
      <c r="A39">
        <f>IF(AND(LEN('Aides'!A39)&gt;0,ISNUMBER('Aides'!I39)),1,0)</f>
        <v/>
      </c>
      <c r="B39">
        <f>B38+A39</f>
        <v/>
      </c>
      <c r="C39">
        <f>IF(36&gt;$B$1503,"",MATCH(36-0.5,$B$3:$B$1503,1))</f>
        <v/>
      </c>
      <c r="D39">
        <f>"CNA certification ("&amp;IF(LEN(INDEX('Aides'!$C$4:$C$503,36))=0,"",INDEX('Aides'!$C$4:$C$503,36))&amp;") – "&amp;IF(LEN(INDEX('Aides'!$A$4:$A$503,36))=0,"",INDEX('Aides'!$A$4:$A$503,36))</f>
        <v/>
      </c>
      <c r="E39">
        <f>IF(ISNUMBER(INDEX('Aides'!$I$4:$I$503,36)),TEXT(INDEX('Aides'!$I$4:$I$503,36),"yyyy-mm-dd"),"")</f>
        <v/>
      </c>
      <c r="F39">
        <f>"Certification"</f>
        <v/>
      </c>
      <c r="G39">
        <f>"High"</f>
        <v/>
      </c>
      <c r="H39">
        <f>TRIM(IF(LEN(IF(LEN(INDEX('Aides'!$D$4:$D$503,36))=0,"",INDEX('Aides'!$D$4:$D$503,36)))=0,"","Registry no.: "&amp;IF(LEN(INDEX('Aides'!$D$4:$D$503,36))=0,"",INDEX('Aides'!$D$4:$D$503,36))&amp;". ")&amp;IF(LEN(IF(ISNUMBER(INDEX('Aides'!$F$4:$F$503,36)),TEXT(INDEX('Aides'!$F$4:$F$503,36),"yyyy-mm-dd"),""))=0,"","Registry expiry: "&amp;IF(ISNUMBER(INDEX('Aides'!$F$4:$F$503,36)),TEXT(INDEX('Aides'!$F$4:$F$503,36),"yyyy-mm-dd"),"")&amp;". ")&amp;IF(LEN(IF(ISNUMBER(INDEX('Aides'!$G$4:$G$503,36)),TEXT(INDEX('Aides'!$G$4:$G$503,36),"yyyy-mm-dd"),""))=0,"","Last paid nursing work: "&amp;IF(ISNUMBER(INDEX('Aides'!$G$4:$G$503,36)),TEXT(INDEX('Aides'!$G$4:$G$503,36),"yyyy-mm-dd"),"")&amp;". ")&amp;IF(LEN(IF(ISNUMBER(INDEX('Aides'!$H$4:$H$503,36)),TEXT(INDEX('Aides'!$H$4:$H$503,36),"yyyy-mm-dd"),""))=0,"","24-month cut-off: "&amp;IF(ISNUMBER(INDEX('Aides'!$H$4:$H$503,36)),TEXT(INDEX('Aides'!$H$4:$H$503,36),"yyyy-mm-dd"),"")&amp;". ")&amp;IF(LEN(IF(LEN(INDEX('Aides'!$U$4:$U$503,36))=0,"",INDEX('Aides'!$U$4:$U$503,36)))=0,"","Owner: "&amp;IF(LEN(INDEX('Aides'!$U$4:$U$503,36))=0,"",INDEX('Aides'!$U$4:$U$503,36))&amp;". ")&amp;IF(LEN(IF(LEN(INDEX('Aides'!$X$4:$X$503,36))=0,"",INDEX('Aides'!$X$4:$X$503,36)))=0,"",IF(LEN(INDEX('Aides'!$X$4:$X$503,36))=0,"",INDEX('Aides'!$X$4:$X$503,36))))</f>
        <v/>
      </c>
      <c r="I39">
        <f>IF(LEN(INDEX('Aides'!$W$4:$W$503,36))=0,"",INDEX('Aides'!$W$4:$W$503,36))</f>
        <v/>
      </c>
      <c r="J39">
        <f>IF(LEN(INDEX('Aides'!$V$4:$V$503,36))=0,"",INDEX('Aides'!$V$4:$V$503,36))</f>
        <v/>
      </c>
    </row>
    <row r="40">
      <c r="A40">
        <f>IF(AND(LEN('Aides'!A40)&gt;0,ISNUMBER('Aides'!I40)),1,0)</f>
        <v/>
      </c>
      <c r="B40">
        <f>B39+A40</f>
        <v/>
      </c>
      <c r="C40">
        <f>IF(37&gt;$B$1503,"",MATCH(37-0.5,$B$3:$B$1503,1))</f>
        <v/>
      </c>
      <c r="D40">
        <f>"CNA certification ("&amp;IF(LEN(INDEX('Aides'!$C$4:$C$503,37))=0,"",INDEX('Aides'!$C$4:$C$503,37))&amp;") – "&amp;IF(LEN(INDEX('Aides'!$A$4:$A$503,37))=0,"",INDEX('Aides'!$A$4:$A$503,37))</f>
        <v/>
      </c>
      <c r="E40">
        <f>IF(ISNUMBER(INDEX('Aides'!$I$4:$I$503,37)),TEXT(INDEX('Aides'!$I$4:$I$503,37),"yyyy-mm-dd"),"")</f>
        <v/>
      </c>
      <c r="F40">
        <f>"Certification"</f>
        <v/>
      </c>
      <c r="G40">
        <f>"High"</f>
        <v/>
      </c>
      <c r="H40">
        <f>TRIM(IF(LEN(IF(LEN(INDEX('Aides'!$D$4:$D$503,37))=0,"",INDEX('Aides'!$D$4:$D$503,37)))=0,"","Registry no.: "&amp;IF(LEN(INDEX('Aides'!$D$4:$D$503,37))=0,"",INDEX('Aides'!$D$4:$D$503,37))&amp;". ")&amp;IF(LEN(IF(ISNUMBER(INDEX('Aides'!$F$4:$F$503,37)),TEXT(INDEX('Aides'!$F$4:$F$503,37),"yyyy-mm-dd"),""))=0,"","Registry expiry: "&amp;IF(ISNUMBER(INDEX('Aides'!$F$4:$F$503,37)),TEXT(INDEX('Aides'!$F$4:$F$503,37),"yyyy-mm-dd"),"")&amp;". ")&amp;IF(LEN(IF(ISNUMBER(INDEX('Aides'!$G$4:$G$503,37)),TEXT(INDEX('Aides'!$G$4:$G$503,37),"yyyy-mm-dd"),""))=0,"","Last paid nursing work: "&amp;IF(ISNUMBER(INDEX('Aides'!$G$4:$G$503,37)),TEXT(INDEX('Aides'!$G$4:$G$503,37),"yyyy-mm-dd"),"")&amp;". ")&amp;IF(LEN(IF(ISNUMBER(INDEX('Aides'!$H$4:$H$503,37)),TEXT(INDEX('Aides'!$H$4:$H$503,37),"yyyy-mm-dd"),""))=0,"","24-month cut-off: "&amp;IF(ISNUMBER(INDEX('Aides'!$H$4:$H$503,37)),TEXT(INDEX('Aides'!$H$4:$H$503,37),"yyyy-mm-dd"),"")&amp;". ")&amp;IF(LEN(IF(LEN(INDEX('Aides'!$U$4:$U$503,37))=0,"",INDEX('Aides'!$U$4:$U$503,37)))=0,"","Owner: "&amp;IF(LEN(INDEX('Aides'!$U$4:$U$503,37))=0,"",INDEX('Aides'!$U$4:$U$503,37))&amp;". ")&amp;IF(LEN(IF(LEN(INDEX('Aides'!$X$4:$X$503,37))=0,"",INDEX('Aides'!$X$4:$X$503,37)))=0,"",IF(LEN(INDEX('Aides'!$X$4:$X$503,37))=0,"",INDEX('Aides'!$X$4:$X$503,37))))</f>
        <v/>
      </c>
      <c r="I40">
        <f>IF(LEN(INDEX('Aides'!$W$4:$W$503,37))=0,"",INDEX('Aides'!$W$4:$W$503,37))</f>
        <v/>
      </c>
      <c r="J40">
        <f>IF(LEN(INDEX('Aides'!$V$4:$V$503,37))=0,"",INDEX('Aides'!$V$4:$V$503,37))</f>
        <v/>
      </c>
    </row>
    <row r="41">
      <c r="A41">
        <f>IF(AND(LEN('Aides'!A41)&gt;0,ISNUMBER('Aides'!I41)),1,0)</f>
        <v/>
      </c>
      <c r="B41">
        <f>B40+A41</f>
        <v/>
      </c>
      <c r="C41">
        <f>IF(38&gt;$B$1503,"",MATCH(38-0.5,$B$3:$B$1503,1))</f>
        <v/>
      </c>
      <c r="D41">
        <f>"CNA certification ("&amp;IF(LEN(INDEX('Aides'!$C$4:$C$503,38))=0,"",INDEX('Aides'!$C$4:$C$503,38))&amp;") – "&amp;IF(LEN(INDEX('Aides'!$A$4:$A$503,38))=0,"",INDEX('Aides'!$A$4:$A$503,38))</f>
        <v/>
      </c>
      <c r="E41">
        <f>IF(ISNUMBER(INDEX('Aides'!$I$4:$I$503,38)),TEXT(INDEX('Aides'!$I$4:$I$503,38),"yyyy-mm-dd"),"")</f>
        <v/>
      </c>
      <c r="F41">
        <f>"Certification"</f>
        <v/>
      </c>
      <c r="G41">
        <f>"High"</f>
        <v/>
      </c>
      <c r="H41">
        <f>TRIM(IF(LEN(IF(LEN(INDEX('Aides'!$D$4:$D$503,38))=0,"",INDEX('Aides'!$D$4:$D$503,38)))=0,"","Registry no.: "&amp;IF(LEN(INDEX('Aides'!$D$4:$D$503,38))=0,"",INDEX('Aides'!$D$4:$D$503,38))&amp;". ")&amp;IF(LEN(IF(ISNUMBER(INDEX('Aides'!$F$4:$F$503,38)),TEXT(INDEX('Aides'!$F$4:$F$503,38),"yyyy-mm-dd"),""))=0,"","Registry expiry: "&amp;IF(ISNUMBER(INDEX('Aides'!$F$4:$F$503,38)),TEXT(INDEX('Aides'!$F$4:$F$503,38),"yyyy-mm-dd"),"")&amp;". ")&amp;IF(LEN(IF(ISNUMBER(INDEX('Aides'!$G$4:$G$503,38)),TEXT(INDEX('Aides'!$G$4:$G$503,38),"yyyy-mm-dd"),""))=0,"","Last paid nursing work: "&amp;IF(ISNUMBER(INDEX('Aides'!$G$4:$G$503,38)),TEXT(INDEX('Aides'!$G$4:$G$503,38),"yyyy-mm-dd"),"")&amp;". ")&amp;IF(LEN(IF(ISNUMBER(INDEX('Aides'!$H$4:$H$503,38)),TEXT(INDEX('Aides'!$H$4:$H$503,38),"yyyy-mm-dd"),""))=0,"","24-month cut-off: "&amp;IF(ISNUMBER(INDEX('Aides'!$H$4:$H$503,38)),TEXT(INDEX('Aides'!$H$4:$H$503,38),"yyyy-mm-dd"),"")&amp;". ")&amp;IF(LEN(IF(LEN(INDEX('Aides'!$U$4:$U$503,38))=0,"",INDEX('Aides'!$U$4:$U$503,38)))=0,"","Owner: "&amp;IF(LEN(INDEX('Aides'!$U$4:$U$503,38))=0,"",INDEX('Aides'!$U$4:$U$503,38))&amp;". ")&amp;IF(LEN(IF(LEN(INDEX('Aides'!$X$4:$X$503,38))=0,"",INDEX('Aides'!$X$4:$X$503,38)))=0,"",IF(LEN(INDEX('Aides'!$X$4:$X$503,38))=0,"",INDEX('Aides'!$X$4:$X$503,38))))</f>
        <v/>
      </c>
      <c r="I41">
        <f>IF(LEN(INDEX('Aides'!$W$4:$W$503,38))=0,"",INDEX('Aides'!$W$4:$W$503,38))</f>
        <v/>
      </c>
      <c r="J41">
        <f>IF(LEN(INDEX('Aides'!$V$4:$V$503,38))=0,"",INDEX('Aides'!$V$4:$V$503,38))</f>
        <v/>
      </c>
    </row>
    <row r="42">
      <c r="A42">
        <f>IF(AND(LEN('Aides'!A42)&gt;0,ISNUMBER('Aides'!I42)),1,0)</f>
        <v/>
      </c>
      <c r="B42">
        <f>B41+A42</f>
        <v/>
      </c>
      <c r="C42">
        <f>IF(39&gt;$B$1503,"",MATCH(39-0.5,$B$3:$B$1503,1))</f>
        <v/>
      </c>
      <c r="D42">
        <f>"CNA certification ("&amp;IF(LEN(INDEX('Aides'!$C$4:$C$503,39))=0,"",INDEX('Aides'!$C$4:$C$503,39))&amp;") – "&amp;IF(LEN(INDEX('Aides'!$A$4:$A$503,39))=0,"",INDEX('Aides'!$A$4:$A$503,39))</f>
        <v/>
      </c>
      <c r="E42">
        <f>IF(ISNUMBER(INDEX('Aides'!$I$4:$I$503,39)),TEXT(INDEX('Aides'!$I$4:$I$503,39),"yyyy-mm-dd"),"")</f>
        <v/>
      </c>
      <c r="F42">
        <f>"Certification"</f>
        <v/>
      </c>
      <c r="G42">
        <f>"High"</f>
        <v/>
      </c>
      <c r="H42">
        <f>TRIM(IF(LEN(IF(LEN(INDEX('Aides'!$D$4:$D$503,39))=0,"",INDEX('Aides'!$D$4:$D$503,39)))=0,"","Registry no.: "&amp;IF(LEN(INDEX('Aides'!$D$4:$D$503,39))=0,"",INDEX('Aides'!$D$4:$D$503,39))&amp;". ")&amp;IF(LEN(IF(ISNUMBER(INDEX('Aides'!$F$4:$F$503,39)),TEXT(INDEX('Aides'!$F$4:$F$503,39),"yyyy-mm-dd"),""))=0,"","Registry expiry: "&amp;IF(ISNUMBER(INDEX('Aides'!$F$4:$F$503,39)),TEXT(INDEX('Aides'!$F$4:$F$503,39),"yyyy-mm-dd"),"")&amp;". ")&amp;IF(LEN(IF(ISNUMBER(INDEX('Aides'!$G$4:$G$503,39)),TEXT(INDEX('Aides'!$G$4:$G$503,39),"yyyy-mm-dd"),""))=0,"","Last paid nursing work: "&amp;IF(ISNUMBER(INDEX('Aides'!$G$4:$G$503,39)),TEXT(INDEX('Aides'!$G$4:$G$503,39),"yyyy-mm-dd"),"")&amp;". ")&amp;IF(LEN(IF(ISNUMBER(INDEX('Aides'!$H$4:$H$503,39)),TEXT(INDEX('Aides'!$H$4:$H$503,39),"yyyy-mm-dd"),""))=0,"","24-month cut-off: "&amp;IF(ISNUMBER(INDEX('Aides'!$H$4:$H$503,39)),TEXT(INDEX('Aides'!$H$4:$H$503,39),"yyyy-mm-dd"),"")&amp;". ")&amp;IF(LEN(IF(LEN(INDEX('Aides'!$U$4:$U$503,39))=0,"",INDEX('Aides'!$U$4:$U$503,39)))=0,"","Owner: "&amp;IF(LEN(INDEX('Aides'!$U$4:$U$503,39))=0,"",INDEX('Aides'!$U$4:$U$503,39))&amp;". ")&amp;IF(LEN(IF(LEN(INDEX('Aides'!$X$4:$X$503,39))=0,"",INDEX('Aides'!$X$4:$X$503,39)))=0,"",IF(LEN(INDEX('Aides'!$X$4:$X$503,39))=0,"",INDEX('Aides'!$X$4:$X$503,39))))</f>
        <v/>
      </c>
      <c r="I42">
        <f>IF(LEN(INDEX('Aides'!$W$4:$W$503,39))=0,"",INDEX('Aides'!$W$4:$W$503,39))</f>
        <v/>
      </c>
      <c r="J42">
        <f>IF(LEN(INDEX('Aides'!$V$4:$V$503,39))=0,"",INDEX('Aides'!$V$4:$V$503,39))</f>
        <v/>
      </c>
    </row>
    <row r="43">
      <c r="A43">
        <f>IF(AND(LEN('Aides'!A43)&gt;0,ISNUMBER('Aides'!I43)),1,0)</f>
        <v/>
      </c>
      <c r="B43">
        <f>B42+A43</f>
        <v/>
      </c>
      <c r="C43">
        <f>IF(40&gt;$B$1503,"",MATCH(40-0.5,$B$3:$B$1503,1))</f>
        <v/>
      </c>
      <c r="D43">
        <f>"CNA certification ("&amp;IF(LEN(INDEX('Aides'!$C$4:$C$503,40))=0,"",INDEX('Aides'!$C$4:$C$503,40))&amp;") – "&amp;IF(LEN(INDEX('Aides'!$A$4:$A$503,40))=0,"",INDEX('Aides'!$A$4:$A$503,40))</f>
        <v/>
      </c>
      <c r="E43">
        <f>IF(ISNUMBER(INDEX('Aides'!$I$4:$I$503,40)),TEXT(INDEX('Aides'!$I$4:$I$503,40),"yyyy-mm-dd"),"")</f>
        <v/>
      </c>
      <c r="F43">
        <f>"Certification"</f>
        <v/>
      </c>
      <c r="G43">
        <f>"High"</f>
        <v/>
      </c>
      <c r="H43">
        <f>TRIM(IF(LEN(IF(LEN(INDEX('Aides'!$D$4:$D$503,40))=0,"",INDEX('Aides'!$D$4:$D$503,40)))=0,"","Registry no.: "&amp;IF(LEN(INDEX('Aides'!$D$4:$D$503,40))=0,"",INDEX('Aides'!$D$4:$D$503,40))&amp;". ")&amp;IF(LEN(IF(ISNUMBER(INDEX('Aides'!$F$4:$F$503,40)),TEXT(INDEX('Aides'!$F$4:$F$503,40),"yyyy-mm-dd"),""))=0,"","Registry expiry: "&amp;IF(ISNUMBER(INDEX('Aides'!$F$4:$F$503,40)),TEXT(INDEX('Aides'!$F$4:$F$503,40),"yyyy-mm-dd"),"")&amp;". ")&amp;IF(LEN(IF(ISNUMBER(INDEX('Aides'!$G$4:$G$503,40)),TEXT(INDEX('Aides'!$G$4:$G$503,40),"yyyy-mm-dd"),""))=0,"","Last paid nursing work: "&amp;IF(ISNUMBER(INDEX('Aides'!$G$4:$G$503,40)),TEXT(INDEX('Aides'!$G$4:$G$503,40),"yyyy-mm-dd"),"")&amp;". ")&amp;IF(LEN(IF(ISNUMBER(INDEX('Aides'!$H$4:$H$503,40)),TEXT(INDEX('Aides'!$H$4:$H$503,40),"yyyy-mm-dd"),""))=0,"","24-month cut-off: "&amp;IF(ISNUMBER(INDEX('Aides'!$H$4:$H$503,40)),TEXT(INDEX('Aides'!$H$4:$H$503,40),"yyyy-mm-dd"),"")&amp;". ")&amp;IF(LEN(IF(LEN(INDEX('Aides'!$U$4:$U$503,40))=0,"",INDEX('Aides'!$U$4:$U$503,40)))=0,"","Owner: "&amp;IF(LEN(INDEX('Aides'!$U$4:$U$503,40))=0,"",INDEX('Aides'!$U$4:$U$503,40))&amp;". ")&amp;IF(LEN(IF(LEN(INDEX('Aides'!$X$4:$X$503,40))=0,"",INDEX('Aides'!$X$4:$X$503,40)))=0,"",IF(LEN(INDEX('Aides'!$X$4:$X$503,40))=0,"",INDEX('Aides'!$X$4:$X$503,40))))</f>
        <v/>
      </c>
      <c r="I43">
        <f>IF(LEN(INDEX('Aides'!$W$4:$W$503,40))=0,"",INDEX('Aides'!$W$4:$W$503,40))</f>
        <v/>
      </c>
      <c r="J43">
        <f>IF(LEN(INDEX('Aides'!$V$4:$V$503,40))=0,"",INDEX('Aides'!$V$4:$V$503,40))</f>
        <v/>
      </c>
    </row>
    <row r="44">
      <c r="A44">
        <f>IF(AND(LEN('Aides'!A44)&gt;0,ISNUMBER('Aides'!I44)),1,0)</f>
        <v/>
      </c>
      <c r="B44">
        <f>B43+A44</f>
        <v/>
      </c>
      <c r="C44">
        <f>IF(41&gt;$B$1503,"",MATCH(41-0.5,$B$3:$B$1503,1))</f>
        <v/>
      </c>
      <c r="D44">
        <f>"CNA certification ("&amp;IF(LEN(INDEX('Aides'!$C$4:$C$503,41))=0,"",INDEX('Aides'!$C$4:$C$503,41))&amp;") – "&amp;IF(LEN(INDEX('Aides'!$A$4:$A$503,41))=0,"",INDEX('Aides'!$A$4:$A$503,41))</f>
        <v/>
      </c>
      <c r="E44">
        <f>IF(ISNUMBER(INDEX('Aides'!$I$4:$I$503,41)),TEXT(INDEX('Aides'!$I$4:$I$503,41),"yyyy-mm-dd"),"")</f>
        <v/>
      </c>
      <c r="F44">
        <f>"Certification"</f>
        <v/>
      </c>
      <c r="G44">
        <f>"High"</f>
        <v/>
      </c>
      <c r="H44">
        <f>TRIM(IF(LEN(IF(LEN(INDEX('Aides'!$D$4:$D$503,41))=0,"",INDEX('Aides'!$D$4:$D$503,41)))=0,"","Registry no.: "&amp;IF(LEN(INDEX('Aides'!$D$4:$D$503,41))=0,"",INDEX('Aides'!$D$4:$D$503,41))&amp;". ")&amp;IF(LEN(IF(ISNUMBER(INDEX('Aides'!$F$4:$F$503,41)),TEXT(INDEX('Aides'!$F$4:$F$503,41),"yyyy-mm-dd"),""))=0,"","Registry expiry: "&amp;IF(ISNUMBER(INDEX('Aides'!$F$4:$F$503,41)),TEXT(INDEX('Aides'!$F$4:$F$503,41),"yyyy-mm-dd"),"")&amp;". ")&amp;IF(LEN(IF(ISNUMBER(INDEX('Aides'!$G$4:$G$503,41)),TEXT(INDEX('Aides'!$G$4:$G$503,41),"yyyy-mm-dd"),""))=0,"","Last paid nursing work: "&amp;IF(ISNUMBER(INDEX('Aides'!$G$4:$G$503,41)),TEXT(INDEX('Aides'!$G$4:$G$503,41),"yyyy-mm-dd"),"")&amp;". ")&amp;IF(LEN(IF(ISNUMBER(INDEX('Aides'!$H$4:$H$503,41)),TEXT(INDEX('Aides'!$H$4:$H$503,41),"yyyy-mm-dd"),""))=0,"","24-month cut-off: "&amp;IF(ISNUMBER(INDEX('Aides'!$H$4:$H$503,41)),TEXT(INDEX('Aides'!$H$4:$H$503,41),"yyyy-mm-dd"),"")&amp;". ")&amp;IF(LEN(IF(LEN(INDEX('Aides'!$U$4:$U$503,41))=0,"",INDEX('Aides'!$U$4:$U$503,41)))=0,"","Owner: "&amp;IF(LEN(INDEX('Aides'!$U$4:$U$503,41))=0,"",INDEX('Aides'!$U$4:$U$503,41))&amp;". ")&amp;IF(LEN(IF(LEN(INDEX('Aides'!$X$4:$X$503,41))=0,"",INDEX('Aides'!$X$4:$X$503,41)))=0,"",IF(LEN(INDEX('Aides'!$X$4:$X$503,41))=0,"",INDEX('Aides'!$X$4:$X$503,41))))</f>
        <v/>
      </c>
      <c r="I44">
        <f>IF(LEN(INDEX('Aides'!$W$4:$W$503,41))=0,"",INDEX('Aides'!$W$4:$W$503,41))</f>
        <v/>
      </c>
      <c r="J44">
        <f>IF(LEN(INDEX('Aides'!$V$4:$V$503,41))=0,"",INDEX('Aides'!$V$4:$V$503,41))</f>
        <v/>
      </c>
    </row>
    <row r="45">
      <c r="A45">
        <f>IF(AND(LEN('Aides'!A45)&gt;0,ISNUMBER('Aides'!I45)),1,0)</f>
        <v/>
      </c>
      <c r="B45">
        <f>B44+A45</f>
        <v/>
      </c>
      <c r="C45">
        <f>IF(42&gt;$B$1503,"",MATCH(42-0.5,$B$3:$B$1503,1))</f>
        <v/>
      </c>
      <c r="D45">
        <f>"CNA certification ("&amp;IF(LEN(INDEX('Aides'!$C$4:$C$503,42))=0,"",INDEX('Aides'!$C$4:$C$503,42))&amp;") – "&amp;IF(LEN(INDEX('Aides'!$A$4:$A$503,42))=0,"",INDEX('Aides'!$A$4:$A$503,42))</f>
        <v/>
      </c>
      <c r="E45">
        <f>IF(ISNUMBER(INDEX('Aides'!$I$4:$I$503,42)),TEXT(INDEX('Aides'!$I$4:$I$503,42),"yyyy-mm-dd"),"")</f>
        <v/>
      </c>
      <c r="F45">
        <f>"Certification"</f>
        <v/>
      </c>
      <c r="G45">
        <f>"High"</f>
        <v/>
      </c>
      <c r="H45">
        <f>TRIM(IF(LEN(IF(LEN(INDEX('Aides'!$D$4:$D$503,42))=0,"",INDEX('Aides'!$D$4:$D$503,42)))=0,"","Registry no.: "&amp;IF(LEN(INDEX('Aides'!$D$4:$D$503,42))=0,"",INDEX('Aides'!$D$4:$D$503,42))&amp;". ")&amp;IF(LEN(IF(ISNUMBER(INDEX('Aides'!$F$4:$F$503,42)),TEXT(INDEX('Aides'!$F$4:$F$503,42),"yyyy-mm-dd"),""))=0,"","Registry expiry: "&amp;IF(ISNUMBER(INDEX('Aides'!$F$4:$F$503,42)),TEXT(INDEX('Aides'!$F$4:$F$503,42),"yyyy-mm-dd"),"")&amp;". ")&amp;IF(LEN(IF(ISNUMBER(INDEX('Aides'!$G$4:$G$503,42)),TEXT(INDEX('Aides'!$G$4:$G$503,42),"yyyy-mm-dd"),""))=0,"","Last paid nursing work: "&amp;IF(ISNUMBER(INDEX('Aides'!$G$4:$G$503,42)),TEXT(INDEX('Aides'!$G$4:$G$503,42),"yyyy-mm-dd"),"")&amp;". ")&amp;IF(LEN(IF(ISNUMBER(INDEX('Aides'!$H$4:$H$503,42)),TEXT(INDEX('Aides'!$H$4:$H$503,42),"yyyy-mm-dd"),""))=0,"","24-month cut-off: "&amp;IF(ISNUMBER(INDEX('Aides'!$H$4:$H$503,42)),TEXT(INDEX('Aides'!$H$4:$H$503,42),"yyyy-mm-dd"),"")&amp;". ")&amp;IF(LEN(IF(LEN(INDEX('Aides'!$U$4:$U$503,42))=0,"",INDEX('Aides'!$U$4:$U$503,42)))=0,"","Owner: "&amp;IF(LEN(INDEX('Aides'!$U$4:$U$503,42))=0,"",INDEX('Aides'!$U$4:$U$503,42))&amp;". ")&amp;IF(LEN(IF(LEN(INDEX('Aides'!$X$4:$X$503,42))=0,"",INDEX('Aides'!$X$4:$X$503,42)))=0,"",IF(LEN(INDEX('Aides'!$X$4:$X$503,42))=0,"",INDEX('Aides'!$X$4:$X$503,42))))</f>
        <v/>
      </c>
      <c r="I45">
        <f>IF(LEN(INDEX('Aides'!$W$4:$W$503,42))=0,"",INDEX('Aides'!$W$4:$W$503,42))</f>
        <v/>
      </c>
      <c r="J45">
        <f>IF(LEN(INDEX('Aides'!$V$4:$V$503,42))=0,"",INDEX('Aides'!$V$4:$V$503,42))</f>
        <v/>
      </c>
    </row>
    <row r="46">
      <c r="A46">
        <f>IF(AND(LEN('Aides'!A46)&gt;0,ISNUMBER('Aides'!I46)),1,0)</f>
        <v/>
      </c>
      <c r="B46">
        <f>B45+A46</f>
        <v/>
      </c>
      <c r="C46">
        <f>IF(43&gt;$B$1503,"",MATCH(43-0.5,$B$3:$B$1503,1))</f>
        <v/>
      </c>
      <c r="D46">
        <f>"CNA certification ("&amp;IF(LEN(INDEX('Aides'!$C$4:$C$503,43))=0,"",INDEX('Aides'!$C$4:$C$503,43))&amp;") – "&amp;IF(LEN(INDEX('Aides'!$A$4:$A$503,43))=0,"",INDEX('Aides'!$A$4:$A$503,43))</f>
        <v/>
      </c>
      <c r="E46">
        <f>IF(ISNUMBER(INDEX('Aides'!$I$4:$I$503,43)),TEXT(INDEX('Aides'!$I$4:$I$503,43),"yyyy-mm-dd"),"")</f>
        <v/>
      </c>
      <c r="F46">
        <f>"Certification"</f>
        <v/>
      </c>
      <c r="G46">
        <f>"High"</f>
        <v/>
      </c>
      <c r="H46">
        <f>TRIM(IF(LEN(IF(LEN(INDEX('Aides'!$D$4:$D$503,43))=0,"",INDEX('Aides'!$D$4:$D$503,43)))=0,"","Registry no.: "&amp;IF(LEN(INDEX('Aides'!$D$4:$D$503,43))=0,"",INDEX('Aides'!$D$4:$D$503,43))&amp;". ")&amp;IF(LEN(IF(ISNUMBER(INDEX('Aides'!$F$4:$F$503,43)),TEXT(INDEX('Aides'!$F$4:$F$503,43),"yyyy-mm-dd"),""))=0,"","Registry expiry: "&amp;IF(ISNUMBER(INDEX('Aides'!$F$4:$F$503,43)),TEXT(INDEX('Aides'!$F$4:$F$503,43),"yyyy-mm-dd"),"")&amp;". ")&amp;IF(LEN(IF(ISNUMBER(INDEX('Aides'!$G$4:$G$503,43)),TEXT(INDEX('Aides'!$G$4:$G$503,43),"yyyy-mm-dd"),""))=0,"","Last paid nursing work: "&amp;IF(ISNUMBER(INDEX('Aides'!$G$4:$G$503,43)),TEXT(INDEX('Aides'!$G$4:$G$503,43),"yyyy-mm-dd"),"")&amp;". ")&amp;IF(LEN(IF(ISNUMBER(INDEX('Aides'!$H$4:$H$503,43)),TEXT(INDEX('Aides'!$H$4:$H$503,43),"yyyy-mm-dd"),""))=0,"","24-month cut-off: "&amp;IF(ISNUMBER(INDEX('Aides'!$H$4:$H$503,43)),TEXT(INDEX('Aides'!$H$4:$H$503,43),"yyyy-mm-dd"),"")&amp;". ")&amp;IF(LEN(IF(LEN(INDEX('Aides'!$U$4:$U$503,43))=0,"",INDEX('Aides'!$U$4:$U$503,43)))=0,"","Owner: "&amp;IF(LEN(INDEX('Aides'!$U$4:$U$503,43))=0,"",INDEX('Aides'!$U$4:$U$503,43))&amp;". ")&amp;IF(LEN(IF(LEN(INDEX('Aides'!$X$4:$X$503,43))=0,"",INDEX('Aides'!$X$4:$X$503,43)))=0,"",IF(LEN(INDEX('Aides'!$X$4:$X$503,43))=0,"",INDEX('Aides'!$X$4:$X$503,43))))</f>
        <v/>
      </c>
      <c r="I46">
        <f>IF(LEN(INDEX('Aides'!$W$4:$W$503,43))=0,"",INDEX('Aides'!$W$4:$W$503,43))</f>
        <v/>
      </c>
      <c r="J46">
        <f>IF(LEN(INDEX('Aides'!$V$4:$V$503,43))=0,"",INDEX('Aides'!$V$4:$V$503,43))</f>
        <v/>
      </c>
    </row>
    <row r="47">
      <c r="A47">
        <f>IF(AND(LEN('Aides'!A47)&gt;0,ISNUMBER('Aides'!I47)),1,0)</f>
        <v/>
      </c>
      <c r="B47">
        <f>B46+A47</f>
        <v/>
      </c>
      <c r="C47">
        <f>IF(44&gt;$B$1503,"",MATCH(44-0.5,$B$3:$B$1503,1))</f>
        <v/>
      </c>
      <c r="D47">
        <f>"CNA certification ("&amp;IF(LEN(INDEX('Aides'!$C$4:$C$503,44))=0,"",INDEX('Aides'!$C$4:$C$503,44))&amp;") – "&amp;IF(LEN(INDEX('Aides'!$A$4:$A$503,44))=0,"",INDEX('Aides'!$A$4:$A$503,44))</f>
        <v/>
      </c>
      <c r="E47">
        <f>IF(ISNUMBER(INDEX('Aides'!$I$4:$I$503,44)),TEXT(INDEX('Aides'!$I$4:$I$503,44),"yyyy-mm-dd"),"")</f>
        <v/>
      </c>
      <c r="F47">
        <f>"Certification"</f>
        <v/>
      </c>
      <c r="G47">
        <f>"High"</f>
        <v/>
      </c>
      <c r="H47">
        <f>TRIM(IF(LEN(IF(LEN(INDEX('Aides'!$D$4:$D$503,44))=0,"",INDEX('Aides'!$D$4:$D$503,44)))=0,"","Registry no.: "&amp;IF(LEN(INDEX('Aides'!$D$4:$D$503,44))=0,"",INDEX('Aides'!$D$4:$D$503,44))&amp;". ")&amp;IF(LEN(IF(ISNUMBER(INDEX('Aides'!$F$4:$F$503,44)),TEXT(INDEX('Aides'!$F$4:$F$503,44),"yyyy-mm-dd"),""))=0,"","Registry expiry: "&amp;IF(ISNUMBER(INDEX('Aides'!$F$4:$F$503,44)),TEXT(INDEX('Aides'!$F$4:$F$503,44),"yyyy-mm-dd"),"")&amp;". ")&amp;IF(LEN(IF(ISNUMBER(INDEX('Aides'!$G$4:$G$503,44)),TEXT(INDEX('Aides'!$G$4:$G$503,44),"yyyy-mm-dd"),""))=0,"","Last paid nursing work: "&amp;IF(ISNUMBER(INDEX('Aides'!$G$4:$G$503,44)),TEXT(INDEX('Aides'!$G$4:$G$503,44),"yyyy-mm-dd"),"")&amp;". ")&amp;IF(LEN(IF(ISNUMBER(INDEX('Aides'!$H$4:$H$503,44)),TEXT(INDEX('Aides'!$H$4:$H$503,44),"yyyy-mm-dd"),""))=0,"","24-month cut-off: "&amp;IF(ISNUMBER(INDEX('Aides'!$H$4:$H$503,44)),TEXT(INDEX('Aides'!$H$4:$H$503,44),"yyyy-mm-dd"),"")&amp;". ")&amp;IF(LEN(IF(LEN(INDEX('Aides'!$U$4:$U$503,44))=0,"",INDEX('Aides'!$U$4:$U$503,44)))=0,"","Owner: "&amp;IF(LEN(INDEX('Aides'!$U$4:$U$503,44))=0,"",INDEX('Aides'!$U$4:$U$503,44))&amp;". ")&amp;IF(LEN(IF(LEN(INDEX('Aides'!$X$4:$X$503,44))=0,"",INDEX('Aides'!$X$4:$X$503,44)))=0,"",IF(LEN(INDEX('Aides'!$X$4:$X$503,44))=0,"",INDEX('Aides'!$X$4:$X$503,44))))</f>
        <v/>
      </c>
      <c r="I47">
        <f>IF(LEN(INDEX('Aides'!$W$4:$W$503,44))=0,"",INDEX('Aides'!$W$4:$W$503,44))</f>
        <v/>
      </c>
      <c r="J47">
        <f>IF(LEN(INDEX('Aides'!$V$4:$V$503,44))=0,"",INDEX('Aides'!$V$4:$V$503,44))</f>
        <v/>
      </c>
    </row>
    <row r="48">
      <c r="A48">
        <f>IF(AND(LEN('Aides'!A48)&gt;0,ISNUMBER('Aides'!I48)),1,0)</f>
        <v/>
      </c>
      <c r="B48">
        <f>B47+A48</f>
        <v/>
      </c>
      <c r="C48">
        <f>IF(45&gt;$B$1503,"",MATCH(45-0.5,$B$3:$B$1503,1))</f>
        <v/>
      </c>
      <c r="D48">
        <f>"CNA certification ("&amp;IF(LEN(INDEX('Aides'!$C$4:$C$503,45))=0,"",INDEX('Aides'!$C$4:$C$503,45))&amp;") – "&amp;IF(LEN(INDEX('Aides'!$A$4:$A$503,45))=0,"",INDEX('Aides'!$A$4:$A$503,45))</f>
        <v/>
      </c>
      <c r="E48">
        <f>IF(ISNUMBER(INDEX('Aides'!$I$4:$I$503,45)),TEXT(INDEX('Aides'!$I$4:$I$503,45),"yyyy-mm-dd"),"")</f>
        <v/>
      </c>
      <c r="F48">
        <f>"Certification"</f>
        <v/>
      </c>
      <c r="G48">
        <f>"High"</f>
        <v/>
      </c>
      <c r="H48">
        <f>TRIM(IF(LEN(IF(LEN(INDEX('Aides'!$D$4:$D$503,45))=0,"",INDEX('Aides'!$D$4:$D$503,45)))=0,"","Registry no.: "&amp;IF(LEN(INDEX('Aides'!$D$4:$D$503,45))=0,"",INDEX('Aides'!$D$4:$D$503,45))&amp;". ")&amp;IF(LEN(IF(ISNUMBER(INDEX('Aides'!$F$4:$F$503,45)),TEXT(INDEX('Aides'!$F$4:$F$503,45),"yyyy-mm-dd"),""))=0,"","Registry expiry: "&amp;IF(ISNUMBER(INDEX('Aides'!$F$4:$F$503,45)),TEXT(INDEX('Aides'!$F$4:$F$503,45),"yyyy-mm-dd"),"")&amp;". ")&amp;IF(LEN(IF(ISNUMBER(INDEX('Aides'!$G$4:$G$503,45)),TEXT(INDEX('Aides'!$G$4:$G$503,45),"yyyy-mm-dd"),""))=0,"","Last paid nursing work: "&amp;IF(ISNUMBER(INDEX('Aides'!$G$4:$G$503,45)),TEXT(INDEX('Aides'!$G$4:$G$503,45),"yyyy-mm-dd"),"")&amp;". ")&amp;IF(LEN(IF(ISNUMBER(INDEX('Aides'!$H$4:$H$503,45)),TEXT(INDEX('Aides'!$H$4:$H$503,45),"yyyy-mm-dd"),""))=0,"","24-month cut-off: "&amp;IF(ISNUMBER(INDEX('Aides'!$H$4:$H$503,45)),TEXT(INDEX('Aides'!$H$4:$H$503,45),"yyyy-mm-dd"),"")&amp;". ")&amp;IF(LEN(IF(LEN(INDEX('Aides'!$U$4:$U$503,45))=0,"",INDEX('Aides'!$U$4:$U$503,45)))=0,"","Owner: "&amp;IF(LEN(INDEX('Aides'!$U$4:$U$503,45))=0,"",INDEX('Aides'!$U$4:$U$503,45))&amp;". ")&amp;IF(LEN(IF(LEN(INDEX('Aides'!$X$4:$X$503,45))=0,"",INDEX('Aides'!$X$4:$X$503,45)))=0,"",IF(LEN(INDEX('Aides'!$X$4:$X$503,45))=0,"",INDEX('Aides'!$X$4:$X$503,45))))</f>
        <v/>
      </c>
      <c r="I48">
        <f>IF(LEN(INDEX('Aides'!$W$4:$W$503,45))=0,"",INDEX('Aides'!$W$4:$W$503,45))</f>
        <v/>
      </c>
      <c r="J48">
        <f>IF(LEN(INDEX('Aides'!$V$4:$V$503,45))=0,"",INDEX('Aides'!$V$4:$V$503,45))</f>
        <v/>
      </c>
    </row>
    <row r="49">
      <c r="A49">
        <f>IF(AND(LEN('Aides'!A49)&gt;0,ISNUMBER('Aides'!I49)),1,0)</f>
        <v/>
      </c>
      <c r="B49">
        <f>B48+A49</f>
        <v/>
      </c>
      <c r="C49">
        <f>IF(46&gt;$B$1503,"",MATCH(46-0.5,$B$3:$B$1503,1))</f>
        <v/>
      </c>
      <c r="D49">
        <f>"CNA certification ("&amp;IF(LEN(INDEX('Aides'!$C$4:$C$503,46))=0,"",INDEX('Aides'!$C$4:$C$503,46))&amp;") – "&amp;IF(LEN(INDEX('Aides'!$A$4:$A$503,46))=0,"",INDEX('Aides'!$A$4:$A$503,46))</f>
        <v/>
      </c>
      <c r="E49">
        <f>IF(ISNUMBER(INDEX('Aides'!$I$4:$I$503,46)),TEXT(INDEX('Aides'!$I$4:$I$503,46),"yyyy-mm-dd"),"")</f>
        <v/>
      </c>
      <c r="F49">
        <f>"Certification"</f>
        <v/>
      </c>
      <c r="G49">
        <f>"High"</f>
        <v/>
      </c>
      <c r="H49">
        <f>TRIM(IF(LEN(IF(LEN(INDEX('Aides'!$D$4:$D$503,46))=0,"",INDEX('Aides'!$D$4:$D$503,46)))=0,"","Registry no.: "&amp;IF(LEN(INDEX('Aides'!$D$4:$D$503,46))=0,"",INDEX('Aides'!$D$4:$D$503,46))&amp;". ")&amp;IF(LEN(IF(ISNUMBER(INDEX('Aides'!$F$4:$F$503,46)),TEXT(INDEX('Aides'!$F$4:$F$503,46),"yyyy-mm-dd"),""))=0,"","Registry expiry: "&amp;IF(ISNUMBER(INDEX('Aides'!$F$4:$F$503,46)),TEXT(INDEX('Aides'!$F$4:$F$503,46),"yyyy-mm-dd"),"")&amp;". ")&amp;IF(LEN(IF(ISNUMBER(INDEX('Aides'!$G$4:$G$503,46)),TEXT(INDEX('Aides'!$G$4:$G$503,46),"yyyy-mm-dd"),""))=0,"","Last paid nursing work: "&amp;IF(ISNUMBER(INDEX('Aides'!$G$4:$G$503,46)),TEXT(INDEX('Aides'!$G$4:$G$503,46),"yyyy-mm-dd"),"")&amp;". ")&amp;IF(LEN(IF(ISNUMBER(INDEX('Aides'!$H$4:$H$503,46)),TEXT(INDEX('Aides'!$H$4:$H$503,46),"yyyy-mm-dd"),""))=0,"","24-month cut-off: "&amp;IF(ISNUMBER(INDEX('Aides'!$H$4:$H$503,46)),TEXT(INDEX('Aides'!$H$4:$H$503,46),"yyyy-mm-dd"),"")&amp;". ")&amp;IF(LEN(IF(LEN(INDEX('Aides'!$U$4:$U$503,46))=0,"",INDEX('Aides'!$U$4:$U$503,46)))=0,"","Owner: "&amp;IF(LEN(INDEX('Aides'!$U$4:$U$503,46))=0,"",INDEX('Aides'!$U$4:$U$503,46))&amp;". ")&amp;IF(LEN(IF(LEN(INDEX('Aides'!$X$4:$X$503,46))=0,"",INDEX('Aides'!$X$4:$X$503,46)))=0,"",IF(LEN(INDEX('Aides'!$X$4:$X$503,46))=0,"",INDEX('Aides'!$X$4:$X$503,46))))</f>
        <v/>
      </c>
      <c r="I49">
        <f>IF(LEN(INDEX('Aides'!$W$4:$W$503,46))=0,"",INDEX('Aides'!$W$4:$W$503,46))</f>
        <v/>
      </c>
      <c r="J49">
        <f>IF(LEN(INDEX('Aides'!$V$4:$V$503,46))=0,"",INDEX('Aides'!$V$4:$V$503,46))</f>
        <v/>
      </c>
    </row>
    <row r="50">
      <c r="A50">
        <f>IF(AND(LEN('Aides'!A50)&gt;0,ISNUMBER('Aides'!I50)),1,0)</f>
        <v/>
      </c>
      <c r="B50">
        <f>B49+A50</f>
        <v/>
      </c>
      <c r="C50">
        <f>IF(47&gt;$B$1503,"",MATCH(47-0.5,$B$3:$B$1503,1))</f>
        <v/>
      </c>
      <c r="D50">
        <f>"CNA certification ("&amp;IF(LEN(INDEX('Aides'!$C$4:$C$503,47))=0,"",INDEX('Aides'!$C$4:$C$503,47))&amp;") – "&amp;IF(LEN(INDEX('Aides'!$A$4:$A$503,47))=0,"",INDEX('Aides'!$A$4:$A$503,47))</f>
        <v/>
      </c>
      <c r="E50">
        <f>IF(ISNUMBER(INDEX('Aides'!$I$4:$I$503,47)),TEXT(INDEX('Aides'!$I$4:$I$503,47),"yyyy-mm-dd"),"")</f>
        <v/>
      </c>
      <c r="F50">
        <f>"Certification"</f>
        <v/>
      </c>
      <c r="G50">
        <f>"High"</f>
        <v/>
      </c>
      <c r="H50">
        <f>TRIM(IF(LEN(IF(LEN(INDEX('Aides'!$D$4:$D$503,47))=0,"",INDEX('Aides'!$D$4:$D$503,47)))=0,"","Registry no.: "&amp;IF(LEN(INDEX('Aides'!$D$4:$D$503,47))=0,"",INDEX('Aides'!$D$4:$D$503,47))&amp;". ")&amp;IF(LEN(IF(ISNUMBER(INDEX('Aides'!$F$4:$F$503,47)),TEXT(INDEX('Aides'!$F$4:$F$503,47),"yyyy-mm-dd"),""))=0,"","Registry expiry: "&amp;IF(ISNUMBER(INDEX('Aides'!$F$4:$F$503,47)),TEXT(INDEX('Aides'!$F$4:$F$503,47),"yyyy-mm-dd"),"")&amp;". ")&amp;IF(LEN(IF(ISNUMBER(INDEX('Aides'!$G$4:$G$503,47)),TEXT(INDEX('Aides'!$G$4:$G$503,47),"yyyy-mm-dd"),""))=0,"","Last paid nursing work: "&amp;IF(ISNUMBER(INDEX('Aides'!$G$4:$G$503,47)),TEXT(INDEX('Aides'!$G$4:$G$503,47),"yyyy-mm-dd"),"")&amp;". ")&amp;IF(LEN(IF(ISNUMBER(INDEX('Aides'!$H$4:$H$503,47)),TEXT(INDEX('Aides'!$H$4:$H$503,47),"yyyy-mm-dd"),""))=0,"","24-month cut-off: "&amp;IF(ISNUMBER(INDEX('Aides'!$H$4:$H$503,47)),TEXT(INDEX('Aides'!$H$4:$H$503,47),"yyyy-mm-dd"),"")&amp;". ")&amp;IF(LEN(IF(LEN(INDEX('Aides'!$U$4:$U$503,47))=0,"",INDEX('Aides'!$U$4:$U$503,47)))=0,"","Owner: "&amp;IF(LEN(INDEX('Aides'!$U$4:$U$503,47))=0,"",INDEX('Aides'!$U$4:$U$503,47))&amp;". ")&amp;IF(LEN(IF(LEN(INDEX('Aides'!$X$4:$X$503,47))=0,"",INDEX('Aides'!$X$4:$X$503,47)))=0,"",IF(LEN(INDEX('Aides'!$X$4:$X$503,47))=0,"",INDEX('Aides'!$X$4:$X$503,47))))</f>
        <v/>
      </c>
      <c r="I50">
        <f>IF(LEN(INDEX('Aides'!$W$4:$W$503,47))=0,"",INDEX('Aides'!$W$4:$W$503,47))</f>
        <v/>
      </c>
      <c r="J50">
        <f>IF(LEN(INDEX('Aides'!$V$4:$V$503,47))=0,"",INDEX('Aides'!$V$4:$V$503,47))</f>
        <v/>
      </c>
    </row>
    <row r="51">
      <c r="A51">
        <f>IF(AND(LEN('Aides'!A51)&gt;0,ISNUMBER('Aides'!I51)),1,0)</f>
        <v/>
      </c>
      <c r="B51">
        <f>B50+A51</f>
        <v/>
      </c>
      <c r="C51">
        <f>IF(48&gt;$B$1503,"",MATCH(48-0.5,$B$3:$B$1503,1))</f>
        <v/>
      </c>
      <c r="D51">
        <f>"CNA certification ("&amp;IF(LEN(INDEX('Aides'!$C$4:$C$503,48))=0,"",INDEX('Aides'!$C$4:$C$503,48))&amp;") – "&amp;IF(LEN(INDEX('Aides'!$A$4:$A$503,48))=0,"",INDEX('Aides'!$A$4:$A$503,48))</f>
        <v/>
      </c>
      <c r="E51">
        <f>IF(ISNUMBER(INDEX('Aides'!$I$4:$I$503,48)),TEXT(INDEX('Aides'!$I$4:$I$503,48),"yyyy-mm-dd"),"")</f>
        <v/>
      </c>
      <c r="F51">
        <f>"Certification"</f>
        <v/>
      </c>
      <c r="G51">
        <f>"High"</f>
        <v/>
      </c>
      <c r="H51">
        <f>TRIM(IF(LEN(IF(LEN(INDEX('Aides'!$D$4:$D$503,48))=0,"",INDEX('Aides'!$D$4:$D$503,48)))=0,"","Registry no.: "&amp;IF(LEN(INDEX('Aides'!$D$4:$D$503,48))=0,"",INDEX('Aides'!$D$4:$D$503,48))&amp;". ")&amp;IF(LEN(IF(ISNUMBER(INDEX('Aides'!$F$4:$F$503,48)),TEXT(INDEX('Aides'!$F$4:$F$503,48),"yyyy-mm-dd"),""))=0,"","Registry expiry: "&amp;IF(ISNUMBER(INDEX('Aides'!$F$4:$F$503,48)),TEXT(INDEX('Aides'!$F$4:$F$503,48),"yyyy-mm-dd"),"")&amp;". ")&amp;IF(LEN(IF(ISNUMBER(INDEX('Aides'!$G$4:$G$503,48)),TEXT(INDEX('Aides'!$G$4:$G$503,48),"yyyy-mm-dd"),""))=0,"","Last paid nursing work: "&amp;IF(ISNUMBER(INDEX('Aides'!$G$4:$G$503,48)),TEXT(INDEX('Aides'!$G$4:$G$503,48),"yyyy-mm-dd"),"")&amp;". ")&amp;IF(LEN(IF(ISNUMBER(INDEX('Aides'!$H$4:$H$503,48)),TEXT(INDEX('Aides'!$H$4:$H$503,48),"yyyy-mm-dd"),""))=0,"","24-month cut-off: "&amp;IF(ISNUMBER(INDEX('Aides'!$H$4:$H$503,48)),TEXT(INDEX('Aides'!$H$4:$H$503,48),"yyyy-mm-dd"),"")&amp;". ")&amp;IF(LEN(IF(LEN(INDEX('Aides'!$U$4:$U$503,48))=0,"",INDEX('Aides'!$U$4:$U$503,48)))=0,"","Owner: "&amp;IF(LEN(INDEX('Aides'!$U$4:$U$503,48))=0,"",INDEX('Aides'!$U$4:$U$503,48))&amp;". ")&amp;IF(LEN(IF(LEN(INDEX('Aides'!$X$4:$X$503,48))=0,"",INDEX('Aides'!$X$4:$X$503,48)))=0,"",IF(LEN(INDEX('Aides'!$X$4:$X$503,48))=0,"",INDEX('Aides'!$X$4:$X$503,48))))</f>
        <v/>
      </c>
      <c r="I51">
        <f>IF(LEN(INDEX('Aides'!$W$4:$W$503,48))=0,"",INDEX('Aides'!$W$4:$W$503,48))</f>
        <v/>
      </c>
      <c r="J51">
        <f>IF(LEN(INDEX('Aides'!$V$4:$V$503,48))=0,"",INDEX('Aides'!$V$4:$V$503,48))</f>
        <v/>
      </c>
    </row>
    <row r="52">
      <c r="A52">
        <f>IF(AND(LEN('Aides'!A52)&gt;0,ISNUMBER('Aides'!I52)),1,0)</f>
        <v/>
      </c>
      <c r="B52">
        <f>B51+A52</f>
        <v/>
      </c>
      <c r="C52">
        <f>IF(49&gt;$B$1503,"",MATCH(49-0.5,$B$3:$B$1503,1))</f>
        <v/>
      </c>
      <c r="D52">
        <f>"CNA certification ("&amp;IF(LEN(INDEX('Aides'!$C$4:$C$503,49))=0,"",INDEX('Aides'!$C$4:$C$503,49))&amp;") – "&amp;IF(LEN(INDEX('Aides'!$A$4:$A$503,49))=0,"",INDEX('Aides'!$A$4:$A$503,49))</f>
        <v/>
      </c>
      <c r="E52">
        <f>IF(ISNUMBER(INDEX('Aides'!$I$4:$I$503,49)),TEXT(INDEX('Aides'!$I$4:$I$503,49),"yyyy-mm-dd"),"")</f>
        <v/>
      </c>
      <c r="F52">
        <f>"Certification"</f>
        <v/>
      </c>
      <c r="G52">
        <f>"High"</f>
        <v/>
      </c>
      <c r="H52">
        <f>TRIM(IF(LEN(IF(LEN(INDEX('Aides'!$D$4:$D$503,49))=0,"",INDEX('Aides'!$D$4:$D$503,49)))=0,"","Registry no.: "&amp;IF(LEN(INDEX('Aides'!$D$4:$D$503,49))=0,"",INDEX('Aides'!$D$4:$D$503,49))&amp;". ")&amp;IF(LEN(IF(ISNUMBER(INDEX('Aides'!$F$4:$F$503,49)),TEXT(INDEX('Aides'!$F$4:$F$503,49),"yyyy-mm-dd"),""))=0,"","Registry expiry: "&amp;IF(ISNUMBER(INDEX('Aides'!$F$4:$F$503,49)),TEXT(INDEX('Aides'!$F$4:$F$503,49),"yyyy-mm-dd"),"")&amp;". ")&amp;IF(LEN(IF(ISNUMBER(INDEX('Aides'!$G$4:$G$503,49)),TEXT(INDEX('Aides'!$G$4:$G$503,49),"yyyy-mm-dd"),""))=0,"","Last paid nursing work: "&amp;IF(ISNUMBER(INDEX('Aides'!$G$4:$G$503,49)),TEXT(INDEX('Aides'!$G$4:$G$503,49),"yyyy-mm-dd"),"")&amp;". ")&amp;IF(LEN(IF(ISNUMBER(INDEX('Aides'!$H$4:$H$503,49)),TEXT(INDEX('Aides'!$H$4:$H$503,49),"yyyy-mm-dd"),""))=0,"","24-month cut-off: "&amp;IF(ISNUMBER(INDEX('Aides'!$H$4:$H$503,49)),TEXT(INDEX('Aides'!$H$4:$H$503,49),"yyyy-mm-dd"),"")&amp;". ")&amp;IF(LEN(IF(LEN(INDEX('Aides'!$U$4:$U$503,49))=0,"",INDEX('Aides'!$U$4:$U$503,49)))=0,"","Owner: "&amp;IF(LEN(INDEX('Aides'!$U$4:$U$503,49))=0,"",INDEX('Aides'!$U$4:$U$503,49))&amp;". ")&amp;IF(LEN(IF(LEN(INDEX('Aides'!$X$4:$X$503,49))=0,"",INDEX('Aides'!$X$4:$X$503,49)))=0,"",IF(LEN(INDEX('Aides'!$X$4:$X$503,49))=0,"",INDEX('Aides'!$X$4:$X$503,49))))</f>
        <v/>
      </c>
      <c r="I52">
        <f>IF(LEN(INDEX('Aides'!$W$4:$W$503,49))=0,"",INDEX('Aides'!$W$4:$W$503,49))</f>
        <v/>
      </c>
      <c r="J52">
        <f>IF(LEN(INDEX('Aides'!$V$4:$V$503,49))=0,"",INDEX('Aides'!$V$4:$V$503,49))</f>
        <v/>
      </c>
    </row>
    <row r="53">
      <c r="A53">
        <f>IF(AND(LEN('Aides'!A53)&gt;0,ISNUMBER('Aides'!I53)),1,0)</f>
        <v/>
      </c>
      <c r="B53">
        <f>B52+A53</f>
        <v/>
      </c>
      <c r="C53">
        <f>IF(50&gt;$B$1503,"",MATCH(50-0.5,$B$3:$B$1503,1))</f>
        <v/>
      </c>
      <c r="D53">
        <f>"CNA certification ("&amp;IF(LEN(INDEX('Aides'!$C$4:$C$503,50))=0,"",INDEX('Aides'!$C$4:$C$503,50))&amp;") – "&amp;IF(LEN(INDEX('Aides'!$A$4:$A$503,50))=0,"",INDEX('Aides'!$A$4:$A$503,50))</f>
        <v/>
      </c>
      <c r="E53">
        <f>IF(ISNUMBER(INDEX('Aides'!$I$4:$I$503,50)),TEXT(INDEX('Aides'!$I$4:$I$503,50),"yyyy-mm-dd"),"")</f>
        <v/>
      </c>
      <c r="F53">
        <f>"Certification"</f>
        <v/>
      </c>
      <c r="G53">
        <f>"High"</f>
        <v/>
      </c>
      <c r="H53">
        <f>TRIM(IF(LEN(IF(LEN(INDEX('Aides'!$D$4:$D$503,50))=0,"",INDEX('Aides'!$D$4:$D$503,50)))=0,"","Registry no.: "&amp;IF(LEN(INDEX('Aides'!$D$4:$D$503,50))=0,"",INDEX('Aides'!$D$4:$D$503,50))&amp;". ")&amp;IF(LEN(IF(ISNUMBER(INDEX('Aides'!$F$4:$F$503,50)),TEXT(INDEX('Aides'!$F$4:$F$503,50),"yyyy-mm-dd"),""))=0,"","Registry expiry: "&amp;IF(ISNUMBER(INDEX('Aides'!$F$4:$F$503,50)),TEXT(INDEX('Aides'!$F$4:$F$503,50),"yyyy-mm-dd"),"")&amp;". ")&amp;IF(LEN(IF(ISNUMBER(INDEX('Aides'!$G$4:$G$503,50)),TEXT(INDEX('Aides'!$G$4:$G$503,50),"yyyy-mm-dd"),""))=0,"","Last paid nursing work: "&amp;IF(ISNUMBER(INDEX('Aides'!$G$4:$G$503,50)),TEXT(INDEX('Aides'!$G$4:$G$503,50),"yyyy-mm-dd"),"")&amp;". ")&amp;IF(LEN(IF(ISNUMBER(INDEX('Aides'!$H$4:$H$503,50)),TEXT(INDEX('Aides'!$H$4:$H$503,50),"yyyy-mm-dd"),""))=0,"","24-month cut-off: "&amp;IF(ISNUMBER(INDEX('Aides'!$H$4:$H$503,50)),TEXT(INDEX('Aides'!$H$4:$H$503,50),"yyyy-mm-dd"),"")&amp;". ")&amp;IF(LEN(IF(LEN(INDEX('Aides'!$U$4:$U$503,50))=0,"",INDEX('Aides'!$U$4:$U$503,50)))=0,"","Owner: "&amp;IF(LEN(INDEX('Aides'!$U$4:$U$503,50))=0,"",INDEX('Aides'!$U$4:$U$503,50))&amp;". ")&amp;IF(LEN(IF(LEN(INDEX('Aides'!$X$4:$X$503,50))=0,"",INDEX('Aides'!$X$4:$X$503,50)))=0,"",IF(LEN(INDEX('Aides'!$X$4:$X$503,50))=0,"",INDEX('Aides'!$X$4:$X$503,50))))</f>
        <v/>
      </c>
      <c r="I53">
        <f>IF(LEN(INDEX('Aides'!$W$4:$W$503,50))=0,"",INDEX('Aides'!$W$4:$W$503,50))</f>
        <v/>
      </c>
      <c r="J53">
        <f>IF(LEN(INDEX('Aides'!$V$4:$V$503,50))=0,"",INDEX('Aides'!$V$4:$V$503,50))</f>
        <v/>
      </c>
    </row>
    <row r="54">
      <c r="A54">
        <f>IF(AND(LEN('Aides'!A54)&gt;0,ISNUMBER('Aides'!I54)),1,0)</f>
        <v/>
      </c>
      <c r="B54">
        <f>B53+A54</f>
        <v/>
      </c>
      <c r="C54">
        <f>IF(51&gt;$B$1503,"",MATCH(51-0.5,$B$3:$B$1503,1))</f>
        <v/>
      </c>
      <c r="D54">
        <f>"CNA certification ("&amp;IF(LEN(INDEX('Aides'!$C$4:$C$503,51))=0,"",INDEX('Aides'!$C$4:$C$503,51))&amp;") – "&amp;IF(LEN(INDEX('Aides'!$A$4:$A$503,51))=0,"",INDEX('Aides'!$A$4:$A$503,51))</f>
        <v/>
      </c>
      <c r="E54">
        <f>IF(ISNUMBER(INDEX('Aides'!$I$4:$I$503,51)),TEXT(INDEX('Aides'!$I$4:$I$503,51),"yyyy-mm-dd"),"")</f>
        <v/>
      </c>
      <c r="F54">
        <f>"Certification"</f>
        <v/>
      </c>
      <c r="G54">
        <f>"High"</f>
        <v/>
      </c>
      <c r="H54">
        <f>TRIM(IF(LEN(IF(LEN(INDEX('Aides'!$D$4:$D$503,51))=0,"",INDEX('Aides'!$D$4:$D$503,51)))=0,"","Registry no.: "&amp;IF(LEN(INDEX('Aides'!$D$4:$D$503,51))=0,"",INDEX('Aides'!$D$4:$D$503,51))&amp;". ")&amp;IF(LEN(IF(ISNUMBER(INDEX('Aides'!$F$4:$F$503,51)),TEXT(INDEX('Aides'!$F$4:$F$503,51),"yyyy-mm-dd"),""))=0,"","Registry expiry: "&amp;IF(ISNUMBER(INDEX('Aides'!$F$4:$F$503,51)),TEXT(INDEX('Aides'!$F$4:$F$503,51),"yyyy-mm-dd"),"")&amp;". ")&amp;IF(LEN(IF(ISNUMBER(INDEX('Aides'!$G$4:$G$503,51)),TEXT(INDEX('Aides'!$G$4:$G$503,51),"yyyy-mm-dd"),""))=0,"","Last paid nursing work: "&amp;IF(ISNUMBER(INDEX('Aides'!$G$4:$G$503,51)),TEXT(INDEX('Aides'!$G$4:$G$503,51),"yyyy-mm-dd"),"")&amp;". ")&amp;IF(LEN(IF(ISNUMBER(INDEX('Aides'!$H$4:$H$503,51)),TEXT(INDEX('Aides'!$H$4:$H$503,51),"yyyy-mm-dd"),""))=0,"","24-month cut-off: "&amp;IF(ISNUMBER(INDEX('Aides'!$H$4:$H$503,51)),TEXT(INDEX('Aides'!$H$4:$H$503,51),"yyyy-mm-dd"),"")&amp;". ")&amp;IF(LEN(IF(LEN(INDEX('Aides'!$U$4:$U$503,51))=0,"",INDEX('Aides'!$U$4:$U$503,51)))=0,"","Owner: "&amp;IF(LEN(INDEX('Aides'!$U$4:$U$503,51))=0,"",INDEX('Aides'!$U$4:$U$503,51))&amp;". ")&amp;IF(LEN(IF(LEN(INDEX('Aides'!$X$4:$X$503,51))=0,"",INDEX('Aides'!$X$4:$X$503,51)))=0,"",IF(LEN(INDEX('Aides'!$X$4:$X$503,51))=0,"",INDEX('Aides'!$X$4:$X$503,51))))</f>
        <v/>
      </c>
      <c r="I54">
        <f>IF(LEN(INDEX('Aides'!$W$4:$W$503,51))=0,"",INDEX('Aides'!$W$4:$W$503,51))</f>
        <v/>
      </c>
      <c r="J54">
        <f>IF(LEN(INDEX('Aides'!$V$4:$V$503,51))=0,"",INDEX('Aides'!$V$4:$V$503,51))</f>
        <v/>
      </c>
    </row>
    <row r="55">
      <c r="A55">
        <f>IF(AND(LEN('Aides'!A55)&gt;0,ISNUMBER('Aides'!I55)),1,0)</f>
        <v/>
      </c>
      <c r="B55">
        <f>B54+A55</f>
        <v/>
      </c>
      <c r="C55">
        <f>IF(52&gt;$B$1503,"",MATCH(52-0.5,$B$3:$B$1503,1))</f>
        <v/>
      </c>
      <c r="D55">
        <f>"CNA certification ("&amp;IF(LEN(INDEX('Aides'!$C$4:$C$503,52))=0,"",INDEX('Aides'!$C$4:$C$503,52))&amp;") – "&amp;IF(LEN(INDEX('Aides'!$A$4:$A$503,52))=0,"",INDEX('Aides'!$A$4:$A$503,52))</f>
        <v/>
      </c>
      <c r="E55">
        <f>IF(ISNUMBER(INDEX('Aides'!$I$4:$I$503,52)),TEXT(INDEX('Aides'!$I$4:$I$503,52),"yyyy-mm-dd"),"")</f>
        <v/>
      </c>
      <c r="F55">
        <f>"Certification"</f>
        <v/>
      </c>
      <c r="G55">
        <f>"High"</f>
        <v/>
      </c>
      <c r="H55">
        <f>TRIM(IF(LEN(IF(LEN(INDEX('Aides'!$D$4:$D$503,52))=0,"",INDEX('Aides'!$D$4:$D$503,52)))=0,"","Registry no.: "&amp;IF(LEN(INDEX('Aides'!$D$4:$D$503,52))=0,"",INDEX('Aides'!$D$4:$D$503,52))&amp;". ")&amp;IF(LEN(IF(ISNUMBER(INDEX('Aides'!$F$4:$F$503,52)),TEXT(INDEX('Aides'!$F$4:$F$503,52),"yyyy-mm-dd"),""))=0,"","Registry expiry: "&amp;IF(ISNUMBER(INDEX('Aides'!$F$4:$F$503,52)),TEXT(INDEX('Aides'!$F$4:$F$503,52),"yyyy-mm-dd"),"")&amp;". ")&amp;IF(LEN(IF(ISNUMBER(INDEX('Aides'!$G$4:$G$503,52)),TEXT(INDEX('Aides'!$G$4:$G$503,52),"yyyy-mm-dd"),""))=0,"","Last paid nursing work: "&amp;IF(ISNUMBER(INDEX('Aides'!$G$4:$G$503,52)),TEXT(INDEX('Aides'!$G$4:$G$503,52),"yyyy-mm-dd"),"")&amp;". ")&amp;IF(LEN(IF(ISNUMBER(INDEX('Aides'!$H$4:$H$503,52)),TEXT(INDEX('Aides'!$H$4:$H$503,52),"yyyy-mm-dd"),""))=0,"","24-month cut-off: "&amp;IF(ISNUMBER(INDEX('Aides'!$H$4:$H$503,52)),TEXT(INDEX('Aides'!$H$4:$H$503,52),"yyyy-mm-dd"),"")&amp;". ")&amp;IF(LEN(IF(LEN(INDEX('Aides'!$U$4:$U$503,52))=0,"",INDEX('Aides'!$U$4:$U$503,52)))=0,"","Owner: "&amp;IF(LEN(INDEX('Aides'!$U$4:$U$503,52))=0,"",INDEX('Aides'!$U$4:$U$503,52))&amp;". ")&amp;IF(LEN(IF(LEN(INDEX('Aides'!$X$4:$X$503,52))=0,"",INDEX('Aides'!$X$4:$X$503,52)))=0,"",IF(LEN(INDEX('Aides'!$X$4:$X$503,52))=0,"",INDEX('Aides'!$X$4:$X$503,52))))</f>
        <v/>
      </c>
      <c r="I55">
        <f>IF(LEN(INDEX('Aides'!$W$4:$W$503,52))=0,"",INDEX('Aides'!$W$4:$W$503,52))</f>
        <v/>
      </c>
      <c r="J55">
        <f>IF(LEN(INDEX('Aides'!$V$4:$V$503,52))=0,"",INDEX('Aides'!$V$4:$V$503,52))</f>
        <v/>
      </c>
    </row>
    <row r="56">
      <c r="A56">
        <f>IF(AND(LEN('Aides'!A56)&gt;0,ISNUMBER('Aides'!I56)),1,0)</f>
        <v/>
      </c>
      <c r="B56">
        <f>B55+A56</f>
        <v/>
      </c>
      <c r="C56">
        <f>IF(53&gt;$B$1503,"",MATCH(53-0.5,$B$3:$B$1503,1))</f>
        <v/>
      </c>
      <c r="D56">
        <f>"CNA certification ("&amp;IF(LEN(INDEX('Aides'!$C$4:$C$503,53))=0,"",INDEX('Aides'!$C$4:$C$503,53))&amp;") – "&amp;IF(LEN(INDEX('Aides'!$A$4:$A$503,53))=0,"",INDEX('Aides'!$A$4:$A$503,53))</f>
        <v/>
      </c>
      <c r="E56">
        <f>IF(ISNUMBER(INDEX('Aides'!$I$4:$I$503,53)),TEXT(INDEX('Aides'!$I$4:$I$503,53),"yyyy-mm-dd"),"")</f>
        <v/>
      </c>
      <c r="F56">
        <f>"Certification"</f>
        <v/>
      </c>
      <c r="G56">
        <f>"High"</f>
        <v/>
      </c>
      <c r="H56">
        <f>TRIM(IF(LEN(IF(LEN(INDEX('Aides'!$D$4:$D$503,53))=0,"",INDEX('Aides'!$D$4:$D$503,53)))=0,"","Registry no.: "&amp;IF(LEN(INDEX('Aides'!$D$4:$D$503,53))=0,"",INDEX('Aides'!$D$4:$D$503,53))&amp;". ")&amp;IF(LEN(IF(ISNUMBER(INDEX('Aides'!$F$4:$F$503,53)),TEXT(INDEX('Aides'!$F$4:$F$503,53),"yyyy-mm-dd"),""))=0,"","Registry expiry: "&amp;IF(ISNUMBER(INDEX('Aides'!$F$4:$F$503,53)),TEXT(INDEX('Aides'!$F$4:$F$503,53),"yyyy-mm-dd"),"")&amp;". ")&amp;IF(LEN(IF(ISNUMBER(INDEX('Aides'!$G$4:$G$503,53)),TEXT(INDEX('Aides'!$G$4:$G$503,53),"yyyy-mm-dd"),""))=0,"","Last paid nursing work: "&amp;IF(ISNUMBER(INDEX('Aides'!$G$4:$G$503,53)),TEXT(INDEX('Aides'!$G$4:$G$503,53),"yyyy-mm-dd"),"")&amp;". ")&amp;IF(LEN(IF(ISNUMBER(INDEX('Aides'!$H$4:$H$503,53)),TEXT(INDEX('Aides'!$H$4:$H$503,53),"yyyy-mm-dd"),""))=0,"","24-month cut-off: "&amp;IF(ISNUMBER(INDEX('Aides'!$H$4:$H$503,53)),TEXT(INDEX('Aides'!$H$4:$H$503,53),"yyyy-mm-dd"),"")&amp;". ")&amp;IF(LEN(IF(LEN(INDEX('Aides'!$U$4:$U$503,53))=0,"",INDEX('Aides'!$U$4:$U$503,53)))=0,"","Owner: "&amp;IF(LEN(INDEX('Aides'!$U$4:$U$503,53))=0,"",INDEX('Aides'!$U$4:$U$503,53))&amp;". ")&amp;IF(LEN(IF(LEN(INDEX('Aides'!$X$4:$X$503,53))=0,"",INDEX('Aides'!$X$4:$X$503,53)))=0,"",IF(LEN(INDEX('Aides'!$X$4:$X$503,53))=0,"",INDEX('Aides'!$X$4:$X$503,53))))</f>
        <v/>
      </c>
      <c r="I56">
        <f>IF(LEN(INDEX('Aides'!$W$4:$W$503,53))=0,"",INDEX('Aides'!$W$4:$W$503,53))</f>
        <v/>
      </c>
      <c r="J56">
        <f>IF(LEN(INDEX('Aides'!$V$4:$V$503,53))=0,"",INDEX('Aides'!$V$4:$V$503,53))</f>
        <v/>
      </c>
    </row>
    <row r="57">
      <c r="A57">
        <f>IF(AND(LEN('Aides'!A57)&gt;0,ISNUMBER('Aides'!I57)),1,0)</f>
        <v/>
      </c>
      <c r="B57">
        <f>B56+A57</f>
        <v/>
      </c>
      <c r="C57">
        <f>IF(54&gt;$B$1503,"",MATCH(54-0.5,$B$3:$B$1503,1))</f>
        <v/>
      </c>
      <c r="D57">
        <f>"CNA certification ("&amp;IF(LEN(INDEX('Aides'!$C$4:$C$503,54))=0,"",INDEX('Aides'!$C$4:$C$503,54))&amp;") – "&amp;IF(LEN(INDEX('Aides'!$A$4:$A$503,54))=0,"",INDEX('Aides'!$A$4:$A$503,54))</f>
        <v/>
      </c>
      <c r="E57">
        <f>IF(ISNUMBER(INDEX('Aides'!$I$4:$I$503,54)),TEXT(INDEX('Aides'!$I$4:$I$503,54),"yyyy-mm-dd"),"")</f>
        <v/>
      </c>
      <c r="F57">
        <f>"Certification"</f>
        <v/>
      </c>
      <c r="G57">
        <f>"High"</f>
        <v/>
      </c>
      <c r="H57">
        <f>TRIM(IF(LEN(IF(LEN(INDEX('Aides'!$D$4:$D$503,54))=0,"",INDEX('Aides'!$D$4:$D$503,54)))=0,"","Registry no.: "&amp;IF(LEN(INDEX('Aides'!$D$4:$D$503,54))=0,"",INDEX('Aides'!$D$4:$D$503,54))&amp;". ")&amp;IF(LEN(IF(ISNUMBER(INDEX('Aides'!$F$4:$F$503,54)),TEXT(INDEX('Aides'!$F$4:$F$503,54),"yyyy-mm-dd"),""))=0,"","Registry expiry: "&amp;IF(ISNUMBER(INDEX('Aides'!$F$4:$F$503,54)),TEXT(INDEX('Aides'!$F$4:$F$503,54),"yyyy-mm-dd"),"")&amp;". ")&amp;IF(LEN(IF(ISNUMBER(INDEX('Aides'!$G$4:$G$503,54)),TEXT(INDEX('Aides'!$G$4:$G$503,54),"yyyy-mm-dd"),""))=0,"","Last paid nursing work: "&amp;IF(ISNUMBER(INDEX('Aides'!$G$4:$G$503,54)),TEXT(INDEX('Aides'!$G$4:$G$503,54),"yyyy-mm-dd"),"")&amp;". ")&amp;IF(LEN(IF(ISNUMBER(INDEX('Aides'!$H$4:$H$503,54)),TEXT(INDEX('Aides'!$H$4:$H$503,54),"yyyy-mm-dd"),""))=0,"","24-month cut-off: "&amp;IF(ISNUMBER(INDEX('Aides'!$H$4:$H$503,54)),TEXT(INDEX('Aides'!$H$4:$H$503,54),"yyyy-mm-dd"),"")&amp;". ")&amp;IF(LEN(IF(LEN(INDEX('Aides'!$U$4:$U$503,54))=0,"",INDEX('Aides'!$U$4:$U$503,54)))=0,"","Owner: "&amp;IF(LEN(INDEX('Aides'!$U$4:$U$503,54))=0,"",INDEX('Aides'!$U$4:$U$503,54))&amp;". ")&amp;IF(LEN(IF(LEN(INDEX('Aides'!$X$4:$X$503,54))=0,"",INDEX('Aides'!$X$4:$X$503,54)))=0,"",IF(LEN(INDEX('Aides'!$X$4:$X$503,54))=0,"",INDEX('Aides'!$X$4:$X$503,54))))</f>
        <v/>
      </c>
      <c r="I57">
        <f>IF(LEN(INDEX('Aides'!$W$4:$W$503,54))=0,"",INDEX('Aides'!$W$4:$W$503,54))</f>
        <v/>
      </c>
      <c r="J57">
        <f>IF(LEN(INDEX('Aides'!$V$4:$V$503,54))=0,"",INDEX('Aides'!$V$4:$V$503,54))</f>
        <v/>
      </c>
    </row>
    <row r="58">
      <c r="A58">
        <f>IF(AND(LEN('Aides'!A58)&gt;0,ISNUMBER('Aides'!I58)),1,0)</f>
        <v/>
      </c>
      <c r="B58">
        <f>B57+A58</f>
        <v/>
      </c>
      <c r="C58">
        <f>IF(55&gt;$B$1503,"",MATCH(55-0.5,$B$3:$B$1503,1))</f>
        <v/>
      </c>
      <c r="D58">
        <f>"CNA certification ("&amp;IF(LEN(INDEX('Aides'!$C$4:$C$503,55))=0,"",INDEX('Aides'!$C$4:$C$503,55))&amp;") – "&amp;IF(LEN(INDEX('Aides'!$A$4:$A$503,55))=0,"",INDEX('Aides'!$A$4:$A$503,55))</f>
        <v/>
      </c>
      <c r="E58">
        <f>IF(ISNUMBER(INDEX('Aides'!$I$4:$I$503,55)),TEXT(INDEX('Aides'!$I$4:$I$503,55),"yyyy-mm-dd"),"")</f>
        <v/>
      </c>
      <c r="F58">
        <f>"Certification"</f>
        <v/>
      </c>
      <c r="G58">
        <f>"High"</f>
        <v/>
      </c>
      <c r="H58">
        <f>TRIM(IF(LEN(IF(LEN(INDEX('Aides'!$D$4:$D$503,55))=0,"",INDEX('Aides'!$D$4:$D$503,55)))=0,"","Registry no.: "&amp;IF(LEN(INDEX('Aides'!$D$4:$D$503,55))=0,"",INDEX('Aides'!$D$4:$D$503,55))&amp;". ")&amp;IF(LEN(IF(ISNUMBER(INDEX('Aides'!$F$4:$F$503,55)),TEXT(INDEX('Aides'!$F$4:$F$503,55),"yyyy-mm-dd"),""))=0,"","Registry expiry: "&amp;IF(ISNUMBER(INDEX('Aides'!$F$4:$F$503,55)),TEXT(INDEX('Aides'!$F$4:$F$503,55),"yyyy-mm-dd"),"")&amp;". ")&amp;IF(LEN(IF(ISNUMBER(INDEX('Aides'!$G$4:$G$503,55)),TEXT(INDEX('Aides'!$G$4:$G$503,55),"yyyy-mm-dd"),""))=0,"","Last paid nursing work: "&amp;IF(ISNUMBER(INDEX('Aides'!$G$4:$G$503,55)),TEXT(INDEX('Aides'!$G$4:$G$503,55),"yyyy-mm-dd"),"")&amp;". ")&amp;IF(LEN(IF(ISNUMBER(INDEX('Aides'!$H$4:$H$503,55)),TEXT(INDEX('Aides'!$H$4:$H$503,55),"yyyy-mm-dd"),""))=0,"","24-month cut-off: "&amp;IF(ISNUMBER(INDEX('Aides'!$H$4:$H$503,55)),TEXT(INDEX('Aides'!$H$4:$H$503,55),"yyyy-mm-dd"),"")&amp;". ")&amp;IF(LEN(IF(LEN(INDEX('Aides'!$U$4:$U$503,55))=0,"",INDEX('Aides'!$U$4:$U$503,55)))=0,"","Owner: "&amp;IF(LEN(INDEX('Aides'!$U$4:$U$503,55))=0,"",INDEX('Aides'!$U$4:$U$503,55))&amp;". ")&amp;IF(LEN(IF(LEN(INDEX('Aides'!$X$4:$X$503,55))=0,"",INDEX('Aides'!$X$4:$X$503,55)))=0,"",IF(LEN(INDEX('Aides'!$X$4:$X$503,55))=0,"",INDEX('Aides'!$X$4:$X$503,55))))</f>
        <v/>
      </c>
      <c r="I58">
        <f>IF(LEN(INDEX('Aides'!$W$4:$W$503,55))=0,"",INDEX('Aides'!$W$4:$W$503,55))</f>
        <v/>
      </c>
      <c r="J58">
        <f>IF(LEN(INDEX('Aides'!$V$4:$V$503,55))=0,"",INDEX('Aides'!$V$4:$V$503,55))</f>
        <v/>
      </c>
    </row>
    <row r="59">
      <c r="A59">
        <f>IF(AND(LEN('Aides'!A59)&gt;0,ISNUMBER('Aides'!I59)),1,0)</f>
        <v/>
      </c>
      <c r="B59">
        <f>B58+A59</f>
        <v/>
      </c>
      <c r="C59">
        <f>IF(56&gt;$B$1503,"",MATCH(56-0.5,$B$3:$B$1503,1))</f>
        <v/>
      </c>
      <c r="D59">
        <f>"CNA certification ("&amp;IF(LEN(INDEX('Aides'!$C$4:$C$503,56))=0,"",INDEX('Aides'!$C$4:$C$503,56))&amp;") – "&amp;IF(LEN(INDEX('Aides'!$A$4:$A$503,56))=0,"",INDEX('Aides'!$A$4:$A$503,56))</f>
        <v/>
      </c>
      <c r="E59">
        <f>IF(ISNUMBER(INDEX('Aides'!$I$4:$I$503,56)),TEXT(INDEX('Aides'!$I$4:$I$503,56),"yyyy-mm-dd"),"")</f>
        <v/>
      </c>
      <c r="F59">
        <f>"Certification"</f>
        <v/>
      </c>
      <c r="G59">
        <f>"High"</f>
        <v/>
      </c>
      <c r="H59">
        <f>TRIM(IF(LEN(IF(LEN(INDEX('Aides'!$D$4:$D$503,56))=0,"",INDEX('Aides'!$D$4:$D$503,56)))=0,"","Registry no.: "&amp;IF(LEN(INDEX('Aides'!$D$4:$D$503,56))=0,"",INDEX('Aides'!$D$4:$D$503,56))&amp;". ")&amp;IF(LEN(IF(ISNUMBER(INDEX('Aides'!$F$4:$F$503,56)),TEXT(INDEX('Aides'!$F$4:$F$503,56),"yyyy-mm-dd"),""))=0,"","Registry expiry: "&amp;IF(ISNUMBER(INDEX('Aides'!$F$4:$F$503,56)),TEXT(INDEX('Aides'!$F$4:$F$503,56),"yyyy-mm-dd"),"")&amp;". ")&amp;IF(LEN(IF(ISNUMBER(INDEX('Aides'!$G$4:$G$503,56)),TEXT(INDEX('Aides'!$G$4:$G$503,56),"yyyy-mm-dd"),""))=0,"","Last paid nursing work: "&amp;IF(ISNUMBER(INDEX('Aides'!$G$4:$G$503,56)),TEXT(INDEX('Aides'!$G$4:$G$503,56),"yyyy-mm-dd"),"")&amp;". ")&amp;IF(LEN(IF(ISNUMBER(INDEX('Aides'!$H$4:$H$503,56)),TEXT(INDEX('Aides'!$H$4:$H$503,56),"yyyy-mm-dd"),""))=0,"","24-month cut-off: "&amp;IF(ISNUMBER(INDEX('Aides'!$H$4:$H$503,56)),TEXT(INDEX('Aides'!$H$4:$H$503,56),"yyyy-mm-dd"),"")&amp;". ")&amp;IF(LEN(IF(LEN(INDEX('Aides'!$U$4:$U$503,56))=0,"",INDEX('Aides'!$U$4:$U$503,56)))=0,"","Owner: "&amp;IF(LEN(INDEX('Aides'!$U$4:$U$503,56))=0,"",INDEX('Aides'!$U$4:$U$503,56))&amp;". ")&amp;IF(LEN(IF(LEN(INDEX('Aides'!$X$4:$X$503,56))=0,"",INDEX('Aides'!$X$4:$X$503,56)))=0,"",IF(LEN(INDEX('Aides'!$X$4:$X$503,56))=0,"",INDEX('Aides'!$X$4:$X$503,56))))</f>
        <v/>
      </c>
      <c r="I59">
        <f>IF(LEN(INDEX('Aides'!$W$4:$W$503,56))=0,"",INDEX('Aides'!$W$4:$W$503,56))</f>
        <v/>
      </c>
      <c r="J59">
        <f>IF(LEN(INDEX('Aides'!$V$4:$V$503,56))=0,"",INDEX('Aides'!$V$4:$V$503,56))</f>
        <v/>
      </c>
    </row>
    <row r="60">
      <c r="A60">
        <f>IF(AND(LEN('Aides'!A60)&gt;0,ISNUMBER('Aides'!I60)),1,0)</f>
        <v/>
      </c>
      <c r="B60">
        <f>B59+A60</f>
        <v/>
      </c>
      <c r="C60">
        <f>IF(57&gt;$B$1503,"",MATCH(57-0.5,$B$3:$B$1503,1))</f>
        <v/>
      </c>
      <c r="D60">
        <f>"CNA certification ("&amp;IF(LEN(INDEX('Aides'!$C$4:$C$503,57))=0,"",INDEX('Aides'!$C$4:$C$503,57))&amp;") – "&amp;IF(LEN(INDEX('Aides'!$A$4:$A$503,57))=0,"",INDEX('Aides'!$A$4:$A$503,57))</f>
        <v/>
      </c>
      <c r="E60">
        <f>IF(ISNUMBER(INDEX('Aides'!$I$4:$I$503,57)),TEXT(INDEX('Aides'!$I$4:$I$503,57),"yyyy-mm-dd"),"")</f>
        <v/>
      </c>
      <c r="F60">
        <f>"Certification"</f>
        <v/>
      </c>
      <c r="G60">
        <f>"High"</f>
        <v/>
      </c>
      <c r="H60">
        <f>TRIM(IF(LEN(IF(LEN(INDEX('Aides'!$D$4:$D$503,57))=0,"",INDEX('Aides'!$D$4:$D$503,57)))=0,"","Registry no.: "&amp;IF(LEN(INDEX('Aides'!$D$4:$D$503,57))=0,"",INDEX('Aides'!$D$4:$D$503,57))&amp;". ")&amp;IF(LEN(IF(ISNUMBER(INDEX('Aides'!$F$4:$F$503,57)),TEXT(INDEX('Aides'!$F$4:$F$503,57),"yyyy-mm-dd"),""))=0,"","Registry expiry: "&amp;IF(ISNUMBER(INDEX('Aides'!$F$4:$F$503,57)),TEXT(INDEX('Aides'!$F$4:$F$503,57),"yyyy-mm-dd"),"")&amp;". ")&amp;IF(LEN(IF(ISNUMBER(INDEX('Aides'!$G$4:$G$503,57)),TEXT(INDEX('Aides'!$G$4:$G$503,57),"yyyy-mm-dd"),""))=0,"","Last paid nursing work: "&amp;IF(ISNUMBER(INDEX('Aides'!$G$4:$G$503,57)),TEXT(INDEX('Aides'!$G$4:$G$503,57),"yyyy-mm-dd"),"")&amp;". ")&amp;IF(LEN(IF(ISNUMBER(INDEX('Aides'!$H$4:$H$503,57)),TEXT(INDEX('Aides'!$H$4:$H$503,57),"yyyy-mm-dd"),""))=0,"","24-month cut-off: "&amp;IF(ISNUMBER(INDEX('Aides'!$H$4:$H$503,57)),TEXT(INDEX('Aides'!$H$4:$H$503,57),"yyyy-mm-dd"),"")&amp;". ")&amp;IF(LEN(IF(LEN(INDEX('Aides'!$U$4:$U$503,57))=0,"",INDEX('Aides'!$U$4:$U$503,57)))=0,"","Owner: "&amp;IF(LEN(INDEX('Aides'!$U$4:$U$503,57))=0,"",INDEX('Aides'!$U$4:$U$503,57))&amp;". ")&amp;IF(LEN(IF(LEN(INDEX('Aides'!$X$4:$X$503,57))=0,"",INDEX('Aides'!$X$4:$X$503,57)))=0,"",IF(LEN(INDEX('Aides'!$X$4:$X$503,57))=0,"",INDEX('Aides'!$X$4:$X$503,57))))</f>
        <v/>
      </c>
      <c r="I60">
        <f>IF(LEN(INDEX('Aides'!$W$4:$W$503,57))=0,"",INDEX('Aides'!$W$4:$W$503,57))</f>
        <v/>
      </c>
      <c r="J60">
        <f>IF(LEN(INDEX('Aides'!$V$4:$V$503,57))=0,"",INDEX('Aides'!$V$4:$V$503,57))</f>
        <v/>
      </c>
    </row>
    <row r="61">
      <c r="A61">
        <f>IF(AND(LEN('Aides'!A61)&gt;0,ISNUMBER('Aides'!I61)),1,0)</f>
        <v/>
      </c>
      <c r="B61">
        <f>B60+A61</f>
        <v/>
      </c>
      <c r="C61">
        <f>IF(58&gt;$B$1503,"",MATCH(58-0.5,$B$3:$B$1503,1))</f>
        <v/>
      </c>
      <c r="D61">
        <f>"CNA certification ("&amp;IF(LEN(INDEX('Aides'!$C$4:$C$503,58))=0,"",INDEX('Aides'!$C$4:$C$503,58))&amp;") – "&amp;IF(LEN(INDEX('Aides'!$A$4:$A$503,58))=0,"",INDEX('Aides'!$A$4:$A$503,58))</f>
        <v/>
      </c>
      <c r="E61">
        <f>IF(ISNUMBER(INDEX('Aides'!$I$4:$I$503,58)),TEXT(INDEX('Aides'!$I$4:$I$503,58),"yyyy-mm-dd"),"")</f>
        <v/>
      </c>
      <c r="F61">
        <f>"Certification"</f>
        <v/>
      </c>
      <c r="G61">
        <f>"High"</f>
        <v/>
      </c>
      <c r="H61">
        <f>TRIM(IF(LEN(IF(LEN(INDEX('Aides'!$D$4:$D$503,58))=0,"",INDEX('Aides'!$D$4:$D$503,58)))=0,"","Registry no.: "&amp;IF(LEN(INDEX('Aides'!$D$4:$D$503,58))=0,"",INDEX('Aides'!$D$4:$D$503,58))&amp;". ")&amp;IF(LEN(IF(ISNUMBER(INDEX('Aides'!$F$4:$F$503,58)),TEXT(INDEX('Aides'!$F$4:$F$503,58),"yyyy-mm-dd"),""))=0,"","Registry expiry: "&amp;IF(ISNUMBER(INDEX('Aides'!$F$4:$F$503,58)),TEXT(INDEX('Aides'!$F$4:$F$503,58),"yyyy-mm-dd"),"")&amp;". ")&amp;IF(LEN(IF(ISNUMBER(INDEX('Aides'!$G$4:$G$503,58)),TEXT(INDEX('Aides'!$G$4:$G$503,58),"yyyy-mm-dd"),""))=0,"","Last paid nursing work: "&amp;IF(ISNUMBER(INDEX('Aides'!$G$4:$G$503,58)),TEXT(INDEX('Aides'!$G$4:$G$503,58),"yyyy-mm-dd"),"")&amp;". ")&amp;IF(LEN(IF(ISNUMBER(INDEX('Aides'!$H$4:$H$503,58)),TEXT(INDEX('Aides'!$H$4:$H$503,58),"yyyy-mm-dd"),""))=0,"","24-month cut-off: "&amp;IF(ISNUMBER(INDEX('Aides'!$H$4:$H$503,58)),TEXT(INDEX('Aides'!$H$4:$H$503,58),"yyyy-mm-dd"),"")&amp;". ")&amp;IF(LEN(IF(LEN(INDEX('Aides'!$U$4:$U$503,58))=0,"",INDEX('Aides'!$U$4:$U$503,58)))=0,"","Owner: "&amp;IF(LEN(INDEX('Aides'!$U$4:$U$503,58))=0,"",INDEX('Aides'!$U$4:$U$503,58))&amp;". ")&amp;IF(LEN(IF(LEN(INDEX('Aides'!$X$4:$X$503,58))=0,"",INDEX('Aides'!$X$4:$X$503,58)))=0,"",IF(LEN(INDEX('Aides'!$X$4:$X$503,58))=0,"",INDEX('Aides'!$X$4:$X$503,58))))</f>
        <v/>
      </c>
      <c r="I61">
        <f>IF(LEN(INDEX('Aides'!$W$4:$W$503,58))=0,"",INDEX('Aides'!$W$4:$W$503,58))</f>
        <v/>
      </c>
      <c r="J61">
        <f>IF(LEN(INDEX('Aides'!$V$4:$V$503,58))=0,"",INDEX('Aides'!$V$4:$V$503,58))</f>
        <v/>
      </c>
    </row>
    <row r="62">
      <c r="A62">
        <f>IF(AND(LEN('Aides'!A62)&gt;0,ISNUMBER('Aides'!I62)),1,0)</f>
        <v/>
      </c>
      <c r="B62">
        <f>B61+A62</f>
        <v/>
      </c>
      <c r="C62">
        <f>IF(59&gt;$B$1503,"",MATCH(59-0.5,$B$3:$B$1503,1))</f>
        <v/>
      </c>
      <c r="D62">
        <f>"CNA certification ("&amp;IF(LEN(INDEX('Aides'!$C$4:$C$503,59))=0,"",INDEX('Aides'!$C$4:$C$503,59))&amp;") – "&amp;IF(LEN(INDEX('Aides'!$A$4:$A$503,59))=0,"",INDEX('Aides'!$A$4:$A$503,59))</f>
        <v/>
      </c>
      <c r="E62">
        <f>IF(ISNUMBER(INDEX('Aides'!$I$4:$I$503,59)),TEXT(INDEX('Aides'!$I$4:$I$503,59),"yyyy-mm-dd"),"")</f>
        <v/>
      </c>
      <c r="F62">
        <f>"Certification"</f>
        <v/>
      </c>
      <c r="G62">
        <f>"High"</f>
        <v/>
      </c>
      <c r="H62">
        <f>TRIM(IF(LEN(IF(LEN(INDEX('Aides'!$D$4:$D$503,59))=0,"",INDEX('Aides'!$D$4:$D$503,59)))=0,"","Registry no.: "&amp;IF(LEN(INDEX('Aides'!$D$4:$D$503,59))=0,"",INDEX('Aides'!$D$4:$D$503,59))&amp;". ")&amp;IF(LEN(IF(ISNUMBER(INDEX('Aides'!$F$4:$F$503,59)),TEXT(INDEX('Aides'!$F$4:$F$503,59),"yyyy-mm-dd"),""))=0,"","Registry expiry: "&amp;IF(ISNUMBER(INDEX('Aides'!$F$4:$F$503,59)),TEXT(INDEX('Aides'!$F$4:$F$503,59),"yyyy-mm-dd"),"")&amp;". ")&amp;IF(LEN(IF(ISNUMBER(INDEX('Aides'!$G$4:$G$503,59)),TEXT(INDEX('Aides'!$G$4:$G$503,59),"yyyy-mm-dd"),""))=0,"","Last paid nursing work: "&amp;IF(ISNUMBER(INDEX('Aides'!$G$4:$G$503,59)),TEXT(INDEX('Aides'!$G$4:$G$503,59),"yyyy-mm-dd"),"")&amp;". ")&amp;IF(LEN(IF(ISNUMBER(INDEX('Aides'!$H$4:$H$503,59)),TEXT(INDEX('Aides'!$H$4:$H$503,59),"yyyy-mm-dd"),""))=0,"","24-month cut-off: "&amp;IF(ISNUMBER(INDEX('Aides'!$H$4:$H$503,59)),TEXT(INDEX('Aides'!$H$4:$H$503,59),"yyyy-mm-dd"),"")&amp;". ")&amp;IF(LEN(IF(LEN(INDEX('Aides'!$U$4:$U$503,59))=0,"",INDEX('Aides'!$U$4:$U$503,59)))=0,"","Owner: "&amp;IF(LEN(INDEX('Aides'!$U$4:$U$503,59))=0,"",INDEX('Aides'!$U$4:$U$503,59))&amp;". ")&amp;IF(LEN(IF(LEN(INDEX('Aides'!$X$4:$X$503,59))=0,"",INDEX('Aides'!$X$4:$X$503,59)))=0,"",IF(LEN(INDEX('Aides'!$X$4:$X$503,59))=0,"",INDEX('Aides'!$X$4:$X$503,59))))</f>
        <v/>
      </c>
      <c r="I62">
        <f>IF(LEN(INDEX('Aides'!$W$4:$W$503,59))=0,"",INDEX('Aides'!$W$4:$W$503,59))</f>
        <v/>
      </c>
      <c r="J62">
        <f>IF(LEN(INDEX('Aides'!$V$4:$V$503,59))=0,"",INDEX('Aides'!$V$4:$V$503,59))</f>
        <v/>
      </c>
    </row>
    <row r="63">
      <c r="A63">
        <f>IF(AND(LEN('Aides'!A63)&gt;0,ISNUMBER('Aides'!I63)),1,0)</f>
        <v/>
      </c>
      <c r="B63">
        <f>B62+A63</f>
        <v/>
      </c>
      <c r="C63">
        <f>IF(60&gt;$B$1503,"",MATCH(60-0.5,$B$3:$B$1503,1))</f>
        <v/>
      </c>
      <c r="D63">
        <f>"CNA certification ("&amp;IF(LEN(INDEX('Aides'!$C$4:$C$503,60))=0,"",INDEX('Aides'!$C$4:$C$503,60))&amp;") – "&amp;IF(LEN(INDEX('Aides'!$A$4:$A$503,60))=0,"",INDEX('Aides'!$A$4:$A$503,60))</f>
        <v/>
      </c>
      <c r="E63">
        <f>IF(ISNUMBER(INDEX('Aides'!$I$4:$I$503,60)),TEXT(INDEX('Aides'!$I$4:$I$503,60),"yyyy-mm-dd"),"")</f>
        <v/>
      </c>
      <c r="F63">
        <f>"Certification"</f>
        <v/>
      </c>
      <c r="G63">
        <f>"High"</f>
        <v/>
      </c>
      <c r="H63">
        <f>TRIM(IF(LEN(IF(LEN(INDEX('Aides'!$D$4:$D$503,60))=0,"",INDEX('Aides'!$D$4:$D$503,60)))=0,"","Registry no.: "&amp;IF(LEN(INDEX('Aides'!$D$4:$D$503,60))=0,"",INDEX('Aides'!$D$4:$D$503,60))&amp;". ")&amp;IF(LEN(IF(ISNUMBER(INDEX('Aides'!$F$4:$F$503,60)),TEXT(INDEX('Aides'!$F$4:$F$503,60),"yyyy-mm-dd"),""))=0,"","Registry expiry: "&amp;IF(ISNUMBER(INDEX('Aides'!$F$4:$F$503,60)),TEXT(INDEX('Aides'!$F$4:$F$503,60),"yyyy-mm-dd"),"")&amp;". ")&amp;IF(LEN(IF(ISNUMBER(INDEX('Aides'!$G$4:$G$503,60)),TEXT(INDEX('Aides'!$G$4:$G$503,60),"yyyy-mm-dd"),""))=0,"","Last paid nursing work: "&amp;IF(ISNUMBER(INDEX('Aides'!$G$4:$G$503,60)),TEXT(INDEX('Aides'!$G$4:$G$503,60),"yyyy-mm-dd"),"")&amp;". ")&amp;IF(LEN(IF(ISNUMBER(INDEX('Aides'!$H$4:$H$503,60)),TEXT(INDEX('Aides'!$H$4:$H$503,60),"yyyy-mm-dd"),""))=0,"","24-month cut-off: "&amp;IF(ISNUMBER(INDEX('Aides'!$H$4:$H$503,60)),TEXT(INDEX('Aides'!$H$4:$H$503,60),"yyyy-mm-dd"),"")&amp;". ")&amp;IF(LEN(IF(LEN(INDEX('Aides'!$U$4:$U$503,60))=0,"",INDEX('Aides'!$U$4:$U$503,60)))=0,"","Owner: "&amp;IF(LEN(INDEX('Aides'!$U$4:$U$503,60))=0,"",INDEX('Aides'!$U$4:$U$503,60))&amp;". ")&amp;IF(LEN(IF(LEN(INDEX('Aides'!$X$4:$X$503,60))=0,"",INDEX('Aides'!$X$4:$X$503,60)))=0,"",IF(LEN(INDEX('Aides'!$X$4:$X$503,60))=0,"",INDEX('Aides'!$X$4:$X$503,60))))</f>
        <v/>
      </c>
      <c r="I63">
        <f>IF(LEN(INDEX('Aides'!$W$4:$W$503,60))=0,"",INDEX('Aides'!$W$4:$W$503,60))</f>
        <v/>
      </c>
      <c r="J63">
        <f>IF(LEN(INDEX('Aides'!$V$4:$V$503,60))=0,"",INDEX('Aides'!$V$4:$V$503,60))</f>
        <v/>
      </c>
    </row>
    <row r="64">
      <c r="A64">
        <f>IF(AND(LEN('Aides'!A64)&gt;0,ISNUMBER('Aides'!I64)),1,0)</f>
        <v/>
      </c>
      <c r="B64">
        <f>B63+A64</f>
        <v/>
      </c>
      <c r="C64">
        <f>IF(61&gt;$B$1503,"",MATCH(61-0.5,$B$3:$B$1503,1))</f>
        <v/>
      </c>
      <c r="D64">
        <f>"CNA certification ("&amp;IF(LEN(INDEX('Aides'!$C$4:$C$503,61))=0,"",INDEX('Aides'!$C$4:$C$503,61))&amp;") – "&amp;IF(LEN(INDEX('Aides'!$A$4:$A$503,61))=0,"",INDEX('Aides'!$A$4:$A$503,61))</f>
        <v/>
      </c>
      <c r="E64">
        <f>IF(ISNUMBER(INDEX('Aides'!$I$4:$I$503,61)),TEXT(INDEX('Aides'!$I$4:$I$503,61),"yyyy-mm-dd"),"")</f>
        <v/>
      </c>
      <c r="F64">
        <f>"Certification"</f>
        <v/>
      </c>
      <c r="G64">
        <f>"High"</f>
        <v/>
      </c>
      <c r="H64">
        <f>TRIM(IF(LEN(IF(LEN(INDEX('Aides'!$D$4:$D$503,61))=0,"",INDEX('Aides'!$D$4:$D$503,61)))=0,"","Registry no.: "&amp;IF(LEN(INDEX('Aides'!$D$4:$D$503,61))=0,"",INDEX('Aides'!$D$4:$D$503,61))&amp;". ")&amp;IF(LEN(IF(ISNUMBER(INDEX('Aides'!$F$4:$F$503,61)),TEXT(INDEX('Aides'!$F$4:$F$503,61),"yyyy-mm-dd"),""))=0,"","Registry expiry: "&amp;IF(ISNUMBER(INDEX('Aides'!$F$4:$F$503,61)),TEXT(INDEX('Aides'!$F$4:$F$503,61),"yyyy-mm-dd"),"")&amp;". ")&amp;IF(LEN(IF(ISNUMBER(INDEX('Aides'!$G$4:$G$503,61)),TEXT(INDEX('Aides'!$G$4:$G$503,61),"yyyy-mm-dd"),""))=0,"","Last paid nursing work: "&amp;IF(ISNUMBER(INDEX('Aides'!$G$4:$G$503,61)),TEXT(INDEX('Aides'!$G$4:$G$503,61),"yyyy-mm-dd"),"")&amp;". ")&amp;IF(LEN(IF(ISNUMBER(INDEX('Aides'!$H$4:$H$503,61)),TEXT(INDEX('Aides'!$H$4:$H$503,61),"yyyy-mm-dd"),""))=0,"","24-month cut-off: "&amp;IF(ISNUMBER(INDEX('Aides'!$H$4:$H$503,61)),TEXT(INDEX('Aides'!$H$4:$H$503,61),"yyyy-mm-dd"),"")&amp;". ")&amp;IF(LEN(IF(LEN(INDEX('Aides'!$U$4:$U$503,61))=0,"",INDEX('Aides'!$U$4:$U$503,61)))=0,"","Owner: "&amp;IF(LEN(INDEX('Aides'!$U$4:$U$503,61))=0,"",INDEX('Aides'!$U$4:$U$503,61))&amp;". ")&amp;IF(LEN(IF(LEN(INDEX('Aides'!$X$4:$X$503,61))=0,"",INDEX('Aides'!$X$4:$X$503,61)))=0,"",IF(LEN(INDEX('Aides'!$X$4:$X$503,61))=0,"",INDEX('Aides'!$X$4:$X$503,61))))</f>
        <v/>
      </c>
      <c r="I64">
        <f>IF(LEN(INDEX('Aides'!$W$4:$W$503,61))=0,"",INDEX('Aides'!$W$4:$W$503,61))</f>
        <v/>
      </c>
      <c r="J64">
        <f>IF(LEN(INDEX('Aides'!$V$4:$V$503,61))=0,"",INDEX('Aides'!$V$4:$V$503,61))</f>
        <v/>
      </c>
    </row>
    <row r="65">
      <c r="A65">
        <f>IF(AND(LEN('Aides'!A65)&gt;0,ISNUMBER('Aides'!I65)),1,0)</f>
        <v/>
      </c>
      <c r="B65">
        <f>B64+A65</f>
        <v/>
      </c>
      <c r="C65">
        <f>IF(62&gt;$B$1503,"",MATCH(62-0.5,$B$3:$B$1503,1))</f>
        <v/>
      </c>
      <c r="D65">
        <f>"CNA certification ("&amp;IF(LEN(INDEX('Aides'!$C$4:$C$503,62))=0,"",INDEX('Aides'!$C$4:$C$503,62))&amp;") – "&amp;IF(LEN(INDEX('Aides'!$A$4:$A$503,62))=0,"",INDEX('Aides'!$A$4:$A$503,62))</f>
        <v/>
      </c>
      <c r="E65">
        <f>IF(ISNUMBER(INDEX('Aides'!$I$4:$I$503,62)),TEXT(INDEX('Aides'!$I$4:$I$503,62),"yyyy-mm-dd"),"")</f>
        <v/>
      </c>
      <c r="F65">
        <f>"Certification"</f>
        <v/>
      </c>
      <c r="G65">
        <f>"High"</f>
        <v/>
      </c>
      <c r="H65">
        <f>TRIM(IF(LEN(IF(LEN(INDEX('Aides'!$D$4:$D$503,62))=0,"",INDEX('Aides'!$D$4:$D$503,62)))=0,"","Registry no.: "&amp;IF(LEN(INDEX('Aides'!$D$4:$D$503,62))=0,"",INDEX('Aides'!$D$4:$D$503,62))&amp;". ")&amp;IF(LEN(IF(ISNUMBER(INDEX('Aides'!$F$4:$F$503,62)),TEXT(INDEX('Aides'!$F$4:$F$503,62),"yyyy-mm-dd"),""))=0,"","Registry expiry: "&amp;IF(ISNUMBER(INDEX('Aides'!$F$4:$F$503,62)),TEXT(INDEX('Aides'!$F$4:$F$503,62),"yyyy-mm-dd"),"")&amp;". ")&amp;IF(LEN(IF(ISNUMBER(INDEX('Aides'!$G$4:$G$503,62)),TEXT(INDEX('Aides'!$G$4:$G$503,62),"yyyy-mm-dd"),""))=0,"","Last paid nursing work: "&amp;IF(ISNUMBER(INDEX('Aides'!$G$4:$G$503,62)),TEXT(INDEX('Aides'!$G$4:$G$503,62),"yyyy-mm-dd"),"")&amp;". ")&amp;IF(LEN(IF(ISNUMBER(INDEX('Aides'!$H$4:$H$503,62)),TEXT(INDEX('Aides'!$H$4:$H$503,62),"yyyy-mm-dd"),""))=0,"","24-month cut-off: "&amp;IF(ISNUMBER(INDEX('Aides'!$H$4:$H$503,62)),TEXT(INDEX('Aides'!$H$4:$H$503,62),"yyyy-mm-dd"),"")&amp;". ")&amp;IF(LEN(IF(LEN(INDEX('Aides'!$U$4:$U$503,62))=0,"",INDEX('Aides'!$U$4:$U$503,62)))=0,"","Owner: "&amp;IF(LEN(INDEX('Aides'!$U$4:$U$503,62))=0,"",INDEX('Aides'!$U$4:$U$503,62))&amp;". ")&amp;IF(LEN(IF(LEN(INDEX('Aides'!$X$4:$X$503,62))=0,"",INDEX('Aides'!$X$4:$X$503,62)))=0,"",IF(LEN(INDEX('Aides'!$X$4:$X$503,62))=0,"",INDEX('Aides'!$X$4:$X$503,62))))</f>
        <v/>
      </c>
      <c r="I65">
        <f>IF(LEN(INDEX('Aides'!$W$4:$W$503,62))=0,"",INDEX('Aides'!$W$4:$W$503,62))</f>
        <v/>
      </c>
      <c r="J65">
        <f>IF(LEN(INDEX('Aides'!$V$4:$V$503,62))=0,"",INDEX('Aides'!$V$4:$V$503,62))</f>
        <v/>
      </c>
    </row>
    <row r="66">
      <c r="A66">
        <f>IF(AND(LEN('Aides'!A66)&gt;0,ISNUMBER('Aides'!I66)),1,0)</f>
        <v/>
      </c>
      <c r="B66">
        <f>B65+A66</f>
        <v/>
      </c>
      <c r="C66">
        <f>IF(63&gt;$B$1503,"",MATCH(63-0.5,$B$3:$B$1503,1))</f>
        <v/>
      </c>
      <c r="D66">
        <f>"CNA certification ("&amp;IF(LEN(INDEX('Aides'!$C$4:$C$503,63))=0,"",INDEX('Aides'!$C$4:$C$503,63))&amp;") – "&amp;IF(LEN(INDEX('Aides'!$A$4:$A$503,63))=0,"",INDEX('Aides'!$A$4:$A$503,63))</f>
        <v/>
      </c>
      <c r="E66">
        <f>IF(ISNUMBER(INDEX('Aides'!$I$4:$I$503,63)),TEXT(INDEX('Aides'!$I$4:$I$503,63),"yyyy-mm-dd"),"")</f>
        <v/>
      </c>
      <c r="F66">
        <f>"Certification"</f>
        <v/>
      </c>
      <c r="G66">
        <f>"High"</f>
        <v/>
      </c>
      <c r="H66">
        <f>TRIM(IF(LEN(IF(LEN(INDEX('Aides'!$D$4:$D$503,63))=0,"",INDEX('Aides'!$D$4:$D$503,63)))=0,"","Registry no.: "&amp;IF(LEN(INDEX('Aides'!$D$4:$D$503,63))=0,"",INDEX('Aides'!$D$4:$D$503,63))&amp;". ")&amp;IF(LEN(IF(ISNUMBER(INDEX('Aides'!$F$4:$F$503,63)),TEXT(INDEX('Aides'!$F$4:$F$503,63),"yyyy-mm-dd"),""))=0,"","Registry expiry: "&amp;IF(ISNUMBER(INDEX('Aides'!$F$4:$F$503,63)),TEXT(INDEX('Aides'!$F$4:$F$503,63),"yyyy-mm-dd"),"")&amp;". ")&amp;IF(LEN(IF(ISNUMBER(INDEX('Aides'!$G$4:$G$503,63)),TEXT(INDEX('Aides'!$G$4:$G$503,63),"yyyy-mm-dd"),""))=0,"","Last paid nursing work: "&amp;IF(ISNUMBER(INDEX('Aides'!$G$4:$G$503,63)),TEXT(INDEX('Aides'!$G$4:$G$503,63),"yyyy-mm-dd"),"")&amp;". ")&amp;IF(LEN(IF(ISNUMBER(INDEX('Aides'!$H$4:$H$503,63)),TEXT(INDEX('Aides'!$H$4:$H$503,63),"yyyy-mm-dd"),""))=0,"","24-month cut-off: "&amp;IF(ISNUMBER(INDEX('Aides'!$H$4:$H$503,63)),TEXT(INDEX('Aides'!$H$4:$H$503,63),"yyyy-mm-dd"),"")&amp;". ")&amp;IF(LEN(IF(LEN(INDEX('Aides'!$U$4:$U$503,63))=0,"",INDEX('Aides'!$U$4:$U$503,63)))=0,"","Owner: "&amp;IF(LEN(INDEX('Aides'!$U$4:$U$503,63))=0,"",INDEX('Aides'!$U$4:$U$503,63))&amp;". ")&amp;IF(LEN(IF(LEN(INDEX('Aides'!$X$4:$X$503,63))=0,"",INDEX('Aides'!$X$4:$X$503,63)))=0,"",IF(LEN(INDEX('Aides'!$X$4:$X$503,63))=0,"",INDEX('Aides'!$X$4:$X$503,63))))</f>
        <v/>
      </c>
      <c r="I66">
        <f>IF(LEN(INDEX('Aides'!$W$4:$W$503,63))=0,"",INDEX('Aides'!$W$4:$W$503,63))</f>
        <v/>
      </c>
      <c r="J66">
        <f>IF(LEN(INDEX('Aides'!$V$4:$V$503,63))=0,"",INDEX('Aides'!$V$4:$V$503,63))</f>
        <v/>
      </c>
    </row>
    <row r="67">
      <c r="A67">
        <f>IF(AND(LEN('Aides'!A67)&gt;0,ISNUMBER('Aides'!I67)),1,0)</f>
        <v/>
      </c>
      <c r="B67">
        <f>B66+A67</f>
        <v/>
      </c>
      <c r="C67">
        <f>IF(64&gt;$B$1503,"",MATCH(64-0.5,$B$3:$B$1503,1))</f>
        <v/>
      </c>
      <c r="D67">
        <f>"CNA certification ("&amp;IF(LEN(INDEX('Aides'!$C$4:$C$503,64))=0,"",INDEX('Aides'!$C$4:$C$503,64))&amp;") – "&amp;IF(LEN(INDEX('Aides'!$A$4:$A$503,64))=0,"",INDEX('Aides'!$A$4:$A$503,64))</f>
        <v/>
      </c>
      <c r="E67">
        <f>IF(ISNUMBER(INDEX('Aides'!$I$4:$I$503,64)),TEXT(INDEX('Aides'!$I$4:$I$503,64),"yyyy-mm-dd"),"")</f>
        <v/>
      </c>
      <c r="F67">
        <f>"Certification"</f>
        <v/>
      </c>
      <c r="G67">
        <f>"High"</f>
        <v/>
      </c>
      <c r="H67">
        <f>TRIM(IF(LEN(IF(LEN(INDEX('Aides'!$D$4:$D$503,64))=0,"",INDEX('Aides'!$D$4:$D$503,64)))=0,"","Registry no.: "&amp;IF(LEN(INDEX('Aides'!$D$4:$D$503,64))=0,"",INDEX('Aides'!$D$4:$D$503,64))&amp;". ")&amp;IF(LEN(IF(ISNUMBER(INDEX('Aides'!$F$4:$F$503,64)),TEXT(INDEX('Aides'!$F$4:$F$503,64),"yyyy-mm-dd"),""))=0,"","Registry expiry: "&amp;IF(ISNUMBER(INDEX('Aides'!$F$4:$F$503,64)),TEXT(INDEX('Aides'!$F$4:$F$503,64),"yyyy-mm-dd"),"")&amp;". ")&amp;IF(LEN(IF(ISNUMBER(INDEX('Aides'!$G$4:$G$503,64)),TEXT(INDEX('Aides'!$G$4:$G$503,64),"yyyy-mm-dd"),""))=0,"","Last paid nursing work: "&amp;IF(ISNUMBER(INDEX('Aides'!$G$4:$G$503,64)),TEXT(INDEX('Aides'!$G$4:$G$503,64),"yyyy-mm-dd"),"")&amp;". ")&amp;IF(LEN(IF(ISNUMBER(INDEX('Aides'!$H$4:$H$503,64)),TEXT(INDEX('Aides'!$H$4:$H$503,64),"yyyy-mm-dd"),""))=0,"","24-month cut-off: "&amp;IF(ISNUMBER(INDEX('Aides'!$H$4:$H$503,64)),TEXT(INDEX('Aides'!$H$4:$H$503,64),"yyyy-mm-dd"),"")&amp;". ")&amp;IF(LEN(IF(LEN(INDEX('Aides'!$U$4:$U$503,64))=0,"",INDEX('Aides'!$U$4:$U$503,64)))=0,"","Owner: "&amp;IF(LEN(INDEX('Aides'!$U$4:$U$503,64))=0,"",INDEX('Aides'!$U$4:$U$503,64))&amp;". ")&amp;IF(LEN(IF(LEN(INDEX('Aides'!$X$4:$X$503,64))=0,"",INDEX('Aides'!$X$4:$X$503,64)))=0,"",IF(LEN(INDEX('Aides'!$X$4:$X$503,64))=0,"",INDEX('Aides'!$X$4:$X$503,64))))</f>
        <v/>
      </c>
      <c r="I67">
        <f>IF(LEN(INDEX('Aides'!$W$4:$W$503,64))=0,"",INDEX('Aides'!$W$4:$W$503,64))</f>
        <v/>
      </c>
      <c r="J67">
        <f>IF(LEN(INDEX('Aides'!$V$4:$V$503,64))=0,"",INDEX('Aides'!$V$4:$V$503,64))</f>
        <v/>
      </c>
    </row>
    <row r="68">
      <c r="A68">
        <f>IF(AND(LEN('Aides'!A68)&gt;0,ISNUMBER('Aides'!I68)),1,0)</f>
        <v/>
      </c>
      <c r="B68">
        <f>B67+A68</f>
        <v/>
      </c>
      <c r="C68">
        <f>IF(65&gt;$B$1503,"",MATCH(65-0.5,$B$3:$B$1503,1))</f>
        <v/>
      </c>
      <c r="D68">
        <f>"CNA certification ("&amp;IF(LEN(INDEX('Aides'!$C$4:$C$503,65))=0,"",INDEX('Aides'!$C$4:$C$503,65))&amp;") – "&amp;IF(LEN(INDEX('Aides'!$A$4:$A$503,65))=0,"",INDEX('Aides'!$A$4:$A$503,65))</f>
        <v/>
      </c>
      <c r="E68">
        <f>IF(ISNUMBER(INDEX('Aides'!$I$4:$I$503,65)),TEXT(INDEX('Aides'!$I$4:$I$503,65),"yyyy-mm-dd"),"")</f>
        <v/>
      </c>
      <c r="F68">
        <f>"Certification"</f>
        <v/>
      </c>
      <c r="G68">
        <f>"High"</f>
        <v/>
      </c>
      <c r="H68">
        <f>TRIM(IF(LEN(IF(LEN(INDEX('Aides'!$D$4:$D$503,65))=0,"",INDEX('Aides'!$D$4:$D$503,65)))=0,"","Registry no.: "&amp;IF(LEN(INDEX('Aides'!$D$4:$D$503,65))=0,"",INDEX('Aides'!$D$4:$D$503,65))&amp;". ")&amp;IF(LEN(IF(ISNUMBER(INDEX('Aides'!$F$4:$F$503,65)),TEXT(INDEX('Aides'!$F$4:$F$503,65),"yyyy-mm-dd"),""))=0,"","Registry expiry: "&amp;IF(ISNUMBER(INDEX('Aides'!$F$4:$F$503,65)),TEXT(INDEX('Aides'!$F$4:$F$503,65),"yyyy-mm-dd"),"")&amp;". ")&amp;IF(LEN(IF(ISNUMBER(INDEX('Aides'!$G$4:$G$503,65)),TEXT(INDEX('Aides'!$G$4:$G$503,65),"yyyy-mm-dd"),""))=0,"","Last paid nursing work: "&amp;IF(ISNUMBER(INDEX('Aides'!$G$4:$G$503,65)),TEXT(INDEX('Aides'!$G$4:$G$503,65),"yyyy-mm-dd"),"")&amp;". ")&amp;IF(LEN(IF(ISNUMBER(INDEX('Aides'!$H$4:$H$503,65)),TEXT(INDEX('Aides'!$H$4:$H$503,65),"yyyy-mm-dd"),""))=0,"","24-month cut-off: "&amp;IF(ISNUMBER(INDEX('Aides'!$H$4:$H$503,65)),TEXT(INDEX('Aides'!$H$4:$H$503,65),"yyyy-mm-dd"),"")&amp;". ")&amp;IF(LEN(IF(LEN(INDEX('Aides'!$U$4:$U$503,65))=0,"",INDEX('Aides'!$U$4:$U$503,65)))=0,"","Owner: "&amp;IF(LEN(INDEX('Aides'!$U$4:$U$503,65))=0,"",INDEX('Aides'!$U$4:$U$503,65))&amp;". ")&amp;IF(LEN(IF(LEN(INDEX('Aides'!$X$4:$X$503,65))=0,"",INDEX('Aides'!$X$4:$X$503,65)))=0,"",IF(LEN(INDEX('Aides'!$X$4:$X$503,65))=0,"",INDEX('Aides'!$X$4:$X$503,65))))</f>
        <v/>
      </c>
      <c r="I68">
        <f>IF(LEN(INDEX('Aides'!$W$4:$W$503,65))=0,"",INDEX('Aides'!$W$4:$W$503,65))</f>
        <v/>
      </c>
      <c r="J68">
        <f>IF(LEN(INDEX('Aides'!$V$4:$V$503,65))=0,"",INDEX('Aides'!$V$4:$V$503,65))</f>
        <v/>
      </c>
    </row>
    <row r="69">
      <c r="A69">
        <f>IF(AND(LEN('Aides'!A69)&gt;0,ISNUMBER('Aides'!I69)),1,0)</f>
        <v/>
      </c>
      <c r="B69">
        <f>B68+A69</f>
        <v/>
      </c>
      <c r="C69">
        <f>IF(66&gt;$B$1503,"",MATCH(66-0.5,$B$3:$B$1503,1))</f>
        <v/>
      </c>
      <c r="D69">
        <f>"CNA certification ("&amp;IF(LEN(INDEX('Aides'!$C$4:$C$503,66))=0,"",INDEX('Aides'!$C$4:$C$503,66))&amp;") – "&amp;IF(LEN(INDEX('Aides'!$A$4:$A$503,66))=0,"",INDEX('Aides'!$A$4:$A$503,66))</f>
        <v/>
      </c>
      <c r="E69">
        <f>IF(ISNUMBER(INDEX('Aides'!$I$4:$I$503,66)),TEXT(INDEX('Aides'!$I$4:$I$503,66),"yyyy-mm-dd"),"")</f>
        <v/>
      </c>
      <c r="F69">
        <f>"Certification"</f>
        <v/>
      </c>
      <c r="G69">
        <f>"High"</f>
        <v/>
      </c>
      <c r="H69">
        <f>TRIM(IF(LEN(IF(LEN(INDEX('Aides'!$D$4:$D$503,66))=0,"",INDEX('Aides'!$D$4:$D$503,66)))=0,"","Registry no.: "&amp;IF(LEN(INDEX('Aides'!$D$4:$D$503,66))=0,"",INDEX('Aides'!$D$4:$D$503,66))&amp;". ")&amp;IF(LEN(IF(ISNUMBER(INDEX('Aides'!$F$4:$F$503,66)),TEXT(INDEX('Aides'!$F$4:$F$503,66),"yyyy-mm-dd"),""))=0,"","Registry expiry: "&amp;IF(ISNUMBER(INDEX('Aides'!$F$4:$F$503,66)),TEXT(INDEX('Aides'!$F$4:$F$503,66),"yyyy-mm-dd"),"")&amp;". ")&amp;IF(LEN(IF(ISNUMBER(INDEX('Aides'!$G$4:$G$503,66)),TEXT(INDEX('Aides'!$G$4:$G$503,66),"yyyy-mm-dd"),""))=0,"","Last paid nursing work: "&amp;IF(ISNUMBER(INDEX('Aides'!$G$4:$G$503,66)),TEXT(INDEX('Aides'!$G$4:$G$503,66),"yyyy-mm-dd"),"")&amp;". ")&amp;IF(LEN(IF(ISNUMBER(INDEX('Aides'!$H$4:$H$503,66)),TEXT(INDEX('Aides'!$H$4:$H$503,66),"yyyy-mm-dd"),""))=0,"","24-month cut-off: "&amp;IF(ISNUMBER(INDEX('Aides'!$H$4:$H$503,66)),TEXT(INDEX('Aides'!$H$4:$H$503,66),"yyyy-mm-dd"),"")&amp;". ")&amp;IF(LEN(IF(LEN(INDEX('Aides'!$U$4:$U$503,66))=0,"",INDEX('Aides'!$U$4:$U$503,66)))=0,"","Owner: "&amp;IF(LEN(INDEX('Aides'!$U$4:$U$503,66))=0,"",INDEX('Aides'!$U$4:$U$503,66))&amp;". ")&amp;IF(LEN(IF(LEN(INDEX('Aides'!$X$4:$X$503,66))=0,"",INDEX('Aides'!$X$4:$X$503,66)))=0,"",IF(LEN(INDEX('Aides'!$X$4:$X$503,66))=0,"",INDEX('Aides'!$X$4:$X$503,66))))</f>
        <v/>
      </c>
      <c r="I69">
        <f>IF(LEN(INDEX('Aides'!$W$4:$W$503,66))=0,"",INDEX('Aides'!$W$4:$W$503,66))</f>
        <v/>
      </c>
      <c r="J69">
        <f>IF(LEN(INDEX('Aides'!$V$4:$V$503,66))=0,"",INDEX('Aides'!$V$4:$V$503,66))</f>
        <v/>
      </c>
    </row>
    <row r="70">
      <c r="A70">
        <f>IF(AND(LEN('Aides'!A70)&gt;0,ISNUMBER('Aides'!I70)),1,0)</f>
        <v/>
      </c>
      <c r="B70">
        <f>B69+A70</f>
        <v/>
      </c>
      <c r="C70">
        <f>IF(67&gt;$B$1503,"",MATCH(67-0.5,$B$3:$B$1503,1))</f>
        <v/>
      </c>
      <c r="D70">
        <f>"CNA certification ("&amp;IF(LEN(INDEX('Aides'!$C$4:$C$503,67))=0,"",INDEX('Aides'!$C$4:$C$503,67))&amp;") – "&amp;IF(LEN(INDEX('Aides'!$A$4:$A$503,67))=0,"",INDEX('Aides'!$A$4:$A$503,67))</f>
        <v/>
      </c>
      <c r="E70">
        <f>IF(ISNUMBER(INDEX('Aides'!$I$4:$I$503,67)),TEXT(INDEX('Aides'!$I$4:$I$503,67),"yyyy-mm-dd"),"")</f>
        <v/>
      </c>
      <c r="F70">
        <f>"Certification"</f>
        <v/>
      </c>
      <c r="G70">
        <f>"High"</f>
        <v/>
      </c>
      <c r="H70">
        <f>TRIM(IF(LEN(IF(LEN(INDEX('Aides'!$D$4:$D$503,67))=0,"",INDEX('Aides'!$D$4:$D$503,67)))=0,"","Registry no.: "&amp;IF(LEN(INDEX('Aides'!$D$4:$D$503,67))=0,"",INDEX('Aides'!$D$4:$D$503,67))&amp;". ")&amp;IF(LEN(IF(ISNUMBER(INDEX('Aides'!$F$4:$F$503,67)),TEXT(INDEX('Aides'!$F$4:$F$503,67),"yyyy-mm-dd"),""))=0,"","Registry expiry: "&amp;IF(ISNUMBER(INDEX('Aides'!$F$4:$F$503,67)),TEXT(INDEX('Aides'!$F$4:$F$503,67),"yyyy-mm-dd"),"")&amp;". ")&amp;IF(LEN(IF(ISNUMBER(INDEX('Aides'!$G$4:$G$503,67)),TEXT(INDEX('Aides'!$G$4:$G$503,67),"yyyy-mm-dd"),""))=0,"","Last paid nursing work: "&amp;IF(ISNUMBER(INDEX('Aides'!$G$4:$G$503,67)),TEXT(INDEX('Aides'!$G$4:$G$503,67),"yyyy-mm-dd"),"")&amp;". ")&amp;IF(LEN(IF(ISNUMBER(INDEX('Aides'!$H$4:$H$503,67)),TEXT(INDEX('Aides'!$H$4:$H$503,67),"yyyy-mm-dd"),""))=0,"","24-month cut-off: "&amp;IF(ISNUMBER(INDEX('Aides'!$H$4:$H$503,67)),TEXT(INDEX('Aides'!$H$4:$H$503,67),"yyyy-mm-dd"),"")&amp;". ")&amp;IF(LEN(IF(LEN(INDEX('Aides'!$U$4:$U$503,67))=0,"",INDEX('Aides'!$U$4:$U$503,67)))=0,"","Owner: "&amp;IF(LEN(INDEX('Aides'!$U$4:$U$503,67))=0,"",INDEX('Aides'!$U$4:$U$503,67))&amp;". ")&amp;IF(LEN(IF(LEN(INDEX('Aides'!$X$4:$X$503,67))=0,"",INDEX('Aides'!$X$4:$X$503,67)))=0,"",IF(LEN(INDEX('Aides'!$X$4:$X$503,67))=0,"",INDEX('Aides'!$X$4:$X$503,67))))</f>
        <v/>
      </c>
      <c r="I70">
        <f>IF(LEN(INDEX('Aides'!$W$4:$W$503,67))=0,"",INDEX('Aides'!$W$4:$W$503,67))</f>
        <v/>
      </c>
      <c r="J70">
        <f>IF(LEN(INDEX('Aides'!$V$4:$V$503,67))=0,"",INDEX('Aides'!$V$4:$V$503,67))</f>
        <v/>
      </c>
    </row>
    <row r="71">
      <c r="A71">
        <f>IF(AND(LEN('Aides'!A71)&gt;0,ISNUMBER('Aides'!I71)),1,0)</f>
        <v/>
      </c>
      <c r="B71">
        <f>B70+A71</f>
        <v/>
      </c>
      <c r="C71">
        <f>IF(68&gt;$B$1503,"",MATCH(68-0.5,$B$3:$B$1503,1))</f>
        <v/>
      </c>
      <c r="D71">
        <f>"CNA certification ("&amp;IF(LEN(INDEX('Aides'!$C$4:$C$503,68))=0,"",INDEX('Aides'!$C$4:$C$503,68))&amp;") – "&amp;IF(LEN(INDEX('Aides'!$A$4:$A$503,68))=0,"",INDEX('Aides'!$A$4:$A$503,68))</f>
        <v/>
      </c>
      <c r="E71">
        <f>IF(ISNUMBER(INDEX('Aides'!$I$4:$I$503,68)),TEXT(INDEX('Aides'!$I$4:$I$503,68),"yyyy-mm-dd"),"")</f>
        <v/>
      </c>
      <c r="F71">
        <f>"Certification"</f>
        <v/>
      </c>
      <c r="G71">
        <f>"High"</f>
        <v/>
      </c>
      <c r="H71">
        <f>TRIM(IF(LEN(IF(LEN(INDEX('Aides'!$D$4:$D$503,68))=0,"",INDEX('Aides'!$D$4:$D$503,68)))=0,"","Registry no.: "&amp;IF(LEN(INDEX('Aides'!$D$4:$D$503,68))=0,"",INDEX('Aides'!$D$4:$D$503,68))&amp;". ")&amp;IF(LEN(IF(ISNUMBER(INDEX('Aides'!$F$4:$F$503,68)),TEXT(INDEX('Aides'!$F$4:$F$503,68),"yyyy-mm-dd"),""))=0,"","Registry expiry: "&amp;IF(ISNUMBER(INDEX('Aides'!$F$4:$F$503,68)),TEXT(INDEX('Aides'!$F$4:$F$503,68),"yyyy-mm-dd"),"")&amp;". ")&amp;IF(LEN(IF(ISNUMBER(INDEX('Aides'!$G$4:$G$503,68)),TEXT(INDEX('Aides'!$G$4:$G$503,68),"yyyy-mm-dd"),""))=0,"","Last paid nursing work: "&amp;IF(ISNUMBER(INDEX('Aides'!$G$4:$G$503,68)),TEXT(INDEX('Aides'!$G$4:$G$503,68),"yyyy-mm-dd"),"")&amp;". ")&amp;IF(LEN(IF(ISNUMBER(INDEX('Aides'!$H$4:$H$503,68)),TEXT(INDEX('Aides'!$H$4:$H$503,68),"yyyy-mm-dd"),""))=0,"","24-month cut-off: "&amp;IF(ISNUMBER(INDEX('Aides'!$H$4:$H$503,68)),TEXT(INDEX('Aides'!$H$4:$H$503,68),"yyyy-mm-dd"),"")&amp;". ")&amp;IF(LEN(IF(LEN(INDEX('Aides'!$U$4:$U$503,68))=0,"",INDEX('Aides'!$U$4:$U$503,68)))=0,"","Owner: "&amp;IF(LEN(INDEX('Aides'!$U$4:$U$503,68))=0,"",INDEX('Aides'!$U$4:$U$503,68))&amp;". ")&amp;IF(LEN(IF(LEN(INDEX('Aides'!$X$4:$X$503,68))=0,"",INDEX('Aides'!$X$4:$X$503,68)))=0,"",IF(LEN(INDEX('Aides'!$X$4:$X$503,68))=0,"",INDEX('Aides'!$X$4:$X$503,68))))</f>
        <v/>
      </c>
      <c r="I71">
        <f>IF(LEN(INDEX('Aides'!$W$4:$W$503,68))=0,"",INDEX('Aides'!$W$4:$W$503,68))</f>
        <v/>
      </c>
      <c r="J71">
        <f>IF(LEN(INDEX('Aides'!$V$4:$V$503,68))=0,"",INDEX('Aides'!$V$4:$V$503,68))</f>
        <v/>
      </c>
    </row>
    <row r="72">
      <c r="A72">
        <f>IF(AND(LEN('Aides'!A72)&gt;0,ISNUMBER('Aides'!I72)),1,0)</f>
        <v/>
      </c>
      <c r="B72">
        <f>B71+A72</f>
        <v/>
      </c>
      <c r="C72">
        <f>IF(69&gt;$B$1503,"",MATCH(69-0.5,$B$3:$B$1503,1))</f>
        <v/>
      </c>
      <c r="D72">
        <f>"CNA certification ("&amp;IF(LEN(INDEX('Aides'!$C$4:$C$503,69))=0,"",INDEX('Aides'!$C$4:$C$503,69))&amp;") – "&amp;IF(LEN(INDEX('Aides'!$A$4:$A$503,69))=0,"",INDEX('Aides'!$A$4:$A$503,69))</f>
        <v/>
      </c>
      <c r="E72">
        <f>IF(ISNUMBER(INDEX('Aides'!$I$4:$I$503,69)),TEXT(INDEX('Aides'!$I$4:$I$503,69),"yyyy-mm-dd"),"")</f>
        <v/>
      </c>
      <c r="F72">
        <f>"Certification"</f>
        <v/>
      </c>
      <c r="G72">
        <f>"High"</f>
        <v/>
      </c>
      <c r="H72">
        <f>TRIM(IF(LEN(IF(LEN(INDEX('Aides'!$D$4:$D$503,69))=0,"",INDEX('Aides'!$D$4:$D$503,69)))=0,"","Registry no.: "&amp;IF(LEN(INDEX('Aides'!$D$4:$D$503,69))=0,"",INDEX('Aides'!$D$4:$D$503,69))&amp;". ")&amp;IF(LEN(IF(ISNUMBER(INDEX('Aides'!$F$4:$F$503,69)),TEXT(INDEX('Aides'!$F$4:$F$503,69),"yyyy-mm-dd"),""))=0,"","Registry expiry: "&amp;IF(ISNUMBER(INDEX('Aides'!$F$4:$F$503,69)),TEXT(INDEX('Aides'!$F$4:$F$503,69),"yyyy-mm-dd"),"")&amp;". ")&amp;IF(LEN(IF(ISNUMBER(INDEX('Aides'!$G$4:$G$503,69)),TEXT(INDEX('Aides'!$G$4:$G$503,69),"yyyy-mm-dd"),""))=0,"","Last paid nursing work: "&amp;IF(ISNUMBER(INDEX('Aides'!$G$4:$G$503,69)),TEXT(INDEX('Aides'!$G$4:$G$503,69),"yyyy-mm-dd"),"")&amp;". ")&amp;IF(LEN(IF(ISNUMBER(INDEX('Aides'!$H$4:$H$503,69)),TEXT(INDEX('Aides'!$H$4:$H$503,69),"yyyy-mm-dd"),""))=0,"","24-month cut-off: "&amp;IF(ISNUMBER(INDEX('Aides'!$H$4:$H$503,69)),TEXT(INDEX('Aides'!$H$4:$H$503,69),"yyyy-mm-dd"),"")&amp;". ")&amp;IF(LEN(IF(LEN(INDEX('Aides'!$U$4:$U$503,69))=0,"",INDEX('Aides'!$U$4:$U$503,69)))=0,"","Owner: "&amp;IF(LEN(INDEX('Aides'!$U$4:$U$503,69))=0,"",INDEX('Aides'!$U$4:$U$503,69))&amp;". ")&amp;IF(LEN(IF(LEN(INDEX('Aides'!$X$4:$X$503,69))=0,"",INDEX('Aides'!$X$4:$X$503,69)))=0,"",IF(LEN(INDEX('Aides'!$X$4:$X$503,69))=0,"",INDEX('Aides'!$X$4:$X$503,69))))</f>
        <v/>
      </c>
      <c r="I72">
        <f>IF(LEN(INDEX('Aides'!$W$4:$W$503,69))=0,"",INDEX('Aides'!$W$4:$W$503,69))</f>
        <v/>
      </c>
      <c r="J72">
        <f>IF(LEN(INDEX('Aides'!$V$4:$V$503,69))=0,"",INDEX('Aides'!$V$4:$V$503,69))</f>
        <v/>
      </c>
    </row>
    <row r="73">
      <c r="A73">
        <f>IF(AND(LEN('Aides'!A73)&gt;0,ISNUMBER('Aides'!I73)),1,0)</f>
        <v/>
      </c>
      <c r="B73">
        <f>B72+A73</f>
        <v/>
      </c>
      <c r="C73">
        <f>IF(70&gt;$B$1503,"",MATCH(70-0.5,$B$3:$B$1503,1))</f>
        <v/>
      </c>
      <c r="D73">
        <f>"CNA certification ("&amp;IF(LEN(INDEX('Aides'!$C$4:$C$503,70))=0,"",INDEX('Aides'!$C$4:$C$503,70))&amp;") – "&amp;IF(LEN(INDEX('Aides'!$A$4:$A$503,70))=0,"",INDEX('Aides'!$A$4:$A$503,70))</f>
        <v/>
      </c>
      <c r="E73">
        <f>IF(ISNUMBER(INDEX('Aides'!$I$4:$I$503,70)),TEXT(INDEX('Aides'!$I$4:$I$503,70),"yyyy-mm-dd"),"")</f>
        <v/>
      </c>
      <c r="F73">
        <f>"Certification"</f>
        <v/>
      </c>
      <c r="G73">
        <f>"High"</f>
        <v/>
      </c>
      <c r="H73">
        <f>TRIM(IF(LEN(IF(LEN(INDEX('Aides'!$D$4:$D$503,70))=0,"",INDEX('Aides'!$D$4:$D$503,70)))=0,"","Registry no.: "&amp;IF(LEN(INDEX('Aides'!$D$4:$D$503,70))=0,"",INDEX('Aides'!$D$4:$D$503,70))&amp;". ")&amp;IF(LEN(IF(ISNUMBER(INDEX('Aides'!$F$4:$F$503,70)),TEXT(INDEX('Aides'!$F$4:$F$503,70),"yyyy-mm-dd"),""))=0,"","Registry expiry: "&amp;IF(ISNUMBER(INDEX('Aides'!$F$4:$F$503,70)),TEXT(INDEX('Aides'!$F$4:$F$503,70),"yyyy-mm-dd"),"")&amp;". ")&amp;IF(LEN(IF(ISNUMBER(INDEX('Aides'!$G$4:$G$503,70)),TEXT(INDEX('Aides'!$G$4:$G$503,70),"yyyy-mm-dd"),""))=0,"","Last paid nursing work: "&amp;IF(ISNUMBER(INDEX('Aides'!$G$4:$G$503,70)),TEXT(INDEX('Aides'!$G$4:$G$503,70),"yyyy-mm-dd"),"")&amp;". ")&amp;IF(LEN(IF(ISNUMBER(INDEX('Aides'!$H$4:$H$503,70)),TEXT(INDEX('Aides'!$H$4:$H$503,70),"yyyy-mm-dd"),""))=0,"","24-month cut-off: "&amp;IF(ISNUMBER(INDEX('Aides'!$H$4:$H$503,70)),TEXT(INDEX('Aides'!$H$4:$H$503,70),"yyyy-mm-dd"),"")&amp;". ")&amp;IF(LEN(IF(LEN(INDEX('Aides'!$U$4:$U$503,70))=0,"",INDEX('Aides'!$U$4:$U$503,70)))=0,"","Owner: "&amp;IF(LEN(INDEX('Aides'!$U$4:$U$503,70))=0,"",INDEX('Aides'!$U$4:$U$503,70))&amp;". ")&amp;IF(LEN(IF(LEN(INDEX('Aides'!$X$4:$X$503,70))=0,"",INDEX('Aides'!$X$4:$X$503,70)))=0,"",IF(LEN(INDEX('Aides'!$X$4:$X$503,70))=0,"",INDEX('Aides'!$X$4:$X$503,70))))</f>
        <v/>
      </c>
      <c r="I73">
        <f>IF(LEN(INDEX('Aides'!$W$4:$W$503,70))=0,"",INDEX('Aides'!$W$4:$W$503,70))</f>
        <v/>
      </c>
      <c r="J73">
        <f>IF(LEN(INDEX('Aides'!$V$4:$V$503,70))=0,"",INDEX('Aides'!$V$4:$V$503,70))</f>
        <v/>
      </c>
    </row>
    <row r="74">
      <c r="A74">
        <f>IF(AND(LEN('Aides'!A74)&gt;0,ISNUMBER('Aides'!I74)),1,0)</f>
        <v/>
      </c>
      <c r="B74">
        <f>B73+A74</f>
        <v/>
      </c>
      <c r="C74">
        <f>IF(71&gt;$B$1503,"",MATCH(71-0.5,$B$3:$B$1503,1))</f>
        <v/>
      </c>
      <c r="D74">
        <f>"CNA certification ("&amp;IF(LEN(INDEX('Aides'!$C$4:$C$503,71))=0,"",INDEX('Aides'!$C$4:$C$503,71))&amp;") – "&amp;IF(LEN(INDEX('Aides'!$A$4:$A$503,71))=0,"",INDEX('Aides'!$A$4:$A$503,71))</f>
        <v/>
      </c>
      <c r="E74">
        <f>IF(ISNUMBER(INDEX('Aides'!$I$4:$I$503,71)),TEXT(INDEX('Aides'!$I$4:$I$503,71),"yyyy-mm-dd"),"")</f>
        <v/>
      </c>
      <c r="F74">
        <f>"Certification"</f>
        <v/>
      </c>
      <c r="G74">
        <f>"High"</f>
        <v/>
      </c>
      <c r="H74">
        <f>TRIM(IF(LEN(IF(LEN(INDEX('Aides'!$D$4:$D$503,71))=0,"",INDEX('Aides'!$D$4:$D$503,71)))=0,"","Registry no.: "&amp;IF(LEN(INDEX('Aides'!$D$4:$D$503,71))=0,"",INDEX('Aides'!$D$4:$D$503,71))&amp;". ")&amp;IF(LEN(IF(ISNUMBER(INDEX('Aides'!$F$4:$F$503,71)),TEXT(INDEX('Aides'!$F$4:$F$503,71),"yyyy-mm-dd"),""))=0,"","Registry expiry: "&amp;IF(ISNUMBER(INDEX('Aides'!$F$4:$F$503,71)),TEXT(INDEX('Aides'!$F$4:$F$503,71),"yyyy-mm-dd"),"")&amp;". ")&amp;IF(LEN(IF(ISNUMBER(INDEX('Aides'!$G$4:$G$503,71)),TEXT(INDEX('Aides'!$G$4:$G$503,71),"yyyy-mm-dd"),""))=0,"","Last paid nursing work: "&amp;IF(ISNUMBER(INDEX('Aides'!$G$4:$G$503,71)),TEXT(INDEX('Aides'!$G$4:$G$503,71),"yyyy-mm-dd"),"")&amp;". ")&amp;IF(LEN(IF(ISNUMBER(INDEX('Aides'!$H$4:$H$503,71)),TEXT(INDEX('Aides'!$H$4:$H$503,71),"yyyy-mm-dd"),""))=0,"","24-month cut-off: "&amp;IF(ISNUMBER(INDEX('Aides'!$H$4:$H$503,71)),TEXT(INDEX('Aides'!$H$4:$H$503,71),"yyyy-mm-dd"),"")&amp;". ")&amp;IF(LEN(IF(LEN(INDEX('Aides'!$U$4:$U$503,71))=0,"",INDEX('Aides'!$U$4:$U$503,71)))=0,"","Owner: "&amp;IF(LEN(INDEX('Aides'!$U$4:$U$503,71))=0,"",INDEX('Aides'!$U$4:$U$503,71))&amp;". ")&amp;IF(LEN(IF(LEN(INDEX('Aides'!$X$4:$X$503,71))=0,"",INDEX('Aides'!$X$4:$X$503,71)))=0,"",IF(LEN(INDEX('Aides'!$X$4:$X$503,71))=0,"",INDEX('Aides'!$X$4:$X$503,71))))</f>
        <v/>
      </c>
      <c r="I74">
        <f>IF(LEN(INDEX('Aides'!$W$4:$W$503,71))=0,"",INDEX('Aides'!$W$4:$W$503,71))</f>
        <v/>
      </c>
      <c r="J74">
        <f>IF(LEN(INDEX('Aides'!$V$4:$V$503,71))=0,"",INDEX('Aides'!$V$4:$V$503,71))</f>
        <v/>
      </c>
    </row>
    <row r="75">
      <c r="A75">
        <f>IF(AND(LEN('Aides'!A75)&gt;0,ISNUMBER('Aides'!I75)),1,0)</f>
        <v/>
      </c>
      <c r="B75">
        <f>B74+A75</f>
        <v/>
      </c>
      <c r="C75">
        <f>IF(72&gt;$B$1503,"",MATCH(72-0.5,$B$3:$B$1503,1))</f>
        <v/>
      </c>
      <c r="D75">
        <f>"CNA certification ("&amp;IF(LEN(INDEX('Aides'!$C$4:$C$503,72))=0,"",INDEX('Aides'!$C$4:$C$503,72))&amp;") – "&amp;IF(LEN(INDEX('Aides'!$A$4:$A$503,72))=0,"",INDEX('Aides'!$A$4:$A$503,72))</f>
        <v/>
      </c>
      <c r="E75">
        <f>IF(ISNUMBER(INDEX('Aides'!$I$4:$I$503,72)),TEXT(INDEX('Aides'!$I$4:$I$503,72),"yyyy-mm-dd"),"")</f>
        <v/>
      </c>
      <c r="F75">
        <f>"Certification"</f>
        <v/>
      </c>
      <c r="G75">
        <f>"High"</f>
        <v/>
      </c>
      <c r="H75">
        <f>TRIM(IF(LEN(IF(LEN(INDEX('Aides'!$D$4:$D$503,72))=0,"",INDEX('Aides'!$D$4:$D$503,72)))=0,"","Registry no.: "&amp;IF(LEN(INDEX('Aides'!$D$4:$D$503,72))=0,"",INDEX('Aides'!$D$4:$D$503,72))&amp;". ")&amp;IF(LEN(IF(ISNUMBER(INDEX('Aides'!$F$4:$F$503,72)),TEXT(INDEX('Aides'!$F$4:$F$503,72),"yyyy-mm-dd"),""))=0,"","Registry expiry: "&amp;IF(ISNUMBER(INDEX('Aides'!$F$4:$F$503,72)),TEXT(INDEX('Aides'!$F$4:$F$503,72),"yyyy-mm-dd"),"")&amp;". ")&amp;IF(LEN(IF(ISNUMBER(INDEX('Aides'!$G$4:$G$503,72)),TEXT(INDEX('Aides'!$G$4:$G$503,72),"yyyy-mm-dd"),""))=0,"","Last paid nursing work: "&amp;IF(ISNUMBER(INDEX('Aides'!$G$4:$G$503,72)),TEXT(INDEX('Aides'!$G$4:$G$503,72),"yyyy-mm-dd"),"")&amp;". ")&amp;IF(LEN(IF(ISNUMBER(INDEX('Aides'!$H$4:$H$503,72)),TEXT(INDEX('Aides'!$H$4:$H$503,72),"yyyy-mm-dd"),""))=0,"","24-month cut-off: "&amp;IF(ISNUMBER(INDEX('Aides'!$H$4:$H$503,72)),TEXT(INDEX('Aides'!$H$4:$H$503,72),"yyyy-mm-dd"),"")&amp;". ")&amp;IF(LEN(IF(LEN(INDEX('Aides'!$U$4:$U$503,72))=0,"",INDEX('Aides'!$U$4:$U$503,72)))=0,"","Owner: "&amp;IF(LEN(INDEX('Aides'!$U$4:$U$503,72))=0,"",INDEX('Aides'!$U$4:$U$503,72))&amp;". ")&amp;IF(LEN(IF(LEN(INDEX('Aides'!$X$4:$X$503,72))=0,"",INDEX('Aides'!$X$4:$X$503,72)))=0,"",IF(LEN(INDEX('Aides'!$X$4:$X$503,72))=0,"",INDEX('Aides'!$X$4:$X$503,72))))</f>
        <v/>
      </c>
      <c r="I75">
        <f>IF(LEN(INDEX('Aides'!$W$4:$W$503,72))=0,"",INDEX('Aides'!$W$4:$W$503,72))</f>
        <v/>
      </c>
      <c r="J75">
        <f>IF(LEN(INDEX('Aides'!$V$4:$V$503,72))=0,"",INDEX('Aides'!$V$4:$V$503,72))</f>
        <v/>
      </c>
    </row>
    <row r="76">
      <c r="A76">
        <f>IF(AND(LEN('Aides'!A76)&gt;0,ISNUMBER('Aides'!I76)),1,0)</f>
        <v/>
      </c>
      <c r="B76">
        <f>B75+A76</f>
        <v/>
      </c>
      <c r="C76">
        <f>IF(73&gt;$B$1503,"",MATCH(73-0.5,$B$3:$B$1503,1))</f>
        <v/>
      </c>
      <c r="D76">
        <f>"CNA certification ("&amp;IF(LEN(INDEX('Aides'!$C$4:$C$503,73))=0,"",INDEX('Aides'!$C$4:$C$503,73))&amp;") – "&amp;IF(LEN(INDEX('Aides'!$A$4:$A$503,73))=0,"",INDEX('Aides'!$A$4:$A$503,73))</f>
        <v/>
      </c>
      <c r="E76">
        <f>IF(ISNUMBER(INDEX('Aides'!$I$4:$I$503,73)),TEXT(INDEX('Aides'!$I$4:$I$503,73),"yyyy-mm-dd"),"")</f>
        <v/>
      </c>
      <c r="F76">
        <f>"Certification"</f>
        <v/>
      </c>
      <c r="G76">
        <f>"High"</f>
        <v/>
      </c>
      <c r="H76">
        <f>TRIM(IF(LEN(IF(LEN(INDEX('Aides'!$D$4:$D$503,73))=0,"",INDEX('Aides'!$D$4:$D$503,73)))=0,"","Registry no.: "&amp;IF(LEN(INDEX('Aides'!$D$4:$D$503,73))=0,"",INDEX('Aides'!$D$4:$D$503,73))&amp;". ")&amp;IF(LEN(IF(ISNUMBER(INDEX('Aides'!$F$4:$F$503,73)),TEXT(INDEX('Aides'!$F$4:$F$503,73),"yyyy-mm-dd"),""))=0,"","Registry expiry: "&amp;IF(ISNUMBER(INDEX('Aides'!$F$4:$F$503,73)),TEXT(INDEX('Aides'!$F$4:$F$503,73),"yyyy-mm-dd"),"")&amp;". ")&amp;IF(LEN(IF(ISNUMBER(INDEX('Aides'!$G$4:$G$503,73)),TEXT(INDEX('Aides'!$G$4:$G$503,73),"yyyy-mm-dd"),""))=0,"","Last paid nursing work: "&amp;IF(ISNUMBER(INDEX('Aides'!$G$4:$G$503,73)),TEXT(INDEX('Aides'!$G$4:$G$503,73),"yyyy-mm-dd"),"")&amp;". ")&amp;IF(LEN(IF(ISNUMBER(INDEX('Aides'!$H$4:$H$503,73)),TEXT(INDEX('Aides'!$H$4:$H$503,73),"yyyy-mm-dd"),""))=0,"","24-month cut-off: "&amp;IF(ISNUMBER(INDEX('Aides'!$H$4:$H$503,73)),TEXT(INDEX('Aides'!$H$4:$H$503,73),"yyyy-mm-dd"),"")&amp;". ")&amp;IF(LEN(IF(LEN(INDEX('Aides'!$U$4:$U$503,73))=0,"",INDEX('Aides'!$U$4:$U$503,73)))=0,"","Owner: "&amp;IF(LEN(INDEX('Aides'!$U$4:$U$503,73))=0,"",INDEX('Aides'!$U$4:$U$503,73))&amp;". ")&amp;IF(LEN(IF(LEN(INDEX('Aides'!$X$4:$X$503,73))=0,"",INDEX('Aides'!$X$4:$X$503,73)))=0,"",IF(LEN(INDEX('Aides'!$X$4:$X$503,73))=0,"",INDEX('Aides'!$X$4:$X$503,73))))</f>
        <v/>
      </c>
      <c r="I76">
        <f>IF(LEN(INDEX('Aides'!$W$4:$W$503,73))=0,"",INDEX('Aides'!$W$4:$W$503,73))</f>
        <v/>
      </c>
      <c r="J76">
        <f>IF(LEN(INDEX('Aides'!$V$4:$V$503,73))=0,"",INDEX('Aides'!$V$4:$V$503,73))</f>
        <v/>
      </c>
    </row>
    <row r="77">
      <c r="A77">
        <f>IF(AND(LEN('Aides'!A77)&gt;0,ISNUMBER('Aides'!I77)),1,0)</f>
        <v/>
      </c>
      <c r="B77">
        <f>B76+A77</f>
        <v/>
      </c>
      <c r="C77">
        <f>IF(74&gt;$B$1503,"",MATCH(74-0.5,$B$3:$B$1503,1))</f>
        <v/>
      </c>
      <c r="D77">
        <f>"CNA certification ("&amp;IF(LEN(INDEX('Aides'!$C$4:$C$503,74))=0,"",INDEX('Aides'!$C$4:$C$503,74))&amp;") – "&amp;IF(LEN(INDEX('Aides'!$A$4:$A$503,74))=0,"",INDEX('Aides'!$A$4:$A$503,74))</f>
        <v/>
      </c>
      <c r="E77">
        <f>IF(ISNUMBER(INDEX('Aides'!$I$4:$I$503,74)),TEXT(INDEX('Aides'!$I$4:$I$503,74),"yyyy-mm-dd"),"")</f>
        <v/>
      </c>
      <c r="F77">
        <f>"Certification"</f>
        <v/>
      </c>
      <c r="G77">
        <f>"High"</f>
        <v/>
      </c>
      <c r="H77">
        <f>TRIM(IF(LEN(IF(LEN(INDEX('Aides'!$D$4:$D$503,74))=0,"",INDEX('Aides'!$D$4:$D$503,74)))=0,"","Registry no.: "&amp;IF(LEN(INDEX('Aides'!$D$4:$D$503,74))=0,"",INDEX('Aides'!$D$4:$D$503,74))&amp;". ")&amp;IF(LEN(IF(ISNUMBER(INDEX('Aides'!$F$4:$F$503,74)),TEXT(INDEX('Aides'!$F$4:$F$503,74),"yyyy-mm-dd"),""))=0,"","Registry expiry: "&amp;IF(ISNUMBER(INDEX('Aides'!$F$4:$F$503,74)),TEXT(INDEX('Aides'!$F$4:$F$503,74),"yyyy-mm-dd"),"")&amp;". ")&amp;IF(LEN(IF(ISNUMBER(INDEX('Aides'!$G$4:$G$503,74)),TEXT(INDEX('Aides'!$G$4:$G$503,74),"yyyy-mm-dd"),""))=0,"","Last paid nursing work: "&amp;IF(ISNUMBER(INDEX('Aides'!$G$4:$G$503,74)),TEXT(INDEX('Aides'!$G$4:$G$503,74),"yyyy-mm-dd"),"")&amp;". ")&amp;IF(LEN(IF(ISNUMBER(INDEX('Aides'!$H$4:$H$503,74)),TEXT(INDEX('Aides'!$H$4:$H$503,74),"yyyy-mm-dd"),""))=0,"","24-month cut-off: "&amp;IF(ISNUMBER(INDEX('Aides'!$H$4:$H$503,74)),TEXT(INDEX('Aides'!$H$4:$H$503,74),"yyyy-mm-dd"),"")&amp;". ")&amp;IF(LEN(IF(LEN(INDEX('Aides'!$U$4:$U$503,74))=0,"",INDEX('Aides'!$U$4:$U$503,74)))=0,"","Owner: "&amp;IF(LEN(INDEX('Aides'!$U$4:$U$503,74))=0,"",INDEX('Aides'!$U$4:$U$503,74))&amp;". ")&amp;IF(LEN(IF(LEN(INDEX('Aides'!$X$4:$X$503,74))=0,"",INDEX('Aides'!$X$4:$X$503,74)))=0,"",IF(LEN(INDEX('Aides'!$X$4:$X$503,74))=0,"",INDEX('Aides'!$X$4:$X$503,74))))</f>
        <v/>
      </c>
      <c r="I77">
        <f>IF(LEN(INDEX('Aides'!$W$4:$W$503,74))=0,"",INDEX('Aides'!$W$4:$W$503,74))</f>
        <v/>
      </c>
      <c r="J77">
        <f>IF(LEN(INDEX('Aides'!$V$4:$V$503,74))=0,"",INDEX('Aides'!$V$4:$V$503,74))</f>
        <v/>
      </c>
    </row>
    <row r="78">
      <c r="A78">
        <f>IF(AND(LEN('Aides'!A78)&gt;0,ISNUMBER('Aides'!I78)),1,0)</f>
        <v/>
      </c>
      <c r="B78">
        <f>B77+A78</f>
        <v/>
      </c>
      <c r="C78">
        <f>IF(75&gt;$B$1503,"",MATCH(75-0.5,$B$3:$B$1503,1))</f>
        <v/>
      </c>
      <c r="D78">
        <f>"CNA certification ("&amp;IF(LEN(INDEX('Aides'!$C$4:$C$503,75))=0,"",INDEX('Aides'!$C$4:$C$503,75))&amp;") – "&amp;IF(LEN(INDEX('Aides'!$A$4:$A$503,75))=0,"",INDEX('Aides'!$A$4:$A$503,75))</f>
        <v/>
      </c>
      <c r="E78">
        <f>IF(ISNUMBER(INDEX('Aides'!$I$4:$I$503,75)),TEXT(INDEX('Aides'!$I$4:$I$503,75),"yyyy-mm-dd"),"")</f>
        <v/>
      </c>
      <c r="F78">
        <f>"Certification"</f>
        <v/>
      </c>
      <c r="G78">
        <f>"High"</f>
        <v/>
      </c>
      <c r="H78">
        <f>TRIM(IF(LEN(IF(LEN(INDEX('Aides'!$D$4:$D$503,75))=0,"",INDEX('Aides'!$D$4:$D$503,75)))=0,"","Registry no.: "&amp;IF(LEN(INDEX('Aides'!$D$4:$D$503,75))=0,"",INDEX('Aides'!$D$4:$D$503,75))&amp;". ")&amp;IF(LEN(IF(ISNUMBER(INDEX('Aides'!$F$4:$F$503,75)),TEXT(INDEX('Aides'!$F$4:$F$503,75),"yyyy-mm-dd"),""))=0,"","Registry expiry: "&amp;IF(ISNUMBER(INDEX('Aides'!$F$4:$F$503,75)),TEXT(INDEX('Aides'!$F$4:$F$503,75),"yyyy-mm-dd"),"")&amp;". ")&amp;IF(LEN(IF(ISNUMBER(INDEX('Aides'!$G$4:$G$503,75)),TEXT(INDEX('Aides'!$G$4:$G$503,75),"yyyy-mm-dd"),""))=0,"","Last paid nursing work: "&amp;IF(ISNUMBER(INDEX('Aides'!$G$4:$G$503,75)),TEXT(INDEX('Aides'!$G$4:$G$503,75),"yyyy-mm-dd"),"")&amp;". ")&amp;IF(LEN(IF(ISNUMBER(INDEX('Aides'!$H$4:$H$503,75)),TEXT(INDEX('Aides'!$H$4:$H$503,75),"yyyy-mm-dd"),""))=0,"","24-month cut-off: "&amp;IF(ISNUMBER(INDEX('Aides'!$H$4:$H$503,75)),TEXT(INDEX('Aides'!$H$4:$H$503,75),"yyyy-mm-dd"),"")&amp;". ")&amp;IF(LEN(IF(LEN(INDEX('Aides'!$U$4:$U$503,75))=0,"",INDEX('Aides'!$U$4:$U$503,75)))=0,"","Owner: "&amp;IF(LEN(INDEX('Aides'!$U$4:$U$503,75))=0,"",INDEX('Aides'!$U$4:$U$503,75))&amp;". ")&amp;IF(LEN(IF(LEN(INDEX('Aides'!$X$4:$X$503,75))=0,"",INDEX('Aides'!$X$4:$X$503,75)))=0,"",IF(LEN(INDEX('Aides'!$X$4:$X$503,75))=0,"",INDEX('Aides'!$X$4:$X$503,75))))</f>
        <v/>
      </c>
      <c r="I78">
        <f>IF(LEN(INDEX('Aides'!$W$4:$W$503,75))=0,"",INDEX('Aides'!$W$4:$W$503,75))</f>
        <v/>
      </c>
      <c r="J78">
        <f>IF(LEN(INDEX('Aides'!$V$4:$V$503,75))=0,"",INDEX('Aides'!$V$4:$V$503,75))</f>
        <v/>
      </c>
    </row>
    <row r="79">
      <c r="A79">
        <f>IF(AND(LEN('Aides'!A79)&gt;0,ISNUMBER('Aides'!I79)),1,0)</f>
        <v/>
      </c>
      <c r="B79">
        <f>B78+A79</f>
        <v/>
      </c>
      <c r="C79">
        <f>IF(76&gt;$B$1503,"",MATCH(76-0.5,$B$3:$B$1503,1))</f>
        <v/>
      </c>
      <c r="D79">
        <f>"CNA certification ("&amp;IF(LEN(INDEX('Aides'!$C$4:$C$503,76))=0,"",INDEX('Aides'!$C$4:$C$503,76))&amp;") – "&amp;IF(LEN(INDEX('Aides'!$A$4:$A$503,76))=0,"",INDEX('Aides'!$A$4:$A$503,76))</f>
        <v/>
      </c>
      <c r="E79">
        <f>IF(ISNUMBER(INDEX('Aides'!$I$4:$I$503,76)),TEXT(INDEX('Aides'!$I$4:$I$503,76),"yyyy-mm-dd"),"")</f>
        <v/>
      </c>
      <c r="F79">
        <f>"Certification"</f>
        <v/>
      </c>
      <c r="G79">
        <f>"High"</f>
        <v/>
      </c>
      <c r="H79">
        <f>TRIM(IF(LEN(IF(LEN(INDEX('Aides'!$D$4:$D$503,76))=0,"",INDEX('Aides'!$D$4:$D$503,76)))=0,"","Registry no.: "&amp;IF(LEN(INDEX('Aides'!$D$4:$D$503,76))=0,"",INDEX('Aides'!$D$4:$D$503,76))&amp;". ")&amp;IF(LEN(IF(ISNUMBER(INDEX('Aides'!$F$4:$F$503,76)),TEXT(INDEX('Aides'!$F$4:$F$503,76),"yyyy-mm-dd"),""))=0,"","Registry expiry: "&amp;IF(ISNUMBER(INDEX('Aides'!$F$4:$F$503,76)),TEXT(INDEX('Aides'!$F$4:$F$503,76),"yyyy-mm-dd"),"")&amp;". ")&amp;IF(LEN(IF(ISNUMBER(INDEX('Aides'!$G$4:$G$503,76)),TEXT(INDEX('Aides'!$G$4:$G$503,76),"yyyy-mm-dd"),""))=0,"","Last paid nursing work: "&amp;IF(ISNUMBER(INDEX('Aides'!$G$4:$G$503,76)),TEXT(INDEX('Aides'!$G$4:$G$503,76),"yyyy-mm-dd"),"")&amp;". ")&amp;IF(LEN(IF(ISNUMBER(INDEX('Aides'!$H$4:$H$503,76)),TEXT(INDEX('Aides'!$H$4:$H$503,76),"yyyy-mm-dd"),""))=0,"","24-month cut-off: "&amp;IF(ISNUMBER(INDEX('Aides'!$H$4:$H$503,76)),TEXT(INDEX('Aides'!$H$4:$H$503,76),"yyyy-mm-dd"),"")&amp;". ")&amp;IF(LEN(IF(LEN(INDEX('Aides'!$U$4:$U$503,76))=0,"",INDEX('Aides'!$U$4:$U$503,76)))=0,"","Owner: "&amp;IF(LEN(INDEX('Aides'!$U$4:$U$503,76))=0,"",INDEX('Aides'!$U$4:$U$503,76))&amp;". ")&amp;IF(LEN(IF(LEN(INDEX('Aides'!$X$4:$X$503,76))=0,"",INDEX('Aides'!$X$4:$X$503,76)))=0,"",IF(LEN(INDEX('Aides'!$X$4:$X$503,76))=0,"",INDEX('Aides'!$X$4:$X$503,76))))</f>
        <v/>
      </c>
      <c r="I79">
        <f>IF(LEN(INDEX('Aides'!$W$4:$W$503,76))=0,"",INDEX('Aides'!$W$4:$W$503,76))</f>
        <v/>
      </c>
      <c r="J79">
        <f>IF(LEN(INDEX('Aides'!$V$4:$V$503,76))=0,"",INDEX('Aides'!$V$4:$V$503,76))</f>
        <v/>
      </c>
    </row>
    <row r="80">
      <c r="A80">
        <f>IF(AND(LEN('Aides'!A80)&gt;0,ISNUMBER('Aides'!I80)),1,0)</f>
        <v/>
      </c>
      <c r="B80">
        <f>B79+A80</f>
        <v/>
      </c>
      <c r="C80">
        <f>IF(77&gt;$B$1503,"",MATCH(77-0.5,$B$3:$B$1503,1))</f>
        <v/>
      </c>
      <c r="D80">
        <f>"CNA certification ("&amp;IF(LEN(INDEX('Aides'!$C$4:$C$503,77))=0,"",INDEX('Aides'!$C$4:$C$503,77))&amp;") – "&amp;IF(LEN(INDEX('Aides'!$A$4:$A$503,77))=0,"",INDEX('Aides'!$A$4:$A$503,77))</f>
        <v/>
      </c>
      <c r="E80">
        <f>IF(ISNUMBER(INDEX('Aides'!$I$4:$I$503,77)),TEXT(INDEX('Aides'!$I$4:$I$503,77),"yyyy-mm-dd"),"")</f>
        <v/>
      </c>
      <c r="F80">
        <f>"Certification"</f>
        <v/>
      </c>
      <c r="G80">
        <f>"High"</f>
        <v/>
      </c>
      <c r="H80">
        <f>TRIM(IF(LEN(IF(LEN(INDEX('Aides'!$D$4:$D$503,77))=0,"",INDEX('Aides'!$D$4:$D$503,77)))=0,"","Registry no.: "&amp;IF(LEN(INDEX('Aides'!$D$4:$D$503,77))=0,"",INDEX('Aides'!$D$4:$D$503,77))&amp;". ")&amp;IF(LEN(IF(ISNUMBER(INDEX('Aides'!$F$4:$F$503,77)),TEXT(INDEX('Aides'!$F$4:$F$503,77),"yyyy-mm-dd"),""))=0,"","Registry expiry: "&amp;IF(ISNUMBER(INDEX('Aides'!$F$4:$F$503,77)),TEXT(INDEX('Aides'!$F$4:$F$503,77),"yyyy-mm-dd"),"")&amp;". ")&amp;IF(LEN(IF(ISNUMBER(INDEX('Aides'!$G$4:$G$503,77)),TEXT(INDEX('Aides'!$G$4:$G$503,77),"yyyy-mm-dd"),""))=0,"","Last paid nursing work: "&amp;IF(ISNUMBER(INDEX('Aides'!$G$4:$G$503,77)),TEXT(INDEX('Aides'!$G$4:$G$503,77),"yyyy-mm-dd"),"")&amp;". ")&amp;IF(LEN(IF(ISNUMBER(INDEX('Aides'!$H$4:$H$503,77)),TEXT(INDEX('Aides'!$H$4:$H$503,77),"yyyy-mm-dd"),""))=0,"","24-month cut-off: "&amp;IF(ISNUMBER(INDEX('Aides'!$H$4:$H$503,77)),TEXT(INDEX('Aides'!$H$4:$H$503,77),"yyyy-mm-dd"),"")&amp;". ")&amp;IF(LEN(IF(LEN(INDEX('Aides'!$U$4:$U$503,77))=0,"",INDEX('Aides'!$U$4:$U$503,77)))=0,"","Owner: "&amp;IF(LEN(INDEX('Aides'!$U$4:$U$503,77))=0,"",INDEX('Aides'!$U$4:$U$503,77))&amp;". ")&amp;IF(LEN(IF(LEN(INDEX('Aides'!$X$4:$X$503,77))=0,"",INDEX('Aides'!$X$4:$X$503,77)))=0,"",IF(LEN(INDEX('Aides'!$X$4:$X$503,77))=0,"",INDEX('Aides'!$X$4:$X$503,77))))</f>
        <v/>
      </c>
      <c r="I80">
        <f>IF(LEN(INDEX('Aides'!$W$4:$W$503,77))=0,"",INDEX('Aides'!$W$4:$W$503,77))</f>
        <v/>
      </c>
      <c r="J80">
        <f>IF(LEN(INDEX('Aides'!$V$4:$V$503,77))=0,"",INDEX('Aides'!$V$4:$V$503,77))</f>
        <v/>
      </c>
    </row>
    <row r="81">
      <c r="A81">
        <f>IF(AND(LEN('Aides'!A81)&gt;0,ISNUMBER('Aides'!I81)),1,0)</f>
        <v/>
      </c>
      <c r="B81">
        <f>B80+A81</f>
        <v/>
      </c>
      <c r="C81">
        <f>IF(78&gt;$B$1503,"",MATCH(78-0.5,$B$3:$B$1503,1))</f>
        <v/>
      </c>
      <c r="D81">
        <f>"CNA certification ("&amp;IF(LEN(INDEX('Aides'!$C$4:$C$503,78))=0,"",INDEX('Aides'!$C$4:$C$503,78))&amp;") – "&amp;IF(LEN(INDEX('Aides'!$A$4:$A$503,78))=0,"",INDEX('Aides'!$A$4:$A$503,78))</f>
        <v/>
      </c>
      <c r="E81">
        <f>IF(ISNUMBER(INDEX('Aides'!$I$4:$I$503,78)),TEXT(INDEX('Aides'!$I$4:$I$503,78),"yyyy-mm-dd"),"")</f>
        <v/>
      </c>
      <c r="F81">
        <f>"Certification"</f>
        <v/>
      </c>
      <c r="G81">
        <f>"High"</f>
        <v/>
      </c>
      <c r="H81">
        <f>TRIM(IF(LEN(IF(LEN(INDEX('Aides'!$D$4:$D$503,78))=0,"",INDEX('Aides'!$D$4:$D$503,78)))=0,"","Registry no.: "&amp;IF(LEN(INDEX('Aides'!$D$4:$D$503,78))=0,"",INDEX('Aides'!$D$4:$D$503,78))&amp;". ")&amp;IF(LEN(IF(ISNUMBER(INDEX('Aides'!$F$4:$F$503,78)),TEXT(INDEX('Aides'!$F$4:$F$503,78),"yyyy-mm-dd"),""))=0,"","Registry expiry: "&amp;IF(ISNUMBER(INDEX('Aides'!$F$4:$F$503,78)),TEXT(INDEX('Aides'!$F$4:$F$503,78),"yyyy-mm-dd"),"")&amp;". ")&amp;IF(LEN(IF(ISNUMBER(INDEX('Aides'!$G$4:$G$503,78)),TEXT(INDEX('Aides'!$G$4:$G$503,78),"yyyy-mm-dd"),""))=0,"","Last paid nursing work: "&amp;IF(ISNUMBER(INDEX('Aides'!$G$4:$G$503,78)),TEXT(INDEX('Aides'!$G$4:$G$503,78),"yyyy-mm-dd"),"")&amp;". ")&amp;IF(LEN(IF(ISNUMBER(INDEX('Aides'!$H$4:$H$503,78)),TEXT(INDEX('Aides'!$H$4:$H$503,78),"yyyy-mm-dd"),""))=0,"","24-month cut-off: "&amp;IF(ISNUMBER(INDEX('Aides'!$H$4:$H$503,78)),TEXT(INDEX('Aides'!$H$4:$H$503,78),"yyyy-mm-dd"),"")&amp;". ")&amp;IF(LEN(IF(LEN(INDEX('Aides'!$U$4:$U$503,78))=0,"",INDEX('Aides'!$U$4:$U$503,78)))=0,"","Owner: "&amp;IF(LEN(INDEX('Aides'!$U$4:$U$503,78))=0,"",INDEX('Aides'!$U$4:$U$503,78))&amp;". ")&amp;IF(LEN(IF(LEN(INDEX('Aides'!$X$4:$X$503,78))=0,"",INDEX('Aides'!$X$4:$X$503,78)))=0,"",IF(LEN(INDEX('Aides'!$X$4:$X$503,78))=0,"",INDEX('Aides'!$X$4:$X$503,78))))</f>
        <v/>
      </c>
      <c r="I81">
        <f>IF(LEN(INDEX('Aides'!$W$4:$W$503,78))=0,"",INDEX('Aides'!$W$4:$W$503,78))</f>
        <v/>
      </c>
      <c r="J81">
        <f>IF(LEN(INDEX('Aides'!$V$4:$V$503,78))=0,"",INDEX('Aides'!$V$4:$V$503,78))</f>
        <v/>
      </c>
    </row>
    <row r="82">
      <c r="A82">
        <f>IF(AND(LEN('Aides'!A82)&gt;0,ISNUMBER('Aides'!I82)),1,0)</f>
        <v/>
      </c>
      <c r="B82">
        <f>B81+A82</f>
        <v/>
      </c>
      <c r="C82">
        <f>IF(79&gt;$B$1503,"",MATCH(79-0.5,$B$3:$B$1503,1))</f>
        <v/>
      </c>
      <c r="D82">
        <f>"CNA certification ("&amp;IF(LEN(INDEX('Aides'!$C$4:$C$503,79))=0,"",INDEX('Aides'!$C$4:$C$503,79))&amp;") – "&amp;IF(LEN(INDEX('Aides'!$A$4:$A$503,79))=0,"",INDEX('Aides'!$A$4:$A$503,79))</f>
        <v/>
      </c>
      <c r="E82">
        <f>IF(ISNUMBER(INDEX('Aides'!$I$4:$I$503,79)),TEXT(INDEX('Aides'!$I$4:$I$503,79),"yyyy-mm-dd"),"")</f>
        <v/>
      </c>
      <c r="F82">
        <f>"Certification"</f>
        <v/>
      </c>
      <c r="G82">
        <f>"High"</f>
        <v/>
      </c>
      <c r="H82">
        <f>TRIM(IF(LEN(IF(LEN(INDEX('Aides'!$D$4:$D$503,79))=0,"",INDEX('Aides'!$D$4:$D$503,79)))=0,"","Registry no.: "&amp;IF(LEN(INDEX('Aides'!$D$4:$D$503,79))=0,"",INDEX('Aides'!$D$4:$D$503,79))&amp;". ")&amp;IF(LEN(IF(ISNUMBER(INDEX('Aides'!$F$4:$F$503,79)),TEXT(INDEX('Aides'!$F$4:$F$503,79),"yyyy-mm-dd"),""))=0,"","Registry expiry: "&amp;IF(ISNUMBER(INDEX('Aides'!$F$4:$F$503,79)),TEXT(INDEX('Aides'!$F$4:$F$503,79),"yyyy-mm-dd"),"")&amp;". ")&amp;IF(LEN(IF(ISNUMBER(INDEX('Aides'!$G$4:$G$503,79)),TEXT(INDEX('Aides'!$G$4:$G$503,79),"yyyy-mm-dd"),""))=0,"","Last paid nursing work: "&amp;IF(ISNUMBER(INDEX('Aides'!$G$4:$G$503,79)),TEXT(INDEX('Aides'!$G$4:$G$503,79),"yyyy-mm-dd"),"")&amp;". ")&amp;IF(LEN(IF(ISNUMBER(INDEX('Aides'!$H$4:$H$503,79)),TEXT(INDEX('Aides'!$H$4:$H$503,79),"yyyy-mm-dd"),""))=0,"","24-month cut-off: "&amp;IF(ISNUMBER(INDEX('Aides'!$H$4:$H$503,79)),TEXT(INDEX('Aides'!$H$4:$H$503,79),"yyyy-mm-dd"),"")&amp;". ")&amp;IF(LEN(IF(LEN(INDEX('Aides'!$U$4:$U$503,79))=0,"",INDEX('Aides'!$U$4:$U$503,79)))=0,"","Owner: "&amp;IF(LEN(INDEX('Aides'!$U$4:$U$503,79))=0,"",INDEX('Aides'!$U$4:$U$503,79))&amp;". ")&amp;IF(LEN(IF(LEN(INDEX('Aides'!$X$4:$X$503,79))=0,"",INDEX('Aides'!$X$4:$X$503,79)))=0,"",IF(LEN(INDEX('Aides'!$X$4:$X$503,79))=0,"",INDEX('Aides'!$X$4:$X$503,79))))</f>
        <v/>
      </c>
      <c r="I82">
        <f>IF(LEN(INDEX('Aides'!$W$4:$W$503,79))=0,"",INDEX('Aides'!$W$4:$W$503,79))</f>
        <v/>
      </c>
      <c r="J82">
        <f>IF(LEN(INDEX('Aides'!$V$4:$V$503,79))=0,"",INDEX('Aides'!$V$4:$V$503,79))</f>
        <v/>
      </c>
    </row>
    <row r="83">
      <c r="A83">
        <f>IF(AND(LEN('Aides'!A83)&gt;0,ISNUMBER('Aides'!I83)),1,0)</f>
        <v/>
      </c>
      <c r="B83">
        <f>B82+A83</f>
        <v/>
      </c>
      <c r="C83">
        <f>IF(80&gt;$B$1503,"",MATCH(80-0.5,$B$3:$B$1503,1))</f>
        <v/>
      </c>
      <c r="D83">
        <f>"CNA certification ("&amp;IF(LEN(INDEX('Aides'!$C$4:$C$503,80))=0,"",INDEX('Aides'!$C$4:$C$503,80))&amp;") – "&amp;IF(LEN(INDEX('Aides'!$A$4:$A$503,80))=0,"",INDEX('Aides'!$A$4:$A$503,80))</f>
        <v/>
      </c>
      <c r="E83">
        <f>IF(ISNUMBER(INDEX('Aides'!$I$4:$I$503,80)),TEXT(INDEX('Aides'!$I$4:$I$503,80),"yyyy-mm-dd"),"")</f>
        <v/>
      </c>
      <c r="F83">
        <f>"Certification"</f>
        <v/>
      </c>
      <c r="G83">
        <f>"High"</f>
        <v/>
      </c>
      <c r="H83">
        <f>TRIM(IF(LEN(IF(LEN(INDEX('Aides'!$D$4:$D$503,80))=0,"",INDEX('Aides'!$D$4:$D$503,80)))=0,"","Registry no.: "&amp;IF(LEN(INDEX('Aides'!$D$4:$D$503,80))=0,"",INDEX('Aides'!$D$4:$D$503,80))&amp;". ")&amp;IF(LEN(IF(ISNUMBER(INDEX('Aides'!$F$4:$F$503,80)),TEXT(INDEX('Aides'!$F$4:$F$503,80),"yyyy-mm-dd"),""))=0,"","Registry expiry: "&amp;IF(ISNUMBER(INDEX('Aides'!$F$4:$F$503,80)),TEXT(INDEX('Aides'!$F$4:$F$503,80),"yyyy-mm-dd"),"")&amp;". ")&amp;IF(LEN(IF(ISNUMBER(INDEX('Aides'!$G$4:$G$503,80)),TEXT(INDEX('Aides'!$G$4:$G$503,80),"yyyy-mm-dd"),""))=0,"","Last paid nursing work: "&amp;IF(ISNUMBER(INDEX('Aides'!$G$4:$G$503,80)),TEXT(INDEX('Aides'!$G$4:$G$503,80),"yyyy-mm-dd"),"")&amp;". ")&amp;IF(LEN(IF(ISNUMBER(INDEX('Aides'!$H$4:$H$503,80)),TEXT(INDEX('Aides'!$H$4:$H$503,80),"yyyy-mm-dd"),""))=0,"","24-month cut-off: "&amp;IF(ISNUMBER(INDEX('Aides'!$H$4:$H$503,80)),TEXT(INDEX('Aides'!$H$4:$H$503,80),"yyyy-mm-dd"),"")&amp;". ")&amp;IF(LEN(IF(LEN(INDEX('Aides'!$U$4:$U$503,80))=0,"",INDEX('Aides'!$U$4:$U$503,80)))=0,"","Owner: "&amp;IF(LEN(INDEX('Aides'!$U$4:$U$503,80))=0,"",INDEX('Aides'!$U$4:$U$503,80))&amp;". ")&amp;IF(LEN(IF(LEN(INDEX('Aides'!$X$4:$X$503,80))=0,"",INDEX('Aides'!$X$4:$X$503,80)))=0,"",IF(LEN(INDEX('Aides'!$X$4:$X$503,80))=0,"",INDEX('Aides'!$X$4:$X$503,80))))</f>
        <v/>
      </c>
      <c r="I83">
        <f>IF(LEN(INDEX('Aides'!$W$4:$W$503,80))=0,"",INDEX('Aides'!$W$4:$W$503,80))</f>
        <v/>
      </c>
      <c r="J83">
        <f>IF(LEN(INDEX('Aides'!$V$4:$V$503,80))=0,"",INDEX('Aides'!$V$4:$V$503,80))</f>
        <v/>
      </c>
    </row>
    <row r="84">
      <c r="A84">
        <f>IF(AND(LEN('Aides'!A84)&gt;0,ISNUMBER('Aides'!I84)),1,0)</f>
        <v/>
      </c>
      <c r="B84">
        <f>B83+A84</f>
        <v/>
      </c>
      <c r="C84">
        <f>IF(81&gt;$B$1503,"",MATCH(81-0.5,$B$3:$B$1503,1))</f>
        <v/>
      </c>
      <c r="D84">
        <f>"CNA certification ("&amp;IF(LEN(INDEX('Aides'!$C$4:$C$503,81))=0,"",INDEX('Aides'!$C$4:$C$503,81))&amp;") – "&amp;IF(LEN(INDEX('Aides'!$A$4:$A$503,81))=0,"",INDEX('Aides'!$A$4:$A$503,81))</f>
        <v/>
      </c>
      <c r="E84">
        <f>IF(ISNUMBER(INDEX('Aides'!$I$4:$I$503,81)),TEXT(INDEX('Aides'!$I$4:$I$503,81),"yyyy-mm-dd"),"")</f>
        <v/>
      </c>
      <c r="F84">
        <f>"Certification"</f>
        <v/>
      </c>
      <c r="G84">
        <f>"High"</f>
        <v/>
      </c>
      <c r="H84">
        <f>TRIM(IF(LEN(IF(LEN(INDEX('Aides'!$D$4:$D$503,81))=0,"",INDEX('Aides'!$D$4:$D$503,81)))=0,"","Registry no.: "&amp;IF(LEN(INDEX('Aides'!$D$4:$D$503,81))=0,"",INDEX('Aides'!$D$4:$D$503,81))&amp;". ")&amp;IF(LEN(IF(ISNUMBER(INDEX('Aides'!$F$4:$F$503,81)),TEXT(INDEX('Aides'!$F$4:$F$503,81),"yyyy-mm-dd"),""))=0,"","Registry expiry: "&amp;IF(ISNUMBER(INDEX('Aides'!$F$4:$F$503,81)),TEXT(INDEX('Aides'!$F$4:$F$503,81),"yyyy-mm-dd"),"")&amp;". ")&amp;IF(LEN(IF(ISNUMBER(INDEX('Aides'!$G$4:$G$503,81)),TEXT(INDEX('Aides'!$G$4:$G$503,81),"yyyy-mm-dd"),""))=0,"","Last paid nursing work: "&amp;IF(ISNUMBER(INDEX('Aides'!$G$4:$G$503,81)),TEXT(INDEX('Aides'!$G$4:$G$503,81),"yyyy-mm-dd"),"")&amp;". ")&amp;IF(LEN(IF(ISNUMBER(INDEX('Aides'!$H$4:$H$503,81)),TEXT(INDEX('Aides'!$H$4:$H$503,81),"yyyy-mm-dd"),""))=0,"","24-month cut-off: "&amp;IF(ISNUMBER(INDEX('Aides'!$H$4:$H$503,81)),TEXT(INDEX('Aides'!$H$4:$H$503,81),"yyyy-mm-dd"),"")&amp;". ")&amp;IF(LEN(IF(LEN(INDEX('Aides'!$U$4:$U$503,81))=0,"",INDEX('Aides'!$U$4:$U$503,81)))=0,"","Owner: "&amp;IF(LEN(INDEX('Aides'!$U$4:$U$503,81))=0,"",INDEX('Aides'!$U$4:$U$503,81))&amp;". ")&amp;IF(LEN(IF(LEN(INDEX('Aides'!$X$4:$X$503,81))=0,"",INDEX('Aides'!$X$4:$X$503,81)))=0,"",IF(LEN(INDEX('Aides'!$X$4:$X$503,81))=0,"",INDEX('Aides'!$X$4:$X$503,81))))</f>
        <v/>
      </c>
      <c r="I84">
        <f>IF(LEN(INDEX('Aides'!$W$4:$W$503,81))=0,"",INDEX('Aides'!$W$4:$W$503,81))</f>
        <v/>
      </c>
      <c r="J84">
        <f>IF(LEN(INDEX('Aides'!$V$4:$V$503,81))=0,"",INDEX('Aides'!$V$4:$V$503,81))</f>
        <v/>
      </c>
    </row>
    <row r="85">
      <c r="A85">
        <f>IF(AND(LEN('Aides'!A85)&gt;0,ISNUMBER('Aides'!I85)),1,0)</f>
        <v/>
      </c>
      <c r="B85">
        <f>B84+A85</f>
        <v/>
      </c>
      <c r="C85">
        <f>IF(82&gt;$B$1503,"",MATCH(82-0.5,$B$3:$B$1503,1))</f>
        <v/>
      </c>
      <c r="D85">
        <f>"CNA certification ("&amp;IF(LEN(INDEX('Aides'!$C$4:$C$503,82))=0,"",INDEX('Aides'!$C$4:$C$503,82))&amp;") – "&amp;IF(LEN(INDEX('Aides'!$A$4:$A$503,82))=0,"",INDEX('Aides'!$A$4:$A$503,82))</f>
        <v/>
      </c>
      <c r="E85">
        <f>IF(ISNUMBER(INDEX('Aides'!$I$4:$I$503,82)),TEXT(INDEX('Aides'!$I$4:$I$503,82),"yyyy-mm-dd"),"")</f>
        <v/>
      </c>
      <c r="F85">
        <f>"Certification"</f>
        <v/>
      </c>
      <c r="G85">
        <f>"High"</f>
        <v/>
      </c>
      <c r="H85">
        <f>TRIM(IF(LEN(IF(LEN(INDEX('Aides'!$D$4:$D$503,82))=0,"",INDEX('Aides'!$D$4:$D$503,82)))=0,"","Registry no.: "&amp;IF(LEN(INDEX('Aides'!$D$4:$D$503,82))=0,"",INDEX('Aides'!$D$4:$D$503,82))&amp;". ")&amp;IF(LEN(IF(ISNUMBER(INDEX('Aides'!$F$4:$F$503,82)),TEXT(INDEX('Aides'!$F$4:$F$503,82),"yyyy-mm-dd"),""))=0,"","Registry expiry: "&amp;IF(ISNUMBER(INDEX('Aides'!$F$4:$F$503,82)),TEXT(INDEX('Aides'!$F$4:$F$503,82),"yyyy-mm-dd"),"")&amp;". ")&amp;IF(LEN(IF(ISNUMBER(INDEX('Aides'!$G$4:$G$503,82)),TEXT(INDEX('Aides'!$G$4:$G$503,82),"yyyy-mm-dd"),""))=0,"","Last paid nursing work: "&amp;IF(ISNUMBER(INDEX('Aides'!$G$4:$G$503,82)),TEXT(INDEX('Aides'!$G$4:$G$503,82),"yyyy-mm-dd"),"")&amp;". ")&amp;IF(LEN(IF(ISNUMBER(INDEX('Aides'!$H$4:$H$503,82)),TEXT(INDEX('Aides'!$H$4:$H$503,82),"yyyy-mm-dd"),""))=0,"","24-month cut-off: "&amp;IF(ISNUMBER(INDEX('Aides'!$H$4:$H$503,82)),TEXT(INDEX('Aides'!$H$4:$H$503,82),"yyyy-mm-dd"),"")&amp;". ")&amp;IF(LEN(IF(LEN(INDEX('Aides'!$U$4:$U$503,82))=0,"",INDEX('Aides'!$U$4:$U$503,82)))=0,"","Owner: "&amp;IF(LEN(INDEX('Aides'!$U$4:$U$503,82))=0,"",INDEX('Aides'!$U$4:$U$503,82))&amp;". ")&amp;IF(LEN(IF(LEN(INDEX('Aides'!$X$4:$X$503,82))=0,"",INDEX('Aides'!$X$4:$X$503,82)))=0,"",IF(LEN(INDEX('Aides'!$X$4:$X$503,82))=0,"",INDEX('Aides'!$X$4:$X$503,82))))</f>
        <v/>
      </c>
      <c r="I85">
        <f>IF(LEN(INDEX('Aides'!$W$4:$W$503,82))=0,"",INDEX('Aides'!$W$4:$W$503,82))</f>
        <v/>
      </c>
      <c r="J85">
        <f>IF(LEN(INDEX('Aides'!$V$4:$V$503,82))=0,"",INDEX('Aides'!$V$4:$V$503,82))</f>
        <v/>
      </c>
    </row>
    <row r="86">
      <c r="A86">
        <f>IF(AND(LEN('Aides'!A86)&gt;0,ISNUMBER('Aides'!I86)),1,0)</f>
        <v/>
      </c>
      <c r="B86">
        <f>B85+A86</f>
        <v/>
      </c>
      <c r="C86">
        <f>IF(83&gt;$B$1503,"",MATCH(83-0.5,$B$3:$B$1503,1))</f>
        <v/>
      </c>
      <c r="D86">
        <f>"CNA certification ("&amp;IF(LEN(INDEX('Aides'!$C$4:$C$503,83))=0,"",INDEX('Aides'!$C$4:$C$503,83))&amp;") – "&amp;IF(LEN(INDEX('Aides'!$A$4:$A$503,83))=0,"",INDEX('Aides'!$A$4:$A$503,83))</f>
        <v/>
      </c>
      <c r="E86">
        <f>IF(ISNUMBER(INDEX('Aides'!$I$4:$I$503,83)),TEXT(INDEX('Aides'!$I$4:$I$503,83),"yyyy-mm-dd"),"")</f>
        <v/>
      </c>
      <c r="F86">
        <f>"Certification"</f>
        <v/>
      </c>
      <c r="G86">
        <f>"High"</f>
        <v/>
      </c>
      <c r="H86">
        <f>TRIM(IF(LEN(IF(LEN(INDEX('Aides'!$D$4:$D$503,83))=0,"",INDEX('Aides'!$D$4:$D$503,83)))=0,"","Registry no.: "&amp;IF(LEN(INDEX('Aides'!$D$4:$D$503,83))=0,"",INDEX('Aides'!$D$4:$D$503,83))&amp;". ")&amp;IF(LEN(IF(ISNUMBER(INDEX('Aides'!$F$4:$F$503,83)),TEXT(INDEX('Aides'!$F$4:$F$503,83),"yyyy-mm-dd"),""))=0,"","Registry expiry: "&amp;IF(ISNUMBER(INDEX('Aides'!$F$4:$F$503,83)),TEXT(INDEX('Aides'!$F$4:$F$503,83),"yyyy-mm-dd"),"")&amp;". ")&amp;IF(LEN(IF(ISNUMBER(INDEX('Aides'!$G$4:$G$503,83)),TEXT(INDEX('Aides'!$G$4:$G$503,83),"yyyy-mm-dd"),""))=0,"","Last paid nursing work: "&amp;IF(ISNUMBER(INDEX('Aides'!$G$4:$G$503,83)),TEXT(INDEX('Aides'!$G$4:$G$503,83),"yyyy-mm-dd"),"")&amp;". ")&amp;IF(LEN(IF(ISNUMBER(INDEX('Aides'!$H$4:$H$503,83)),TEXT(INDEX('Aides'!$H$4:$H$503,83),"yyyy-mm-dd"),""))=0,"","24-month cut-off: "&amp;IF(ISNUMBER(INDEX('Aides'!$H$4:$H$503,83)),TEXT(INDEX('Aides'!$H$4:$H$503,83),"yyyy-mm-dd"),"")&amp;". ")&amp;IF(LEN(IF(LEN(INDEX('Aides'!$U$4:$U$503,83))=0,"",INDEX('Aides'!$U$4:$U$503,83)))=0,"","Owner: "&amp;IF(LEN(INDEX('Aides'!$U$4:$U$503,83))=0,"",INDEX('Aides'!$U$4:$U$503,83))&amp;". ")&amp;IF(LEN(IF(LEN(INDEX('Aides'!$X$4:$X$503,83))=0,"",INDEX('Aides'!$X$4:$X$503,83)))=0,"",IF(LEN(INDEX('Aides'!$X$4:$X$503,83))=0,"",INDEX('Aides'!$X$4:$X$503,83))))</f>
        <v/>
      </c>
      <c r="I86">
        <f>IF(LEN(INDEX('Aides'!$W$4:$W$503,83))=0,"",INDEX('Aides'!$W$4:$W$503,83))</f>
        <v/>
      </c>
      <c r="J86">
        <f>IF(LEN(INDEX('Aides'!$V$4:$V$503,83))=0,"",INDEX('Aides'!$V$4:$V$503,83))</f>
        <v/>
      </c>
    </row>
    <row r="87">
      <c r="A87">
        <f>IF(AND(LEN('Aides'!A87)&gt;0,ISNUMBER('Aides'!I87)),1,0)</f>
        <v/>
      </c>
      <c r="B87">
        <f>B86+A87</f>
        <v/>
      </c>
      <c r="C87">
        <f>IF(84&gt;$B$1503,"",MATCH(84-0.5,$B$3:$B$1503,1))</f>
        <v/>
      </c>
      <c r="D87">
        <f>"CNA certification ("&amp;IF(LEN(INDEX('Aides'!$C$4:$C$503,84))=0,"",INDEX('Aides'!$C$4:$C$503,84))&amp;") – "&amp;IF(LEN(INDEX('Aides'!$A$4:$A$503,84))=0,"",INDEX('Aides'!$A$4:$A$503,84))</f>
        <v/>
      </c>
      <c r="E87">
        <f>IF(ISNUMBER(INDEX('Aides'!$I$4:$I$503,84)),TEXT(INDEX('Aides'!$I$4:$I$503,84),"yyyy-mm-dd"),"")</f>
        <v/>
      </c>
      <c r="F87">
        <f>"Certification"</f>
        <v/>
      </c>
      <c r="G87">
        <f>"High"</f>
        <v/>
      </c>
      <c r="H87">
        <f>TRIM(IF(LEN(IF(LEN(INDEX('Aides'!$D$4:$D$503,84))=0,"",INDEX('Aides'!$D$4:$D$503,84)))=0,"","Registry no.: "&amp;IF(LEN(INDEX('Aides'!$D$4:$D$503,84))=0,"",INDEX('Aides'!$D$4:$D$503,84))&amp;". ")&amp;IF(LEN(IF(ISNUMBER(INDEX('Aides'!$F$4:$F$503,84)),TEXT(INDEX('Aides'!$F$4:$F$503,84),"yyyy-mm-dd"),""))=0,"","Registry expiry: "&amp;IF(ISNUMBER(INDEX('Aides'!$F$4:$F$503,84)),TEXT(INDEX('Aides'!$F$4:$F$503,84),"yyyy-mm-dd"),"")&amp;". ")&amp;IF(LEN(IF(ISNUMBER(INDEX('Aides'!$G$4:$G$503,84)),TEXT(INDEX('Aides'!$G$4:$G$503,84),"yyyy-mm-dd"),""))=0,"","Last paid nursing work: "&amp;IF(ISNUMBER(INDEX('Aides'!$G$4:$G$503,84)),TEXT(INDEX('Aides'!$G$4:$G$503,84),"yyyy-mm-dd"),"")&amp;". ")&amp;IF(LEN(IF(ISNUMBER(INDEX('Aides'!$H$4:$H$503,84)),TEXT(INDEX('Aides'!$H$4:$H$503,84),"yyyy-mm-dd"),""))=0,"","24-month cut-off: "&amp;IF(ISNUMBER(INDEX('Aides'!$H$4:$H$503,84)),TEXT(INDEX('Aides'!$H$4:$H$503,84),"yyyy-mm-dd"),"")&amp;". ")&amp;IF(LEN(IF(LEN(INDEX('Aides'!$U$4:$U$503,84))=0,"",INDEX('Aides'!$U$4:$U$503,84)))=0,"","Owner: "&amp;IF(LEN(INDEX('Aides'!$U$4:$U$503,84))=0,"",INDEX('Aides'!$U$4:$U$503,84))&amp;". ")&amp;IF(LEN(IF(LEN(INDEX('Aides'!$X$4:$X$503,84))=0,"",INDEX('Aides'!$X$4:$X$503,84)))=0,"",IF(LEN(INDEX('Aides'!$X$4:$X$503,84))=0,"",INDEX('Aides'!$X$4:$X$503,84))))</f>
        <v/>
      </c>
      <c r="I87">
        <f>IF(LEN(INDEX('Aides'!$W$4:$W$503,84))=0,"",INDEX('Aides'!$W$4:$W$503,84))</f>
        <v/>
      </c>
      <c r="J87">
        <f>IF(LEN(INDEX('Aides'!$V$4:$V$503,84))=0,"",INDEX('Aides'!$V$4:$V$503,84))</f>
        <v/>
      </c>
    </row>
    <row r="88">
      <c r="A88">
        <f>IF(AND(LEN('Aides'!A88)&gt;0,ISNUMBER('Aides'!I88)),1,0)</f>
        <v/>
      </c>
      <c r="B88">
        <f>B87+A88</f>
        <v/>
      </c>
      <c r="C88">
        <f>IF(85&gt;$B$1503,"",MATCH(85-0.5,$B$3:$B$1503,1))</f>
        <v/>
      </c>
      <c r="D88">
        <f>"CNA certification ("&amp;IF(LEN(INDEX('Aides'!$C$4:$C$503,85))=0,"",INDEX('Aides'!$C$4:$C$503,85))&amp;") – "&amp;IF(LEN(INDEX('Aides'!$A$4:$A$503,85))=0,"",INDEX('Aides'!$A$4:$A$503,85))</f>
        <v/>
      </c>
      <c r="E88">
        <f>IF(ISNUMBER(INDEX('Aides'!$I$4:$I$503,85)),TEXT(INDEX('Aides'!$I$4:$I$503,85),"yyyy-mm-dd"),"")</f>
        <v/>
      </c>
      <c r="F88">
        <f>"Certification"</f>
        <v/>
      </c>
      <c r="G88">
        <f>"High"</f>
        <v/>
      </c>
      <c r="H88">
        <f>TRIM(IF(LEN(IF(LEN(INDEX('Aides'!$D$4:$D$503,85))=0,"",INDEX('Aides'!$D$4:$D$503,85)))=0,"","Registry no.: "&amp;IF(LEN(INDEX('Aides'!$D$4:$D$503,85))=0,"",INDEX('Aides'!$D$4:$D$503,85))&amp;". ")&amp;IF(LEN(IF(ISNUMBER(INDEX('Aides'!$F$4:$F$503,85)),TEXT(INDEX('Aides'!$F$4:$F$503,85),"yyyy-mm-dd"),""))=0,"","Registry expiry: "&amp;IF(ISNUMBER(INDEX('Aides'!$F$4:$F$503,85)),TEXT(INDEX('Aides'!$F$4:$F$503,85),"yyyy-mm-dd"),"")&amp;". ")&amp;IF(LEN(IF(ISNUMBER(INDEX('Aides'!$G$4:$G$503,85)),TEXT(INDEX('Aides'!$G$4:$G$503,85),"yyyy-mm-dd"),""))=0,"","Last paid nursing work: "&amp;IF(ISNUMBER(INDEX('Aides'!$G$4:$G$503,85)),TEXT(INDEX('Aides'!$G$4:$G$503,85),"yyyy-mm-dd"),"")&amp;". ")&amp;IF(LEN(IF(ISNUMBER(INDEX('Aides'!$H$4:$H$503,85)),TEXT(INDEX('Aides'!$H$4:$H$503,85),"yyyy-mm-dd"),""))=0,"","24-month cut-off: "&amp;IF(ISNUMBER(INDEX('Aides'!$H$4:$H$503,85)),TEXT(INDEX('Aides'!$H$4:$H$503,85),"yyyy-mm-dd"),"")&amp;". ")&amp;IF(LEN(IF(LEN(INDEX('Aides'!$U$4:$U$503,85))=0,"",INDEX('Aides'!$U$4:$U$503,85)))=0,"","Owner: "&amp;IF(LEN(INDEX('Aides'!$U$4:$U$503,85))=0,"",INDEX('Aides'!$U$4:$U$503,85))&amp;". ")&amp;IF(LEN(IF(LEN(INDEX('Aides'!$X$4:$X$503,85))=0,"",INDEX('Aides'!$X$4:$X$503,85)))=0,"",IF(LEN(INDEX('Aides'!$X$4:$X$503,85))=0,"",INDEX('Aides'!$X$4:$X$503,85))))</f>
        <v/>
      </c>
      <c r="I88">
        <f>IF(LEN(INDEX('Aides'!$W$4:$W$503,85))=0,"",INDEX('Aides'!$W$4:$W$503,85))</f>
        <v/>
      </c>
      <c r="J88">
        <f>IF(LEN(INDEX('Aides'!$V$4:$V$503,85))=0,"",INDEX('Aides'!$V$4:$V$503,85))</f>
        <v/>
      </c>
    </row>
    <row r="89">
      <c r="A89">
        <f>IF(AND(LEN('Aides'!A89)&gt;0,ISNUMBER('Aides'!I89)),1,0)</f>
        <v/>
      </c>
      <c r="B89">
        <f>B88+A89</f>
        <v/>
      </c>
      <c r="C89">
        <f>IF(86&gt;$B$1503,"",MATCH(86-0.5,$B$3:$B$1503,1))</f>
        <v/>
      </c>
      <c r="D89">
        <f>"CNA certification ("&amp;IF(LEN(INDEX('Aides'!$C$4:$C$503,86))=0,"",INDEX('Aides'!$C$4:$C$503,86))&amp;") – "&amp;IF(LEN(INDEX('Aides'!$A$4:$A$503,86))=0,"",INDEX('Aides'!$A$4:$A$503,86))</f>
        <v/>
      </c>
      <c r="E89">
        <f>IF(ISNUMBER(INDEX('Aides'!$I$4:$I$503,86)),TEXT(INDEX('Aides'!$I$4:$I$503,86),"yyyy-mm-dd"),"")</f>
        <v/>
      </c>
      <c r="F89">
        <f>"Certification"</f>
        <v/>
      </c>
      <c r="G89">
        <f>"High"</f>
        <v/>
      </c>
      <c r="H89">
        <f>TRIM(IF(LEN(IF(LEN(INDEX('Aides'!$D$4:$D$503,86))=0,"",INDEX('Aides'!$D$4:$D$503,86)))=0,"","Registry no.: "&amp;IF(LEN(INDEX('Aides'!$D$4:$D$503,86))=0,"",INDEX('Aides'!$D$4:$D$503,86))&amp;". ")&amp;IF(LEN(IF(ISNUMBER(INDEX('Aides'!$F$4:$F$503,86)),TEXT(INDEX('Aides'!$F$4:$F$503,86),"yyyy-mm-dd"),""))=0,"","Registry expiry: "&amp;IF(ISNUMBER(INDEX('Aides'!$F$4:$F$503,86)),TEXT(INDEX('Aides'!$F$4:$F$503,86),"yyyy-mm-dd"),"")&amp;". ")&amp;IF(LEN(IF(ISNUMBER(INDEX('Aides'!$G$4:$G$503,86)),TEXT(INDEX('Aides'!$G$4:$G$503,86),"yyyy-mm-dd"),""))=0,"","Last paid nursing work: "&amp;IF(ISNUMBER(INDEX('Aides'!$G$4:$G$503,86)),TEXT(INDEX('Aides'!$G$4:$G$503,86),"yyyy-mm-dd"),"")&amp;". ")&amp;IF(LEN(IF(ISNUMBER(INDEX('Aides'!$H$4:$H$503,86)),TEXT(INDEX('Aides'!$H$4:$H$503,86),"yyyy-mm-dd"),""))=0,"","24-month cut-off: "&amp;IF(ISNUMBER(INDEX('Aides'!$H$4:$H$503,86)),TEXT(INDEX('Aides'!$H$4:$H$503,86),"yyyy-mm-dd"),"")&amp;". ")&amp;IF(LEN(IF(LEN(INDEX('Aides'!$U$4:$U$503,86))=0,"",INDEX('Aides'!$U$4:$U$503,86)))=0,"","Owner: "&amp;IF(LEN(INDEX('Aides'!$U$4:$U$503,86))=0,"",INDEX('Aides'!$U$4:$U$503,86))&amp;". ")&amp;IF(LEN(IF(LEN(INDEX('Aides'!$X$4:$X$503,86))=0,"",INDEX('Aides'!$X$4:$X$503,86)))=0,"",IF(LEN(INDEX('Aides'!$X$4:$X$503,86))=0,"",INDEX('Aides'!$X$4:$X$503,86))))</f>
        <v/>
      </c>
      <c r="I89">
        <f>IF(LEN(INDEX('Aides'!$W$4:$W$503,86))=0,"",INDEX('Aides'!$W$4:$W$503,86))</f>
        <v/>
      </c>
      <c r="J89">
        <f>IF(LEN(INDEX('Aides'!$V$4:$V$503,86))=0,"",INDEX('Aides'!$V$4:$V$503,86))</f>
        <v/>
      </c>
    </row>
    <row r="90">
      <c r="A90">
        <f>IF(AND(LEN('Aides'!A90)&gt;0,ISNUMBER('Aides'!I90)),1,0)</f>
        <v/>
      </c>
      <c r="B90">
        <f>B89+A90</f>
        <v/>
      </c>
      <c r="C90">
        <f>IF(87&gt;$B$1503,"",MATCH(87-0.5,$B$3:$B$1503,1))</f>
        <v/>
      </c>
      <c r="D90">
        <f>"CNA certification ("&amp;IF(LEN(INDEX('Aides'!$C$4:$C$503,87))=0,"",INDEX('Aides'!$C$4:$C$503,87))&amp;") – "&amp;IF(LEN(INDEX('Aides'!$A$4:$A$503,87))=0,"",INDEX('Aides'!$A$4:$A$503,87))</f>
        <v/>
      </c>
      <c r="E90">
        <f>IF(ISNUMBER(INDEX('Aides'!$I$4:$I$503,87)),TEXT(INDEX('Aides'!$I$4:$I$503,87),"yyyy-mm-dd"),"")</f>
        <v/>
      </c>
      <c r="F90">
        <f>"Certification"</f>
        <v/>
      </c>
      <c r="G90">
        <f>"High"</f>
        <v/>
      </c>
      <c r="H90">
        <f>TRIM(IF(LEN(IF(LEN(INDEX('Aides'!$D$4:$D$503,87))=0,"",INDEX('Aides'!$D$4:$D$503,87)))=0,"","Registry no.: "&amp;IF(LEN(INDEX('Aides'!$D$4:$D$503,87))=0,"",INDEX('Aides'!$D$4:$D$503,87))&amp;". ")&amp;IF(LEN(IF(ISNUMBER(INDEX('Aides'!$F$4:$F$503,87)),TEXT(INDEX('Aides'!$F$4:$F$503,87),"yyyy-mm-dd"),""))=0,"","Registry expiry: "&amp;IF(ISNUMBER(INDEX('Aides'!$F$4:$F$503,87)),TEXT(INDEX('Aides'!$F$4:$F$503,87),"yyyy-mm-dd"),"")&amp;". ")&amp;IF(LEN(IF(ISNUMBER(INDEX('Aides'!$G$4:$G$503,87)),TEXT(INDEX('Aides'!$G$4:$G$503,87),"yyyy-mm-dd"),""))=0,"","Last paid nursing work: "&amp;IF(ISNUMBER(INDEX('Aides'!$G$4:$G$503,87)),TEXT(INDEX('Aides'!$G$4:$G$503,87),"yyyy-mm-dd"),"")&amp;". ")&amp;IF(LEN(IF(ISNUMBER(INDEX('Aides'!$H$4:$H$503,87)),TEXT(INDEX('Aides'!$H$4:$H$503,87),"yyyy-mm-dd"),""))=0,"","24-month cut-off: "&amp;IF(ISNUMBER(INDEX('Aides'!$H$4:$H$503,87)),TEXT(INDEX('Aides'!$H$4:$H$503,87),"yyyy-mm-dd"),"")&amp;". ")&amp;IF(LEN(IF(LEN(INDEX('Aides'!$U$4:$U$503,87))=0,"",INDEX('Aides'!$U$4:$U$503,87)))=0,"","Owner: "&amp;IF(LEN(INDEX('Aides'!$U$4:$U$503,87))=0,"",INDEX('Aides'!$U$4:$U$503,87))&amp;". ")&amp;IF(LEN(IF(LEN(INDEX('Aides'!$X$4:$X$503,87))=0,"",INDEX('Aides'!$X$4:$X$503,87)))=0,"",IF(LEN(INDEX('Aides'!$X$4:$X$503,87))=0,"",INDEX('Aides'!$X$4:$X$503,87))))</f>
        <v/>
      </c>
      <c r="I90">
        <f>IF(LEN(INDEX('Aides'!$W$4:$W$503,87))=0,"",INDEX('Aides'!$W$4:$W$503,87))</f>
        <v/>
      </c>
      <c r="J90">
        <f>IF(LEN(INDEX('Aides'!$V$4:$V$503,87))=0,"",INDEX('Aides'!$V$4:$V$503,87))</f>
        <v/>
      </c>
    </row>
    <row r="91">
      <c r="A91">
        <f>IF(AND(LEN('Aides'!A91)&gt;0,ISNUMBER('Aides'!I91)),1,0)</f>
        <v/>
      </c>
      <c r="B91">
        <f>B90+A91</f>
        <v/>
      </c>
      <c r="C91">
        <f>IF(88&gt;$B$1503,"",MATCH(88-0.5,$B$3:$B$1503,1))</f>
        <v/>
      </c>
      <c r="D91">
        <f>"CNA certification ("&amp;IF(LEN(INDEX('Aides'!$C$4:$C$503,88))=0,"",INDEX('Aides'!$C$4:$C$503,88))&amp;") – "&amp;IF(LEN(INDEX('Aides'!$A$4:$A$503,88))=0,"",INDEX('Aides'!$A$4:$A$503,88))</f>
        <v/>
      </c>
      <c r="E91">
        <f>IF(ISNUMBER(INDEX('Aides'!$I$4:$I$503,88)),TEXT(INDEX('Aides'!$I$4:$I$503,88),"yyyy-mm-dd"),"")</f>
        <v/>
      </c>
      <c r="F91">
        <f>"Certification"</f>
        <v/>
      </c>
      <c r="G91">
        <f>"High"</f>
        <v/>
      </c>
      <c r="H91">
        <f>TRIM(IF(LEN(IF(LEN(INDEX('Aides'!$D$4:$D$503,88))=0,"",INDEX('Aides'!$D$4:$D$503,88)))=0,"","Registry no.: "&amp;IF(LEN(INDEX('Aides'!$D$4:$D$503,88))=0,"",INDEX('Aides'!$D$4:$D$503,88))&amp;". ")&amp;IF(LEN(IF(ISNUMBER(INDEX('Aides'!$F$4:$F$503,88)),TEXT(INDEX('Aides'!$F$4:$F$503,88),"yyyy-mm-dd"),""))=0,"","Registry expiry: "&amp;IF(ISNUMBER(INDEX('Aides'!$F$4:$F$503,88)),TEXT(INDEX('Aides'!$F$4:$F$503,88),"yyyy-mm-dd"),"")&amp;". ")&amp;IF(LEN(IF(ISNUMBER(INDEX('Aides'!$G$4:$G$503,88)),TEXT(INDEX('Aides'!$G$4:$G$503,88),"yyyy-mm-dd"),""))=0,"","Last paid nursing work: "&amp;IF(ISNUMBER(INDEX('Aides'!$G$4:$G$503,88)),TEXT(INDEX('Aides'!$G$4:$G$503,88),"yyyy-mm-dd"),"")&amp;". ")&amp;IF(LEN(IF(ISNUMBER(INDEX('Aides'!$H$4:$H$503,88)),TEXT(INDEX('Aides'!$H$4:$H$503,88),"yyyy-mm-dd"),""))=0,"","24-month cut-off: "&amp;IF(ISNUMBER(INDEX('Aides'!$H$4:$H$503,88)),TEXT(INDEX('Aides'!$H$4:$H$503,88),"yyyy-mm-dd"),"")&amp;". ")&amp;IF(LEN(IF(LEN(INDEX('Aides'!$U$4:$U$503,88))=0,"",INDEX('Aides'!$U$4:$U$503,88)))=0,"","Owner: "&amp;IF(LEN(INDEX('Aides'!$U$4:$U$503,88))=0,"",INDEX('Aides'!$U$4:$U$503,88))&amp;". ")&amp;IF(LEN(IF(LEN(INDEX('Aides'!$X$4:$X$503,88))=0,"",INDEX('Aides'!$X$4:$X$503,88)))=0,"",IF(LEN(INDEX('Aides'!$X$4:$X$503,88))=0,"",INDEX('Aides'!$X$4:$X$503,88))))</f>
        <v/>
      </c>
      <c r="I91">
        <f>IF(LEN(INDEX('Aides'!$W$4:$W$503,88))=0,"",INDEX('Aides'!$W$4:$W$503,88))</f>
        <v/>
      </c>
      <c r="J91">
        <f>IF(LEN(INDEX('Aides'!$V$4:$V$503,88))=0,"",INDEX('Aides'!$V$4:$V$503,88))</f>
        <v/>
      </c>
    </row>
    <row r="92">
      <c r="A92">
        <f>IF(AND(LEN('Aides'!A92)&gt;0,ISNUMBER('Aides'!I92)),1,0)</f>
        <v/>
      </c>
      <c r="B92">
        <f>B91+A92</f>
        <v/>
      </c>
      <c r="C92">
        <f>IF(89&gt;$B$1503,"",MATCH(89-0.5,$B$3:$B$1503,1))</f>
        <v/>
      </c>
      <c r="D92">
        <f>"CNA certification ("&amp;IF(LEN(INDEX('Aides'!$C$4:$C$503,89))=0,"",INDEX('Aides'!$C$4:$C$503,89))&amp;") – "&amp;IF(LEN(INDEX('Aides'!$A$4:$A$503,89))=0,"",INDEX('Aides'!$A$4:$A$503,89))</f>
        <v/>
      </c>
      <c r="E92">
        <f>IF(ISNUMBER(INDEX('Aides'!$I$4:$I$503,89)),TEXT(INDEX('Aides'!$I$4:$I$503,89),"yyyy-mm-dd"),"")</f>
        <v/>
      </c>
      <c r="F92">
        <f>"Certification"</f>
        <v/>
      </c>
      <c r="G92">
        <f>"High"</f>
        <v/>
      </c>
      <c r="H92">
        <f>TRIM(IF(LEN(IF(LEN(INDEX('Aides'!$D$4:$D$503,89))=0,"",INDEX('Aides'!$D$4:$D$503,89)))=0,"","Registry no.: "&amp;IF(LEN(INDEX('Aides'!$D$4:$D$503,89))=0,"",INDEX('Aides'!$D$4:$D$503,89))&amp;". ")&amp;IF(LEN(IF(ISNUMBER(INDEX('Aides'!$F$4:$F$503,89)),TEXT(INDEX('Aides'!$F$4:$F$503,89),"yyyy-mm-dd"),""))=0,"","Registry expiry: "&amp;IF(ISNUMBER(INDEX('Aides'!$F$4:$F$503,89)),TEXT(INDEX('Aides'!$F$4:$F$503,89),"yyyy-mm-dd"),"")&amp;". ")&amp;IF(LEN(IF(ISNUMBER(INDEX('Aides'!$G$4:$G$503,89)),TEXT(INDEX('Aides'!$G$4:$G$503,89),"yyyy-mm-dd"),""))=0,"","Last paid nursing work: "&amp;IF(ISNUMBER(INDEX('Aides'!$G$4:$G$503,89)),TEXT(INDEX('Aides'!$G$4:$G$503,89),"yyyy-mm-dd"),"")&amp;". ")&amp;IF(LEN(IF(ISNUMBER(INDEX('Aides'!$H$4:$H$503,89)),TEXT(INDEX('Aides'!$H$4:$H$503,89),"yyyy-mm-dd"),""))=0,"","24-month cut-off: "&amp;IF(ISNUMBER(INDEX('Aides'!$H$4:$H$503,89)),TEXT(INDEX('Aides'!$H$4:$H$503,89),"yyyy-mm-dd"),"")&amp;". ")&amp;IF(LEN(IF(LEN(INDEX('Aides'!$U$4:$U$503,89))=0,"",INDEX('Aides'!$U$4:$U$503,89)))=0,"","Owner: "&amp;IF(LEN(INDEX('Aides'!$U$4:$U$503,89))=0,"",INDEX('Aides'!$U$4:$U$503,89))&amp;". ")&amp;IF(LEN(IF(LEN(INDEX('Aides'!$X$4:$X$503,89))=0,"",INDEX('Aides'!$X$4:$X$503,89)))=0,"",IF(LEN(INDEX('Aides'!$X$4:$X$503,89))=0,"",INDEX('Aides'!$X$4:$X$503,89))))</f>
        <v/>
      </c>
      <c r="I92">
        <f>IF(LEN(INDEX('Aides'!$W$4:$W$503,89))=0,"",INDEX('Aides'!$W$4:$W$503,89))</f>
        <v/>
      </c>
      <c r="J92">
        <f>IF(LEN(INDEX('Aides'!$V$4:$V$503,89))=0,"",INDEX('Aides'!$V$4:$V$503,89))</f>
        <v/>
      </c>
    </row>
    <row r="93">
      <c r="A93">
        <f>IF(AND(LEN('Aides'!A93)&gt;0,ISNUMBER('Aides'!I93)),1,0)</f>
        <v/>
      </c>
      <c r="B93">
        <f>B92+A93</f>
        <v/>
      </c>
      <c r="C93">
        <f>IF(90&gt;$B$1503,"",MATCH(90-0.5,$B$3:$B$1503,1))</f>
        <v/>
      </c>
      <c r="D93">
        <f>"CNA certification ("&amp;IF(LEN(INDEX('Aides'!$C$4:$C$503,90))=0,"",INDEX('Aides'!$C$4:$C$503,90))&amp;") – "&amp;IF(LEN(INDEX('Aides'!$A$4:$A$503,90))=0,"",INDEX('Aides'!$A$4:$A$503,90))</f>
        <v/>
      </c>
      <c r="E93">
        <f>IF(ISNUMBER(INDEX('Aides'!$I$4:$I$503,90)),TEXT(INDEX('Aides'!$I$4:$I$503,90),"yyyy-mm-dd"),"")</f>
        <v/>
      </c>
      <c r="F93">
        <f>"Certification"</f>
        <v/>
      </c>
      <c r="G93">
        <f>"High"</f>
        <v/>
      </c>
      <c r="H93">
        <f>TRIM(IF(LEN(IF(LEN(INDEX('Aides'!$D$4:$D$503,90))=0,"",INDEX('Aides'!$D$4:$D$503,90)))=0,"","Registry no.: "&amp;IF(LEN(INDEX('Aides'!$D$4:$D$503,90))=0,"",INDEX('Aides'!$D$4:$D$503,90))&amp;". ")&amp;IF(LEN(IF(ISNUMBER(INDEX('Aides'!$F$4:$F$503,90)),TEXT(INDEX('Aides'!$F$4:$F$503,90),"yyyy-mm-dd"),""))=0,"","Registry expiry: "&amp;IF(ISNUMBER(INDEX('Aides'!$F$4:$F$503,90)),TEXT(INDEX('Aides'!$F$4:$F$503,90),"yyyy-mm-dd"),"")&amp;". ")&amp;IF(LEN(IF(ISNUMBER(INDEX('Aides'!$G$4:$G$503,90)),TEXT(INDEX('Aides'!$G$4:$G$503,90),"yyyy-mm-dd"),""))=0,"","Last paid nursing work: "&amp;IF(ISNUMBER(INDEX('Aides'!$G$4:$G$503,90)),TEXT(INDEX('Aides'!$G$4:$G$503,90),"yyyy-mm-dd"),"")&amp;". ")&amp;IF(LEN(IF(ISNUMBER(INDEX('Aides'!$H$4:$H$503,90)),TEXT(INDEX('Aides'!$H$4:$H$503,90),"yyyy-mm-dd"),""))=0,"","24-month cut-off: "&amp;IF(ISNUMBER(INDEX('Aides'!$H$4:$H$503,90)),TEXT(INDEX('Aides'!$H$4:$H$503,90),"yyyy-mm-dd"),"")&amp;". ")&amp;IF(LEN(IF(LEN(INDEX('Aides'!$U$4:$U$503,90))=0,"",INDEX('Aides'!$U$4:$U$503,90)))=0,"","Owner: "&amp;IF(LEN(INDEX('Aides'!$U$4:$U$503,90))=0,"",INDEX('Aides'!$U$4:$U$503,90))&amp;". ")&amp;IF(LEN(IF(LEN(INDEX('Aides'!$X$4:$X$503,90))=0,"",INDEX('Aides'!$X$4:$X$503,90)))=0,"",IF(LEN(INDEX('Aides'!$X$4:$X$503,90))=0,"",INDEX('Aides'!$X$4:$X$503,90))))</f>
        <v/>
      </c>
      <c r="I93">
        <f>IF(LEN(INDEX('Aides'!$W$4:$W$503,90))=0,"",INDEX('Aides'!$W$4:$W$503,90))</f>
        <v/>
      </c>
      <c r="J93">
        <f>IF(LEN(INDEX('Aides'!$V$4:$V$503,90))=0,"",INDEX('Aides'!$V$4:$V$503,90))</f>
        <v/>
      </c>
    </row>
    <row r="94">
      <c r="A94">
        <f>IF(AND(LEN('Aides'!A94)&gt;0,ISNUMBER('Aides'!I94)),1,0)</f>
        <v/>
      </c>
      <c r="B94">
        <f>B93+A94</f>
        <v/>
      </c>
      <c r="C94">
        <f>IF(91&gt;$B$1503,"",MATCH(91-0.5,$B$3:$B$1503,1))</f>
        <v/>
      </c>
      <c r="D94">
        <f>"CNA certification ("&amp;IF(LEN(INDEX('Aides'!$C$4:$C$503,91))=0,"",INDEX('Aides'!$C$4:$C$503,91))&amp;") – "&amp;IF(LEN(INDEX('Aides'!$A$4:$A$503,91))=0,"",INDEX('Aides'!$A$4:$A$503,91))</f>
        <v/>
      </c>
      <c r="E94">
        <f>IF(ISNUMBER(INDEX('Aides'!$I$4:$I$503,91)),TEXT(INDEX('Aides'!$I$4:$I$503,91),"yyyy-mm-dd"),"")</f>
        <v/>
      </c>
      <c r="F94">
        <f>"Certification"</f>
        <v/>
      </c>
      <c r="G94">
        <f>"High"</f>
        <v/>
      </c>
      <c r="H94">
        <f>TRIM(IF(LEN(IF(LEN(INDEX('Aides'!$D$4:$D$503,91))=0,"",INDEX('Aides'!$D$4:$D$503,91)))=0,"","Registry no.: "&amp;IF(LEN(INDEX('Aides'!$D$4:$D$503,91))=0,"",INDEX('Aides'!$D$4:$D$503,91))&amp;". ")&amp;IF(LEN(IF(ISNUMBER(INDEX('Aides'!$F$4:$F$503,91)),TEXT(INDEX('Aides'!$F$4:$F$503,91),"yyyy-mm-dd"),""))=0,"","Registry expiry: "&amp;IF(ISNUMBER(INDEX('Aides'!$F$4:$F$503,91)),TEXT(INDEX('Aides'!$F$4:$F$503,91),"yyyy-mm-dd"),"")&amp;". ")&amp;IF(LEN(IF(ISNUMBER(INDEX('Aides'!$G$4:$G$503,91)),TEXT(INDEX('Aides'!$G$4:$G$503,91),"yyyy-mm-dd"),""))=0,"","Last paid nursing work: "&amp;IF(ISNUMBER(INDEX('Aides'!$G$4:$G$503,91)),TEXT(INDEX('Aides'!$G$4:$G$503,91),"yyyy-mm-dd"),"")&amp;". ")&amp;IF(LEN(IF(ISNUMBER(INDEX('Aides'!$H$4:$H$503,91)),TEXT(INDEX('Aides'!$H$4:$H$503,91),"yyyy-mm-dd"),""))=0,"","24-month cut-off: "&amp;IF(ISNUMBER(INDEX('Aides'!$H$4:$H$503,91)),TEXT(INDEX('Aides'!$H$4:$H$503,91),"yyyy-mm-dd"),"")&amp;". ")&amp;IF(LEN(IF(LEN(INDEX('Aides'!$U$4:$U$503,91))=0,"",INDEX('Aides'!$U$4:$U$503,91)))=0,"","Owner: "&amp;IF(LEN(INDEX('Aides'!$U$4:$U$503,91))=0,"",INDEX('Aides'!$U$4:$U$503,91))&amp;". ")&amp;IF(LEN(IF(LEN(INDEX('Aides'!$X$4:$X$503,91))=0,"",INDEX('Aides'!$X$4:$X$503,91)))=0,"",IF(LEN(INDEX('Aides'!$X$4:$X$503,91))=0,"",INDEX('Aides'!$X$4:$X$503,91))))</f>
        <v/>
      </c>
      <c r="I94">
        <f>IF(LEN(INDEX('Aides'!$W$4:$W$503,91))=0,"",INDEX('Aides'!$W$4:$W$503,91))</f>
        <v/>
      </c>
      <c r="J94">
        <f>IF(LEN(INDEX('Aides'!$V$4:$V$503,91))=0,"",INDEX('Aides'!$V$4:$V$503,91))</f>
        <v/>
      </c>
    </row>
    <row r="95">
      <c r="A95">
        <f>IF(AND(LEN('Aides'!A95)&gt;0,ISNUMBER('Aides'!I95)),1,0)</f>
        <v/>
      </c>
      <c r="B95">
        <f>B94+A95</f>
        <v/>
      </c>
      <c r="C95">
        <f>IF(92&gt;$B$1503,"",MATCH(92-0.5,$B$3:$B$1503,1))</f>
        <v/>
      </c>
      <c r="D95">
        <f>"CNA certification ("&amp;IF(LEN(INDEX('Aides'!$C$4:$C$503,92))=0,"",INDEX('Aides'!$C$4:$C$503,92))&amp;") – "&amp;IF(LEN(INDEX('Aides'!$A$4:$A$503,92))=0,"",INDEX('Aides'!$A$4:$A$503,92))</f>
        <v/>
      </c>
      <c r="E95">
        <f>IF(ISNUMBER(INDEX('Aides'!$I$4:$I$503,92)),TEXT(INDEX('Aides'!$I$4:$I$503,92),"yyyy-mm-dd"),"")</f>
        <v/>
      </c>
      <c r="F95">
        <f>"Certification"</f>
        <v/>
      </c>
      <c r="G95">
        <f>"High"</f>
        <v/>
      </c>
      <c r="H95">
        <f>TRIM(IF(LEN(IF(LEN(INDEX('Aides'!$D$4:$D$503,92))=0,"",INDEX('Aides'!$D$4:$D$503,92)))=0,"","Registry no.: "&amp;IF(LEN(INDEX('Aides'!$D$4:$D$503,92))=0,"",INDEX('Aides'!$D$4:$D$503,92))&amp;". ")&amp;IF(LEN(IF(ISNUMBER(INDEX('Aides'!$F$4:$F$503,92)),TEXT(INDEX('Aides'!$F$4:$F$503,92),"yyyy-mm-dd"),""))=0,"","Registry expiry: "&amp;IF(ISNUMBER(INDEX('Aides'!$F$4:$F$503,92)),TEXT(INDEX('Aides'!$F$4:$F$503,92),"yyyy-mm-dd"),"")&amp;". ")&amp;IF(LEN(IF(ISNUMBER(INDEX('Aides'!$G$4:$G$503,92)),TEXT(INDEX('Aides'!$G$4:$G$503,92),"yyyy-mm-dd"),""))=0,"","Last paid nursing work: "&amp;IF(ISNUMBER(INDEX('Aides'!$G$4:$G$503,92)),TEXT(INDEX('Aides'!$G$4:$G$503,92),"yyyy-mm-dd"),"")&amp;". ")&amp;IF(LEN(IF(ISNUMBER(INDEX('Aides'!$H$4:$H$503,92)),TEXT(INDEX('Aides'!$H$4:$H$503,92),"yyyy-mm-dd"),""))=0,"","24-month cut-off: "&amp;IF(ISNUMBER(INDEX('Aides'!$H$4:$H$503,92)),TEXT(INDEX('Aides'!$H$4:$H$503,92),"yyyy-mm-dd"),"")&amp;". ")&amp;IF(LEN(IF(LEN(INDEX('Aides'!$U$4:$U$503,92))=0,"",INDEX('Aides'!$U$4:$U$503,92)))=0,"","Owner: "&amp;IF(LEN(INDEX('Aides'!$U$4:$U$503,92))=0,"",INDEX('Aides'!$U$4:$U$503,92))&amp;". ")&amp;IF(LEN(IF(LEN(INDEX('Aides'!$X$4:$X$503,92))=0,"",INDEX('Aides'!$X$4:$X$503,92)))=0,"",IF(LEN(INDEX('Aides'!$X$4:$X$503,92))=0,"",INDEX('Aides'!$X$4:$X$503,92))))</f>
        <v/>
      </c>
      <c r="I95">
        <f>IF(LEN(INDEX('Aides'!$W$4:$W$503,92))=0,"",INDEX('Aides'!$W$4:$W$503,92))</f>
        <v/>
      </c>
      <c r="J95">
        <f>IF(LEN(INDEX('Aides'!$V$4:$V$503,92))=0,"",INDEX('Aides'!$V$4:$V$503,92))</f>
        <v/>
      </c>
    </row>
    <row r="96">
      <c r="A96">
        <f>IF(AND(LEN('Aides'!A96)&gt;0,ISNUMBER('Aides'!I96)),1,0)</f>
        <v/>
      </c>
      <c r="B96">
        <f>B95+A96</f>
        <v/>
      </c>
      <c r="C96">
        <f>IF(93&gt;$B$1503,"",MATCH(93-0.5,$B$3:$B$1503,1))</f>
        <v/>
      </c>
      <c r="D96">
        <f>"CNA certification ("&amp;IF(LEN(INDEX('Aides'!$C$4:$C$503,93))=0,"",INDEX('Aides'!$C$4:$C$503,93))&amp;") – "&amp;IF(LEN(INDEX('Aides'!$A$4:$A$503,93))=0,"",INDEX('Aides'!$A$4:$A$503,93))</f>
        <v/>
      </c>
      <c r="E96">
        <f>IF(ISNUMBER(INDEX('Aides'!$I$4:$I$503,93)),TEXT(INDEX('Aides'!$I$4:$I$503,93),"yyyy-mm-dd"),"")</f>
        <v/>
      </c>
      <c r="F96">
        <f>"Certification"</f>
        <v/>
      </c>
      <c r="G96">
        <f>"High"</f>
        <v/>
      </c>
      <c r="H96">
        <f>TRIM(IF(LEN(IF(LEN(INDEX('Aides'!$D$4:$D$503,93))=0,"",INDEX('Aides'!$D$4:$D$503,93)))=0,"","Registry no.: "&amp;IF(LEN(INDEX('Aides'!$D$4:$D$503,93))=0,"",INDEX('Aides'!$D$4:$D$503,93))&amp;". ")&amp;IF(LEN(IF(ISNUMBER(INDEX('Aides'!$F$4:$F$503,93)),TEXT(INDEX('Aides'!$F$4:$F$503,93),"yyyy-mm-dd"),""))=0,"","Registry expiry: "&amp;IF(ISNUMBER(INDEX('Aides'!$F$4:$F$503,93)),TEXT(INDEX('Aides'!$F$4:$F$503,93),"yyyy-mm-dd"),"")&amp;". ")&amp;IF(LEN(IF(ISNUMBER(INDEX('Aides'!$G$4:$G$503,93)),TEXT(INDEX('Aides'!$G$4:$G$503,93),"yyyy-mm-dd"),""))=0,"","Last paid nursing work: "&amp;IF(ISNUMBER(INDEX('Aides'!$G$4:$G$503,93)),TEXT(INDEX('Aides'!$G$4:$G$503,93),"yyyy-mm-dd"),"")&amp;". ")&amp;IF(LEN(IF(ISNUMBER(INDEX('Aides'!$H$4:$H$503,93)),TEXT(INDEX('Aides'!$H$4:$H$503,93),"yyyy-mm-dd"),""))=0,"","24-month cut-off: "&amp;IF(ISNUMBER(INDEX('Aides'!$H$4:$H$503,93)),TEXT(INDEX('Aides'!$H$4:$H$503,93),"yyyy-mm-dd"),"")&amp;". ")&amp;IF(LEN(IF(LEN(INDEX('Aides'!$U$4:$U$503,93))=0,"",INDEX('Aides'!$U$4:$U$503,93)))=0,"","Owner: "&amp;IF(LEN(INDEX('Aides'!$U$4:$U$503,93))=0,"",INDEX('Aides'!$U$4:$U$503,93))&amp;". ")&amp;IF(LEN(IF(LEN(INDEX('Aides'!$X$4:$X$503,93))=0,"",INDEX('Aides'!$X$4:$X$503,93)))=0,"",IF(LEN(INDEX('Aides'!$X$4:$X$503,93))=0,"",INDEX('Aides'!$X$4:$X$503,93))))</f>
        <v/>
      </c>
      <c r="I96">
        <f>IF(LEN(INDEX('Aides'!$W$4:$W$503,93))=0,"",INDEX('Aides'!$W$4:$W$503,93))</f>
        <v/>
      </c>
      <c r="J96">
        <f>IF(LEN(INDEX('Aides'!$V$4:$V$503,93))=0,"",INDEX('Aides'!$V$4:$V$503,93))</f>
        <v/>
      </c>
    </row>
    <row r="97">
      <c r="A97">
        <f>IF(AND(LEN('Aides'!A97)&gt;0,ISNUMBER('Aides'!I97)),1,0)</f>
        <v/>
      </c>
      <c r="B97">
        <f>B96+A97</f>
        <v/>
      </c>
      <c r="C97">
        <f>IF(94&gt;$B$1503,"",MATCH(94-0.5,$B$3:$B$1503,1))</f>
        <v/>
      </c>
      <c r="D97">
        <f>"CNA certification ("&amp;IF(LEN(INDEX('Aides'!$C$4:$C$503,94))=0,"",INDEX('Aides'!$C$4:$C$503,94))&amp;") – "&amp;IF(LEN(INDEX('Aides'!$A$4:$A$503,94))=0,"",INDEX('Aides'!$A$4:$A$503,94))</f>
        <v/>
      </c>
      <c r="E97">
        <f>IF(ISNUMBER(INDEX('Aides'!$I$4:$I$503,94)),TEXT(INDEX('Aides'!$I$4:$I$503,94),"yyyy-mm-dd"),"")</f>
        <v/>
      </c>
      <c r="F97">
        <f>"Certification"</f>
        <v/>
      </c>
      <c r="G97">
        <f>"High"</f>
        <v/>
      </c>
      <c r="H97">
        <f>TRIM(IF(LEN(IF(LEN(INDEX('Aides'!$D$4:$D$503,94))=0,"",INDEX('Aides'!$D$4:$D$503,94)))=0,"","Registry no.: "&amp;IF(LEN(INDEX('Aides'!$D$4:$D$503,94))=0,"",INDEX('Aides'!$D$4:$D$503,94))&amp;". ")&amp;IF(LEN(IF(ISNUMBER(INDEX('Aides'!$F$4:$F$503,94)),TEXT(INDEX('Aides'!$F$4:$F$503,94),"yyyy-mm-dd"),""))=0,"","Registry expiry: "&amp;IF(ISNUMBER(INDEX('Aides'!$F$4:$F$503,94)),TEXT(INDEX('Aides'!$F$4:$F$503,94),"yyyy-mm-dd"),"")&amp;". ")&amp;IF(LEN(IF(ISNUMBER(INDEX('Aides'!$G$4:$G$503,94)),TEXT(INDEX('Aides'!$G$4:$G$503,94),"yyyy-mm-dd"),""))=0,"","Last paid nursing work: "&amp;IF(ISNUMBER(INDEX('Aides'!$G$4:$G$503,94)),TEXT(INDEX('Aides'!$G$4:$G$503,94),"yyyy-mm-dd"),"")&amp;". ")&amp;IF(LEN(IF(ISNUMBER(INDEX('Aides'!$H$4:$H$503,94)),TEXT(INDEX('Aides'!$H$4:$H$503,94),"yyyy-mm-dd"),""))=0,"","24-month cut-off: "&amp;IF(ISNUMBER(INDEX('Aides'!$H$4:$H$503,94)),TEXT(INDEX('Aides'!$H$4:$H$503,94),"yyyy-mm-dd"),"")&amp;". ")&amp;IF(LEN(IF(LEN(INDEX('Aides'!$U$4:$U$503,94))=0,"",INDEX('Aides'!$U$4:$U$503,94)))=0,"","Owner: "&amp;IF(LEN(INDEX('Aides'!$U$4:$U$503,94))=0,"",INDEX('Aides'!$U$4:$U$503,94))&amp;". ")&amp;IF(LEN(IF(LEN(INDEX('Aides'!$X$4:$X$503,94))=0,"",INDEX('Aides'!$X$4:$X$503,94)))=0,"",IF(LEN(INDEX('Aides'!$X$4:$X$503,94))=0,"",INDEX('Aides'!$X$4:$X$503,94))))</f>
        <v/>
      </c>
      <c r="I97">
        <f>IF(LEN(INDEX('Aides'!$W$4:$W$503,94))=0,"",INDEX('Aides'!$W$4:$W$503,94))</f>
        <v/>
      </c>
      <c r="J97">
        <f>IF(LEN(INDEX('Aides'!$V$4:$V$503,94))=0,"",INDEX('Aides'!$V$4:$V$503,94))</f>
        <v/>
      </c>
    </row>
    <row r="98">
      <c r="A98">
        <f>IF(AND(LEN('Aides'!A98)&gt;0,ISNUMBER('Aides'!I98)),1,0)</f>
        <v/>
      </c>
      <c r="B98">
        <f>B97+A98</f>
        <v/>
      </c>
      <c r="C98">
        <f>IF(95&gt;$B$1503,"",MATCH(95-0.5,$B$3:$B$1503,1))</f>
        <v/>
      </c>
      <c r="D98">
        <f>"CNA certification ("&amp;IF(LEN(INDEX('Aides'!$C$4:$C$503,95))=0,"",INDEX('Aides'!$C$4:$C$503,95))&amp;") – "&amp;IF(LEN(INDEX('Aides'!$A$4:$A$503,95))=0,"",INDEX('Aides'!$A$4:$A$503,95))</f>
        <v/>
      </c>
      <c r="E98">
        <f>IF(ISNUMBER(INDEX('Aides'!$I$4:$I$503,95)),TEXT(INDEX('Aides'!$I$4:$I$503,95),"yyyy-mm-dd"),"")</f>
        <v/>
      </c>
      <c r="F98">
        <f>"Certification"</f>
        <v/>
      </c>
      <c r="G98">
        <f>"High"</f>
        <v/>
      </c>
      <c r="H98">
        <f>TRIM(IF(LEN(IF(LEN(INDEX('Aides'!$D$4:$D$503,95))=0,"",INDEX('Aides'!$D$4:$D$503,95)))=0,"","Registry no.: "&amp;IF(LEN(INDEX('Aides'!$D$4:$D$503,95))=0,"",INDEX('Aides'!$D$4:$D$503,95))&amp;". ")&amp;IF(LEN(IF(ISNUMBER(INDEX('Aides'!$F$4:$F$503,95)),TEXT(INDEX('Aides'!$F$4:$F$503,95),"yyyy-mm-dd"),""))=0,"","Registry expiry: "&amp;IF(ISNUMBER(INDEX('Aides'!$F$4:$F$503,95)),TEXT(INDEX('Aides'!$F$4:$F$503,95),"yyyy-mm-dd"),"")&amp;". ")&amp;IF(LEN(IF(ISNUMBER(INDEX('Aides'!$G$4:$G$503,95)),TEXT(INDEX('Aides'!$G$4:$G$503,95),"yyyy-mm-dd"),""))=0,"","Last paid nursing work: "&amp;IF(ISNUMBER(INDEX('Aides'!$G$4:$G$503,95)),TEXT(INDEX('Aides'!$G$4:$G$503,95),"yyyy-mm-dd"),"")&amp;". ")&amp;IF(LEN(IF(ISNUMBER(INDEX('Aides'!$H$4:$H$503,95)),TEXT(INDEX('Aides'!$H$4:$H$503,95),"yyyy-mm-dd"),""))=0,"","24-month cut-off: "&amp;IF(ISNUMBER(INDEX('Aides'!$H$4:$H$503,95)),TEXT(INDEX('Aides'!$H$4:$H$503,95),"yyyy-mm-dd"),"")&amp;". ")&amp;IF(LEN(IF(LEN(INDEX('Aides'!$U$4:$U$503,95))=0,"",INDEX('Aides'!$U$4:$U$503,95)))=0,"","Owner: "&amp;IF(LEN(INDEX('Aides'!$U$4:$U$503,95))=0,"",INDEX('Aides'!$U$4:$U$503,95))&amp;". ")&amp;IF(LEN(IF(LEN(INDEX('Aides'!$X$4:$X$503,95))=0,"",INDEX('Aides'!$X$4:$X$503,95)))=0,"",IF(LEN(INDEX('Aides'!$X$4:$X$503,95))=0,"",INDEX('Aides'!$X$4:$X$503,95))))</f>
        <v/>
      </c>
      <c r="I98">
        <f>IF(LEN(INDEX('Aides'!$W$4:$W$503,95))=0,"",INDEX('Aides'!$W$4:$W$503,95))</f>
        <v/>
      </c>
      <c r="J98">
        <f>IF(LEN(INDEX('Aides'!$V$4:$V$503,95))=0,"",INDEX('Aides'!$V$4:$V$503,95))</f>
        <v/>
      </c>
    </row>
    <row r="99">
      <c r="A99">
        <f>IF(AND(LEN('Aides'!A99)&gt;0,ISNUMBER('Aides'!I99)),1,0)</f>
        <v/>
      </c>
      <c r="B99">
        <f>B98+A99</f>
        <v/>
      </c>
      <c r="C99">
        <f>IF(96&gt;$B$1503,"",MATCH(96-0.5,$B$3:$B$1503,1))</f>
        <v/>
      </c>
      <c r="D99">
        <f>"CNA certification ("&amp;IF(LEN(INDEX('Aides'!$C$4:$C$503,96))=0,"",INDEX('Aides'!$C$4:$C$503,96))&amp;") – "&amp;IF(LEN(INDEX('Aides'!$A$4:$A$503,96))=0,"",INDEX('Aides'!$A$4:$A$503,96))</f>
        <v/>
      </c>
      <c r="E99">
        <f>IF(ISNUMBER(INDEX('Aides'!$I$4:$I$503,96)),TEXT(INDEX('Aides'!$I$4:$I$503,96),"yyyy-mm-dd"),"")</f>
        <v/>
      </c>
      <c r="F99">
        <f>"Certification"</f>
        <v/>
      </c>
      <c r="G99">
        <f>"High"</f>
        <v/>
      </c>
      <c r="H99">
        <f>TRIM(IF(LEN(IF(LEN(INDEX('Aides'!$D$4:$D$503,96))=0,"",INDEX('Aides'!$D$4:$D$503,96)))=0,"","Registry no.: "&amp;IF(LEN(INDEX('Aides'!$D$4:$D$503,96))=0,"",INDEX('Aides'!$D$4:$D$503,96))&amp;". ")&amp;IF(LEN(IF(ISNUMBER(INDEX('Aides'!$F$4:$F$503,96)),TEXT(INDEX('Aides'!$F$4:$F$503,96),"yyyy-mm-dd"),""))=0,"","Registry expiry: "&amp;IF(ISNUMBER(INDEX('Aides'!$F$4:$F$503,96)),TEXT(INDEX('Aides'!$F$4:$F$503,96),"yyyy-mm-dd"),"")&amp;". ")&amp;IF(LEN(IF(ISNUMBER(INDEX('Aides'!$G$4:$G$503,96)),TEXT(INDEX('Aides'!$G$4:$G$503,96),"yyyy-mm-dd"),""))=0,"","Last paid nursing work: "&amp;IF(ISNUMBER(INDEX('Aides'!$G$4:$G$503,96)),TEXT(INDEX('Aides'!$G$4:$G$503,96),"yyyy-mm-dd"),"")&amp;". ")&amp;IF(LEN(IF(ISNUMBER(INDEX('Aides'!$H$4:$H$503,96)),TEXT(INDEX('Aides'!$H$4:$H$503,96),"yyyy-mm-dd"),""))=0,"","24-month cut-off: "&amp;IF(ISNUMBER(INDEX('Aides'!$H$4:$H$503,96)),TEXT(INDEX('Aides'!$H$4:$H$503,96),"yyyy-mm-dd"),"")&amp;". ")&amp;IF(LEN(IF(LEN(INDEX('Aides'!$U$4:$U$503,96))=0,"",INDEX('Aides'!$U$4:$U$503,96)))=0,"","Owner: "&amp;IF(LEN(INDEX('Aides'!$U$4:$U$503,96))=0,"",INDEX('Aides'!$U$4:$U$503,96))&amp;". ")&amp;IF(LEN(IF(LEN(INDEX('Aides'!$X$4:$X$503,96))=0,"",INDEX('Aides'!$X$4:$X$503,96)))=0,"",IF(LEN(INDEX('Aides'!$X$4:$X$503,96))=0,"",INDEX('Aides'!$X$4:$X$503,96))))</f>
        <v/>
      </c>
      <c r="I99">
        <f>IF(LEN(INDEX('Aides'!$W$4:$W$503,96))=0,"",INDEX('Aides'!$W$4:$W$503,96))</f>
        <v/>
      </c>
      <c r="J99">
        <f>IF(LEN(INDEX('Aides'!$V$4:$V$503,96))=0,"",INDEX('Aides'!$V$4:$V$503,96))</f>
        <v/>
      </c>
    </row>
    <row r="100">
      <c r="A100">
        <f>IF(AND(LEN('Aides'!A100)&gt;0,ISNUMBER('Aides'!I100)),1,0)</f>
        <v/>
      </c>
      <c r="B100">
        <f>B99+A100</f>
        <v/>
      </c>
      <c r="C100">
        <f>IF(97&gt;$B$1503,"",MATCH(97-0.5,$B$3:$B$1503,1))</f>
        <v/>
      </c>
      <c r="D100">
        <f>"CNA certification ("&amp;IF(LEN(INDEX('Aides'!$C$4:$C$503,97))=0,"",INDEX('Aides'!$C$4:$C$503,97))&amp;") – "&amp;IF(LEN(INDEX('Aides'!$A$4:$A$503,97))=0,"",INDEX('Aides'!$A$4:$A$503,97))</f>
        <v/>
      </c>
      <c r="E100">
        <f>IF(ISNUMBER(INDEX('Aides'!$I$4:$I$503,97)),TEXT(INDEX('Aides'!$I$4:$I$503,97),"yyyy-mm-dd"),"")</f>
        <v/>
      </c>
      <c r="F100">
        <f>"Certification"</f>
        <v/>
      </c>
      <c r="G100">
        <f>"High"</f>
        <v/>
      </c>
      <c r="H100">
        <f>TRIM(IF(LEN(IF(LEN(INDEX('Aides'!$D$4:$D$503,97))=0,"",INDEX('Aides'!$D$4:$D$503,97)))=0,"","Registry no.: "&amp;IF(LEN(INDEX('Aides'!$D$4:$D$503,97))=0,"",INDEX('Aides'!$D$4:$D$503,97))&amp;". ")&amp;IF(LEN(IF(ISNUMBER(INDEX('Aides'!$F$4:$F$503,97)),TEXT(INDEX('Aides'!$F$4:$F$503,97),"yyyy-mm-dd"),""))=0,"","Registry expiry: "&amp;IF(ISNUMBER(INDEX('Aides'!$F$4:$F$503,97)),TEXT(INDEX('Aides'!$F$4:$F$503,97),"yyyy-mm-dd"),"")&amp;". ")&amp;IF(LEN(IF(ISNUMBER(INDEX('Aides'!$G$4:$G$503,97)),TEXT(INDEX('Aides'!$G$4:$G$503,97),"yyyy-mm-dd"),""))=0,"","Last paid nursing work: "&amp;IF(ISNUMBER(INDEX('Aides'!$G$4:$G$503,97)),TEXT(INDEX('Aides'!$G$4:$G$503,97),"yyyy-mm-dd"),"")&amp;". ")&amp;IF(LEN(IF(ISNUMBER(INDEX('Aides'!$H$4:$H$503,97)),TEXT(INDEX('Aides'!$H$4:$H$503,97),"yyyy-mm-dd"),""))=0,"","24-month cut-off: "&amp;IF(ISNUMBER(INDEX('Aides'!$H$4:$H$503,97)),TEXT(INDEX('Aides'!$H$4:$H$503,97),"yyyy-mm-dd"),"")&amp;". ")&amp;IF(LEN(IF(LEN(INDEX('Aides'!$U$4:$U$503,97))=0,"",INDEX('Aides'!$U$4:$U$503,97)))=0,"","Owner: "&amp;IF(LEN(INDEX('Aides'!$U$4:$U$503,97))=0,"",INDEX('Aides'!$U$4:$U$503,97))&amp;". ")&amp;IF(LEN(IF(LEN(INDEX('Aides'!$X$4:$X$503,97))=0,"",INDEX('Aides'!$X$4:$X$503,97)))=0,"",IF(LEN(INDEX('Aides'!$X$4:$X$503,97))=0,"",INDEX('Aides'!$X$4:$X$503,97))))</f>
        <v/>
      </c>
      <c r="I100">
        <f>IF(LEN(INDEX('Aides'!$W$4:$W$503,97))=0,"",INDEX('Aides'!$W$4:$W$503,97))</f>
        <v/>
      </c>
      <c r="J100">
        <f>IF(LEN(INDEX('Aides'!$V$4:$V$503,97))=0,"",INDEX('Aides'!$V$4:$V$503,97))</f>
        <v/>
      </c>
    </row>
    <row r="101">
      <c r="A101">
        <f>IF(AND(LEN('Aides'!A101)&gt;0,ISNUMBER('Aides'!I101)),1,0)</f>
        <v/>
      </c>
      <c r="B101">
        <f>B100+A101</f>
        <v/>
      </c>
      <c r="C101">
        <f>IF(98&gt;$B$1503,"",MATCH(98-0.5,$B$3:$B$1503,1))</f>
        <v/>
      </c>
      <c r="D101">
        <f>"CNA certification ("&amp;IF(LEN(INDEX('Aides'!$C$4:$C$503,98))=0,"",INDEX('Aides'!$C$4:$C$503,98))&amp;") – "&amp;IF(LEN(INDEX('Aides'!$A$4:$A$503,98))=0,"",INDEX('Aides'!$A$4:$A$503,98))</f>
        <v/>
      </c>
      <c r="E101">
        <f>IF(ISNUMBER(INDEX('Aides'!$I$4:$I$503,98)),TEXT(INDEX('Aides'!$I$4:$I$503,98),"yyyy-mm-dd"),"")</f>
        <v/>
      </c>
      <c r="F101">
        <f>"Certification"</f>
        <v/>
      </c>
      <c r="G101">
        <f>"High"</f>
        <v/>
      </c>
      <c r="H101">
        <f>TRIM(IF(LEN(IF(LEN(INDEX('Aides'!$D$4:$D$503,98))=0,"",INDEX('Aides'!$D$4:$D$503,98)))=0,"","Registry no.: "&amp;IF(LEN(INDEX('Aides'!$D$4:$D$503,98))=0,"",INDEX('Aides'!$D$4:$D$503,98))&amp;". ")&amp;IF(LEN(IF(ISNUMBER(INDEX('Aides'!$F$4:$F$503,98)),TEXT(INDEX('Aides'!$F$4:$F$503,98),"yyyy-mm-dd"),""))=0,"","Registry expiry: "&amp;IF(ISNUMBER(INDEX('Aides'!$F$4:$F$503,98)),TEXT(INDEX('Aides'!$F$4:$F$503,98),"yyyy-mm-dd"),"")&amp;". ")&amp;IF(LEN(IF(ISNUMBER(INDEX('Aides'!$G$4:$G$503,98)),TEXT(INDEX('Aides'!$G$4:$G$503,98),"yyyy-mm-dd"),""))=0,"","Last paid nursing work: "&amp;IF(ISNUMBER(INDEX('Aides'!$G$4:$G$503,98)),TEXT(INDEX('Aides'!$G$4:$G$503,98),"yyyy-mm-dd"),"")&amp;". ")&amp;IF(LEN(IF(ISNUMBER(INDEX('Aides'!$H$4:$H$503,98)),TEXT(INDEX('Aides'!$H$4:$H$503,98),"yyyy-mm-dd"),""))=0,"","24-month cut-off: "&amp;IF(ISNUMBER(INDEX('Aides'!$H$4:$H$503,98)),TEXT(INDEX('Aides'!$H$4:$H$503,98),"yyyy-mm-dd"),"")&amp;". ")&amp;IF(LEN(IF(LEN(INDEX('Aides'!$U$4:$U$503,98))=0,"",INDEX('Aides'!$U$4:$U$503,98)))=0,"","Owner: "&amp;IF(LEN(INDEX('Aides'!$U$4:$U$503,98))=0,"",INDEX('Aides'!$U$4:$U$503,98))&amp;". ")&amp;IF(LEN(IF(LEN(INDEX('Aides'!$X$4:$X$503,98))=0,"",INDEX('Aides'!$X$4:$X$503,98)))=0,"",IF(LEN(INDEX('Aides'!$X$4:$X$503,98))=0,"",INDEX('Aides'!$X$4:$X$503,98))))</f>
        <v/>
      </c>
      <c r="I101">
        <f>IF(LEN(INDEX('Aides'!$W$4:$W$503,98))=0,"",INDEX('Aides'!$W$4:$W$503,98))</f>
        <v/>
      </c>
      <c r="J101">
        <f>IF(LEN(INDEX('Aides'!$V$4:$V$503,98))=0,"",INDEX('Aides'!$V$4:$V$503,98))</f>
        <v/>
      </c>
    </row>
    <row r="102">
      <c r="A102">
        <f>IF(AND(LEN('Aides'!A102)&gt;0,ISNUMBER('Aides'!I102)),1,0)</f>
        <v/>
      </c>
      <c r="B102">
        <f>B101+A102</f>
        <v/>
      </c>
      <c r="C102">
        <f>IF(99&gt;$B$1503,"",MATCH(99-0.5,$B$3:$B$1503,1))</f>
        <v/>
      </c>
      <c r="D102">
        <f>"CNA certification ("&amp;IF(LEN(INDEX('Aides'!$C$4:$C$503,99))=0,"",INDEX('Aides'!$C$4:$C$503,99))&amp;") – "&amp;IF(LEN(INDEX('Aides'!$A$4:$A$503,99))=0,"",INDEX('Aides'!$A$4:$A$503,99))</f>
        <v/>
      </c>
      <c r="E102">
        <f>IF(ISNUMBER(INDEX('Aides'!$I$4:$I$503,99)),TEXT(INDEX('Aides'!$I$4:$I$503,99),"yyyy-mm-dd"),"")</f>
        <v/>
      </c>
      <c r="F102">
        <f>"Certification"</f>
        <v/>
      </c>
      <c r="G102">
        <f>"High"</f>
        <v/>
      </c>
      <c r="H102">
        <f>TRIM(IF(LEN(IF(LEN(INDEX('Aides'!$D$4:$D$503,99))=0,"",INDEX('Aides'!$D$4:$D$503,99)))=0,"","Registry no.: "&amp;IF(LEN(INDEX('Aides'!$D$4:$D$503,99))=0,"",INDEX('Aides'!$D$4:$D$503,99))&amp;". ")&amp;IF(LEN(IF(ISNUMBER(INDEX('Aides'!$F$4:$F$503,99)),TEXT(INDEX('Aides'!$F$4:$F$503,99),"yyyy-mm-dd"),""))=0,"","Registry expiry: "&amp;IF(ISNUMBER(INDEX('Aides'!$F$4:$F$503,99)),TEXT(INDEX('Aides'!$F$4:$F$503,99),"yyyy-mm-dd"),"")&amp;". ")&amp;IF(LEN(IF(ISNUMBER(INDEX('Aides'!$G$4:$G$503,99)),TEXT(INDEX('Aides'!$G$4:$G$503,99),"yyyy-mm-dd"),""))=0,"","Last paid nursing work: "&amp;IF(ISNUMBER(INDEX('Aides'!$G$4:$G$503,99)),TEXT(INDEX('Aides'!$G$4:$G$503,99),"yyyy-mm-dd"),"")&amp;". ")&amp;IF(LEN(IF(ISNUMBER(INDEX('Aides'!$H$4:$H$503,99)),TEXT(INDEX('Aides'!$H$4:$H$503,99),"yyyy-mm-dd"),""))=0,"","24-month cut-off: "&amp;IF(ISNUMBER(INDEX('Aides'!$H$4:$H$503,99)),TEXT(INDEX('Aides'!$H$4:$H$503,99),"yyyy-mm-dd"),"")&amp;". ")&amp;IF(LEN(IF(LEN(INDEX('Aides'!$U$4:$U$503,99))=0,"",INDEX('Aides'!$U$4:$U$503,99)))=0,"","Owner: "&amp;IF(LEN(INDEX('Aides'!$U$4:$U$503,99))=0,"",INDEX('Aides'!$U$4:$U$503,99))&amp;". ")&amp;IF(LEN(IF(LEN(INDEX('Aides'!$X$4:$X$503,99))=0,"",INDEX('Aides'!$X$4:$X$503,99)))=0,"",IF(LEN(INDEX('Aides'!$X$4:$X$503,99))=0,"",INDEX('Aides'!$X$4:$X$503,99))))</f>
        <v/>
      </c>
      <c r="I102">
        <f>IF(LEN(INDEX('Aides'!$W$4:$W$503,99))=0,"",INDEX('Aides'!$W$4:$W$503,99))</f>
        <v/>
      </c>
      <c r="J102">
        <f>IF(LEN(INDEX('Aides'!$V$4:$V$503,99))=0,"",INDEX('Aides'!$V$4:$V$503,99))</f>
        <v/>
      </c>
    </row>
    <row r="103">
      <c r="A103">
        <f>IF(AND(LEN('Aides'!A103)&gt;0,ISNUMBER('Aides'!I103)),1,0)</f>
        <v/>
      </c>
      <c r="B103">
        <f>B102+A103</f>
        <v/>
      </c>
      <c r="C103">
        <f>IF(100&gt;$B$1503,"",MATCH(100-0.5,$B$3:$B$1503,1))</f>
        <v/>
      </c>
      <c r="D103">
        <f>"CNA certification ("&amp;IF(LEN(INDEX('Aides'!$C$4:$C$503,100))=0,"",INDEX('Aides'!$C$4:$C$503,100))&amp;") – "&amp;IF(LEN(INDEX('Aides'!$A$4:$A$503,100))=0,"",INDEX('Aides'!$A$4:$A$503,100))</f>
        <v/>
      </c>
      <c r="E103">
        <f>IF(ISNUMBER(INDEX('Aides'!$I$4:$I$503,100)),TEXT(INDEX('Aides'!$I$4:$I$503,100),"yyyy-mm-dd"),"")</f>
        <v/>
      </c>
      <c r="F103">
        <f>"Certification"</f>
        <v/>
      </c>
      <c r="G103">
        <f>"High"</f>
        <v/>
      </c>
      <c r="H103">
        <f>TRIM(IF(LEN(IF(LEN(INDEX('Aides'!$D$4:$D$503,100))=0,"",INDEX('Aides'!$D$4:$D$503,100)))=0,"","Registry no.: "&amp;IF(LEN(INDEX('Aides'!$D$4:$D$503,100))=0,"",INDEX('Aides'!$D$4:$D$503,100))&amp;". ")&amp;IF(LEN(IF(ISNUMBER(INDEX('Aides'!$F$4:$F$503,100)),TEXT(INDEX('Aides'!$F$4:$F$503,100),"yyyy-mm-dd"),""))=0,"","Registry expiry: "&amp;IF(ISNUMBER(INDEX('Aides'!$F$4:$F$503,100)),TEXT(INDEX('Aides'!$F$4:$F$503,100),"yyyy-mm-dd"),"")&amp;". ")&amp;IF(LEN(IF(ISNUMBER(INDEX('Aides'!$G$4:$G$503,100)),TEXT(INDEX('Aides'!$G$4:$G$503,100),"yyyy-mm-dd"),""))=0,"","Last paid nursing work: "&amp;IF(ISNUMBER(INDEX('Aides'!$G$4:$G$503,100)),TEXT(INDEX('Aides'!$G$4:$G$503,100),"yyyy-mm-dd"),"")&amp;". ")&amp;IF(LEN(IF(ISNUMBER(INDEX('Aides'!$H$4:$H$503,100)),TEXT(INDEX('Aides'!$H$4:$H$503,100),"yyyy-mm-dd"),""))=0,"","24-month cut-off: "&amp;IF(ISNUMBER(INDEX('Aides'!$H$4:$H$503,100)),TEXT(INDEX('Aides'!$H$4:$H$503,100),"yyyy-mm-dd"),"")&amp;". ")&amp;IF(LEN(IF(LEN(INDEX('Aides'!$U$4:$U$503,100))=0,"",INDEX('Aides'!$U$4:$U$503,100)))=0,"","Owner: "&amp;IF(LEN(INDEX('Aides'!$U$4:$U$503,100))=0,"",INDEX('Aides'!$U$4:$U$503,100))&amp;". ")&amp;IF(LEN(IF(LEN(INDEX('Aides'!$X$4:$X$503,100))=0,"",INDEX('Aides'!$X$4:$X$503,100)))=0,"",IF(LEN(INDEX('Aides'!$X$4:$X$503,100))=0,"",INDEX('Aides'!$X$4:$X$503,100))))</f>
        <v/>
      </c>
      <c r="I103">
        <f>IF(LEN(INDEX('Aides'!$W$4:$W$503,100))=0,"",INDEX('Aides'!$W$4:$W$503,100))</f>
        <v/>
      </c>
      <c r="J103">
        <f>IF(LEN(INDEX('Aides'!$V$4:$V$503,100))=0,"",INDEX('Aides'!$V$4:$V$503,100))</f>
        <v/>
      </c>
    </row>
    <row r="104">
      <c r="A104">
        <f>IF(AND(LEN('Aides'!A104)&gt;0,ISNUMBER('Aides'!I104)),1,0)</f>
        <v/>
      </c>
      <c r="B104">
        <f>B103+A104</f>
        <v/>
      </c>
      <c r="C104">
        <f>IF(101&gt;$B$1503,"",MATCH(101-0.5,$B$3:$B$1503,1))</f>
        <v/>
      </c>
      <c r="D104">
        <f>"CNA certification ("&amp;IF(LEN(INDEX('Aides'!$C$4:$C$503,101))=0,"",INDEX('Aides'!$C$4:$C$503,101))&amp;") – "&amp;IF(LEN(INDEX('Aides'!$A$4:$A$503,101))=0,"",INDEX('Aides'!$A$4:$A$503,101))</f>
        <v/>
      </c>
      <c r="E104">
        <f>IF(ISNUMBER(INDEX('Aides'!$I$4:$I$503,101)),TEXT(INDEX('Aides'!$I$4:$I$503,101),"yyyy-mm-dd"),"")</f>
        <v/>
      </c>
      <c r="F104">
        <f>"Certification"</f>
        <v/>
      </c>
      <c r="G104">
        <f>"High"</f>
        <v/>
      </c>
      <c r="H104">
        <f>TRIM(IF(LEN(IF(LEN(INDEX('Aides'!$D$4:$D$503,101))=0,"",INDEX('Aides'!$D$4:$D$503,101)))=0,"","Registry no.: "&amp;IF(LEN(INDEX('Aides'!$D$4:$D$503,101))=0,"",INDEX('Aides'!$D$4:$D$503,101))&amp;". ")&amp;IF(LEN(IF(ISNUMBER(INDEX('Aides'!$F$4:$F$503,101)),TEXT(INDEX('Aides'!$F$4:$F$503,101),"yyyy-mm-dd"),""))=0,"","Registry expiry: "&amp;IF(ISNUMBER(INDEX('Aides'!$F$4:$F$503,101)),TEXT(INDEX('Aides'!$F$4:$F$503,101),"yyyy-mm-dd"),"")&amp;". ")&amp;IF(LEN(IF(ISNUMBER(INDEX('Aides'!$G$4:$G$503,101)),TEXT(INDEX('Aides'!$G$4:$G$503,101),"yyyy-mm-dd"),""))=0,"","Last paid nursing work: "&amp;IF(ISNUMBER(INDEX('Aides'!$G$4:$G$503,101)),TEXT(INDEX('Aides'!$G$4:$G$503,101),"yyyy-mm-dd"),"")&amp;". ")&amp;IF(LEN(IF(ISNUMBER(INDEX('Aides'!$H$4:$H$503,101)),TEXT(INDEX('Aides'!$H$4:$H$503,101),"yyyy-mm-dd"),""))=0,"","24-month cut-off: "&amp;IF(ISNUMBER(INDEX('Aides'!$H$4:$H$503,101)),TEXT(INDEX('Aides'!$H$4:$H$503,101),"yyyy-mm-dd"),"")&amp;". ")&amp;IF(LEN(IF(LEN(INDEX('Aides'!$U$4:$U$503,101))=0,"",INDEX('Aides'!$U$4:$U$503,101)))=0,"","Owner: "&amp;IF(LEN(INDEX('Aides'!$U$4:$U$503,101))=0,"",INDEX('Aides'!$U$4:$U$503,101))&amp;". ")&amp;IF(LEN(IF(LEN(INDEX('Aides'!$X$4:$X$503,101))=0,"",INDEX('Aides'!$X$4:$X$503,101)))=0,"",IF(LEN(INDEX('Aides'!$X$4:$X$503,101))=0,"",INDEX('Aides'!$X$4:$X$503,101))))</f>
        <v/>
      </c>
      <c r="I104">
        <f>IF(LEN(INDEX('Aides'!$W$4:$W$503,101))=0,"",INDEX('Aides'!$W$4:$W$503,101))</f>
        <v/>
      </c>
      <c r="J104">
        <f>IF(LEN(INDEX('Aides'!$V$4:$V$503,101))=0,"",INDEX('Aides'!$V$4:$V$503,101))</f>
        <v/>
      </c>
    </row>
    <row r="105">
      <c r="A105">
        <f>IF(AND(LEN('Aides'!A105)&gt;0,ISNUMBER('Aides'!I105)),1,0)</f>
        <v/>
      </c>
      <c r="B105">
        <f>B104+A105</f>
        <v/>
      </c>
      <c r="C105">
        <f>IF(102&gt;$B$1503,"",MATCH(102-0.5,$B$3:$B$1503,1))</f>
        <v/>
      </c>
      <c r="D105">
        <f>"CNA certification ("&amp;IF(LEN(INDEX('Aides'!$C$4:$C$503,102))=0,"",INDEX('Aides'!$C$4:$C$503,102))&amp;") – "&amp;IF(LEN(INDEX('Aides'!$A$4:$A$503,102))=0,"",INDEX('Aides'!$A$4:$A$503,102))</f>
        <v/>
      </c>
      <c r="E105">
        <f>IF(ISNUMBER(INDEX('Aides'!$I$4:$I$503,102)),TEXT(INDEX('Aides'!$I$4:$I$503,102),"yyyy-mm-dd"),"")</f>
        <v/>
      </c>
      <c r="F105">
        <f>"Certification"</f>
        <v/>
      </c>
      <c r="G105">
        <f>"High"</f>
        <v/>
      </c>
      <c r="H105">
        <f>TRIM(IF(LEN(IF(LEN(INDEX('Aides'!$D$4:$D$503,102))=0,"",INDEX('Aides'!$D$4:$D$503,102)))=0,"","Registry no.: "&amp;IF(LEN(INDEX('Aides'!$D$4:$D$503,102))=0,"",INDEX('Aides'!$D$4:$D$503,102))&amp;". ")&amp;IF(LEN(IF(ISNUMBER(INDEX('Aides'!$F$4:$F$503,102)),TEXT(INDEX('Aides'!$F$4:$F$503,102),"yyyy-mm-dd"),""))=0,"","Registry expiry: "&amp;IF(ISNUMBER(INDEX('Aides'!$F$4:$F$503,102)),TEXT(INDEX('Aides'!$F$4:$F$503,102),"yyyy-mm-dd"),"")&amp;". ")&amp;IF(LEN(IF(ISNUMBER(INDEX('Aides'!$G$4:$G$503,102)),TEXT(INDEX('Aides'!$G$4:$G$503,102),"yyyy-mm-dd"),""))=0,"","Last paid nursing work: "&amp;IF(ISNUMBER(INDEX('Aides'!$G$4:$G$503,102)),TEXT(INDEX('Aides'!$G$4:$G$503,102),"yyyy-mm-dd"),"")&amp;". ")&amp;IF(LEN(IF(ISNUMBER(INDEX('Aides'!$H$4:$H$503,102)),TEXT(INDEX('Aides'!$H$4:$H$503,102),"yyyy-mm-dd"),""))=0,"","24-month cut-off: "&amp;IF(ISNUMBER(INDEX('Aides'!$H$4:$H$503,102)),TEXT(INDEX('Aides'!$H$4:$H$503,102),"yyyy-mm-dd"),"")&amp;". ")&amp;IF(LEN(IF(LEN(INDEX('Aides'!$U$4:$U$503,102))=0,"",INDEX('Aides'!$U$4:$U$503,102)))=0,"","Owner: "&amp;IF(LEN(INDEX('Aides'!$U$4:$U$503,102))=0,"",INDEX('Aides'!$U$4:$U$503,102))&amp;". ")&amp;IF(LEN(IF(LEN(INDEX('Aides'!$X$4:$X$503,102))=0,"",INDEX('Aides'!$X$4:$X$503,102)))=0,"",IF(LEN(INDEX('Aides'!$X$4:$X$503,102))=0,"",INDEX('Aides'!$X$4:$X$503,102))))</f>
        <v/>
      </c>
      <c r="I105">
        <f>IF(LEN(INDEX('Aides'!$W$4:$W$503,102))=0,"",INDEX('Aides'!$W$4:$W$503,102))</f>
        <v/>
      </c>
      <c r="J105">
        <f>IF(LEN(INDEX('Aides'!$V$4:$V$503,102))=0,"",INDEX('Aides'!$V$4:$V$503,102))</f>
        <v/>
      </c>
    </row>
    <row r="106">
      <c r="A106">
        <f>IF(AND(LEN('Aides'!A106)&gt;0,ISNUMBER('Aides'!I106)),1,0)</f>
        <v/>
      </c>
      <c r="B106">
        <f>B105+A106</f>
        <v/>
      </c>
      <c r="C106">
        <f>IF(103&gt;$B$1503,"",MATCH(103-0.5,$B$3:$B$1503,1))</f>
        <v/>
      </c>
      <c r="D106">
        <f>"CNA certification ("&amp;IF(LEN(INDEX('Aides'!$C$4:$C$503,103))=0,"",INDEX('Aides'!$C$4:$C$503,103))&amp;") – "&amp;IF(LEN(INDEX('Aides'!$A$4:$A$503,103))=0,"",INDEX('Aides'!$A$4:$A$503,103))</f>
        <v/>
      </c>
      <c r="E106">
        <f>IF(ISNUMBER(INDEX('Aides'!$I$4:$I$503,103)),TEXT(INDEX('Aides'!$I$4:$I$503,103),"yyyy-mm-dd"),"")</f>
        <v/>
      </c>
      <c r="F106">
        <f>"Certification"</f>
        <v/>
      </c>
      <c r="G106">
        <f>"High"</f>
        <v/>
      </c>
      <c r="H106">
        <f>TRIM(IF(LEN(IF(LEN(INDEX('Aides'!$D$4:$D$503,103))=0,"",INDEX('Aides'!$D$4:$D$503,103)))=0,"","Registry no.: "&amp;IF(LEN(INDEX('Aides'!$D$4:$D$503,103))=0,"",INDEX('Aides'!$D$4:$D$503,103))&amp;". ")&amp;IF(LEN(IF(ISNUMBER(INDEX('Aides'!$F$4:$F$503,103)),TEXT(INDEX('Aides'!$F$4:$F$503,103),"yyyy-mm-dd"),""))=0,"","Registry expiry: "&amp;IF(ISNUMBER(INDEX('Aides'!$F$4:$F$503,103)),TEXT(INDEX('Aides'!$F$4:$F$503,103),"yyyy-mm-dd"),"")&amp;". ")&amp;IF(LEN(IF(ISNUMBER(INDEX('Aides'!$G$4:$G$503,103)),TEXT(INDEX('Aides'!$G$4:$G$503,103),"yyyy-mm-dd"),""))=0,"","Last paid nursing work: "&amp;IF(ISNUMBER(INDEX('Aides'!$G$4:$G$503,103)),TEXT(INDEX('Aides'!$G$4:$G$503,103),"yyyy-mm-dd"),"")&amp;". ")&amp;IF(LEN(IF(ISNUMBER(INDEX('Aides'!$H$4:$H$503,103)),TEXT(INDEX('Aides'!$H$4:$H$503,103),"yyyy-mm-dd"),""))=0,"","24-month cut-off: "&amp;IF(ISNUMBER(INDEX('Aides'!$H$4:$H$503,103)),TEXT(INDEX('Aides'!$H$4:$H$503,103),"yyyy-mm-dd"),"")&amp;". ")&amp;IF(LEN(IF(LEN(INDEX('Aides'!$U$4:$U$503,103))=0,"",INDEX('Aides'!$U$4:$U$503,103)))=0,"","Owner: "&amp;IF(LEN(INDEX('Aides'!$U$4:$U$503,103))=0,"",INDEX('Aides'!$U$4:$U$503,103))&amp;". ")&amp;IF(LEN(IF(LEN(INDEX('Aides'!$X$4:$X$503,103))=0,"",INDEX('Aides'!$X$4:$X$503,103)))=0,"",IF(LEN(INDEX('Aides'!$X$4:$X$503,103))=0,"",INDEX('Aides'!$X$4:$X$503,103))))</f>
        <v/>
      </c>
      <c r="I106">
        <f>IF(LEN(INDEX('Aides'!$W$4:$W$503,103))=0,"",INDEX('Aides'!$W$4:$W$503,103))</f>
        <v/>
      </c>
      <c r="J106">
        <f>IF(LEN(INDEX('Aides'!$V$4:$V$503,103))=0,"",INDEX('Aides'!$V$4:$V$503,103))</f>
        <v/>
      </c>
    </row>
    <row r="107">
      <c r="A107">
        <f>IF(AND(LEN('Aides'!A107)&gt;0,ISNUMBER('Aides'!I107)),1,0)</f>
        <v/>
      </c>
      <c r="B107">
        <f>B106+A107</f>
        <v/>
      </c>
      <c r="C107">
        <f>IF(104&gt;$B$1503,"",MATCH(104-0.5,$B$3:$B$1503,1))</f>
        <v/>
      </c>
      <c r="D107">
        <f>"CNA certification ("&amp;IF(LEN(INDEX('Aides'!$C$4:$C$503,104))=0,"",INDEX('Aides'!$C$4:$C$503,104))&amp;") – "&amp;IF(LEN(INDEX('Aides'!$A$4:$A$503,104))=0,"",INDEX('Aides'!$A$4:$A$503,104))</f>
        <v/>
      </c>
      <c r="E107">
        <f>IF(ISNUMBER(INDEX('Aides'!$I$4:$I$503,104)),TEXT(INDEX('Aides'!$I$4:$I$503,104),"yyyy-mm-dd"),"")</f>
        <v/>
      </c>
      <c r="F107">
        <f>"Certification"</f>
        <v/>
      </c>
      <c r="G107">
        <f>"High"</f>
        <v/>
      </c>
      <c r="H107">
        <f>TRIM(IF(LEN(IF(LEN(INDEX('Aides'!$D$4:$D$503,104))=0,"",INDEX('Aides'!$D$4:$D$503,104)))=0,"","Registry no.: "&amp;IF(LEN(INDEX('Aides'!$D$4:$D$503,104))=0,"",INDEX('Aides'!$D$4:$D$503,104))&amp;". ")&amp;IF(LEN(IF(ISNUMBER(INDEX('Aides'!$F$4:$F$503,104)),TEXT(INDEX('Aides'!$F$4:$F$503,104),"yyyy-mm-dd"),""))=0,"","Registry expiry: "&amp;IF(ISNUMBER(INDEX('Aides'!$F$4:$F$503,104)),TEXT(INDEX('Aides'!$F$4:$F$503,104),"yyyy-mm-dd"),"")&amp;". ")&amp;IF(LEN(IF(ISNUMBER(INDEX('Aides'!$G$4:$G$503,104)),TEXT(INDEX('Aides'!$G$4:$G$503,104),"yyyy-mm-dd"),""))=0,"","Last paid nursing work: "&amp;IF(ISNUMBER(INDEX('Aides'!$G$4:$G$503,104)),TEXT(INDEX('Aides'!$G$4:$G$503,104),"yyyy-mm-dd"),"")&amp;". ")&amp;IF(LEN(IF(ISNUMBER(INDEX('Aides'!$H$4:$H$503,104)),TEXT(INDEX('Aides'!$H$4:$H$503,104),"yyyy-mm-dd"),""))=0,"","24-month cut-off: "&amp;IF(ISNUMBER(INDEX('Aides'!$H$4:$H$503,104)),TEXT(INDEX('Aides'!$H$4:$H$503,104),"yyyy-mm-dd"),"")&amp;". ")&amp;IF(LEN(IF(LEN(INDEX('Aides'!$U$4:$U$503,104))=0,"",INDEX('Aides'!$U$4:$U$503,104)))=0,"","Owner: "&amp;IF(LEN(INDEX('Aides'!$U$4:$U$503,104))=0,"",INDEX('Aides'!$U$4:$U$503,104))&amp;". ")&amp;IF(LEN(IF(LEN(INDEX('Aides'!$X$4:$X$503,104))=0,"",INDEX('Aides'!$X$4:$X$503,104)))=0,"",IF(LEN(INDEX('Aides'!$X$4:$X$503,104))=0,"",INDEX('Aides'!$X$4:$X$503,104))))</f>
        <v/>
      </c>
      <c r="I107">
        <f>IF(LEN(INDEX('Aides'!$W$4:$W$503,104))=0,"",INDEX('Aides'!$W$4:$W$503,104))</f>
        <v/>
      </c>
      <c r="J107">
        <f>IF(LEN(INDEX('Aides'!$V$4:$V$503,104))=0,"",INDEX('Aides'!$V$4:$V$503,104))</f>
        <v/>
      </c>
    </row>
    <row r="108">
      <c r="A108">
        <f>IF(AND(LEN('Aides'!A108)&gt;0,ISNUMBER('Aides'!I108)),1,0)</f>
        <v/>
      </c>
      <c r="B108">
        <f>B107+A108</f>
        <v/>
      </c>
      <c r="C108">
        <f>IF(105&gt;$B$1503,"",MATCH(105-0.5,$B$3:$B$1503,1))</f>
        <v/>
      </c>
      <c r="D108">
        <f>"CNA certification ("&amp;IF(LEN(INDEX('Aides'!$C$4:$C$503,105))=0,"",INDEX('Aides'!$C$4:$C$503,105))&amp;") – "&amp;IF(LEN(INDEX('Aides'!$A$4:$A$503,105))=0,"",INDEX('Aides'!$A$4:$A$503,105))</f>
        <v/>
      </c>
      <c r="E108">
        <f>IF(ISNUMBER(INDEX('Aides'!$I$4:$I$503,105)),TEXT(INDEX('Aides'!$I$4:$I$503,105),"yyyy-mm-dd"),"")</f>
        <v/>
      </c>
      <c r="F108">
        <f>"Certification"</f>
        <v/>
      </c>
      <c r="G108">
        <f>"High"</f>
        <v/>
      </c>
      <c r="H108">
        <f>TRIM(IF(LEN(IF(LEN(INDEX('Aides'!$D$4:$D$503,105))=0,"",INDEX('Aides'!$D$4:$D$503,105)))=0,"","Registry no.: "&amp;IF(LEN(INDEX('Aides'!$D$4:$D$503,105))=0,"",INDEX('Aides'!$D$4:$D$503,105))&amp;". ")&amp;IF(LEN(IF(ISNUMBER(INDEX('Aides'!$F$4:$F$503,105)),TEXT(INDEX('Aides'!$F$4:$F$503,105),"yyyy-mm-dd"),""))=0,"","Registry expiry: "&amp;IF(ISNUMBER(INDEX('Aides'!$F$4:$F$503,105)),TEXT(INDEX('Aides'!$F$4:$F$503,105),"yyyy-mm-dd"),"")&amp;". ")&amp;IF(LEN(IF(ISNUMBER(INDEX('Aides'!$G$4:$G$503,105)),TEXT(INDEX('Aides'!$G$4:$G$503,105),"yyyy-mm-dd"),""))=0,"","Last paid nursing work: "&amp;IF(ISNUMBER(INDEX('Aides'!$G$4:$G$503,105)),TEXT(INDEX('Aides'!$G$4:$G$503,105),"yyyy-mm-dd"),"")&amp;". ")&amp;IF(LEN(IF(ISNUMBER(INDEX('Aides'!$H$4:$H$503,105)),TEXT(INDEX('Aides'!$H$4:$H$503,105),"yyyy-mm-dd"),""))=0,"","24-month cut-off: "&amp;IF(ISNUMBER(INDEX('Aides'!$H$4:$H$503,105)),TEXT(INDEX('Aides'!$H$4:$H$503,105),"yyyy-mm-dd"),"")&amp;". ")&amp;IF(LEN(IF(LEN(INDEX('Aides'!$U$4:$U$503,105))=0,"",INDEX('Aides'!$U$4:$U$503,105)))=0,"","Owner: "&amp;IF(LEN(INDEX('Aides'!$U$4:$U$503,105))=0,"",INDEX('Aides'!$U$4:$U$503,105))&amp;". ")&amp;IF(LEN(IF(LEN(INDEX('Aides'!$X$4:$X$503,105))=0,"",INDEX('Aides'!$X$4:$X$503,105)))=0,"",IF(LEN(INDEX('Aides'!$X$4:$X$503,105))=0,"",INDEX('Aides'!$X$4:$X$503,105))))</f>
        <v/>
      </c>
      <c r="I108">
        <f>IF(LEN(INDEX('Aides'!$W$4:$W$503,105))=0,"",INDEX('Aides'!$W$4:$W$503,105))</f>
        <v/>
      </c>
      <c r="J108">
        <f>IF(LEN(INDEX('Aides'!$V$4:$V$503,105))=0,"",INDEX('Aides'!$V$4:$V$503,105))</f>
        <v/>
      </c>
    </row>
    <row r="109">
      <c r="A109">
        <f>IF(AND(LEN('Aides'!A109)&gt;0,ISNUMBER('Aides'!I109)),1,0)</f>
        <v/>
      </c>
      <c r="B109">
        <f>B108+A109</f>
        <v/>
      </c>
      <c r="C109">
        <f>IF(106&gt;$B$1503,"",MATCH(106-0.5,$B$3:$B$1503,1))</f>
        <v/>
      </c>
      <c r="D109">
        <f>"CNA certification ("&amp;IF(LEN(INDEX('Aides'!$C$4:$C$503,106))=0,"",INDEX('Aides'!$C$4:$C$503,106))&amp;") – "&amp;IF(LEN(INDEX('Aides'!$A$4:$A$503,106))=0,"",INDEX('Aides'!$A$4:$A$503,106))</f>
        <v/>
      </c>
      <c r="E109">
        <f>IF(ISNUMBER(INDEX('Aides'!$I$4:$I$503,106)),TEXT(INDEX('Aides'!$I$4:$I$503,106),"yyyy-mm-dd"),"")</f>
        <v/>
      </c>
      <c r="F109">
        <f>"Certification"</f>
        <v/>
      </c>
      <c r="G109">
        <f>"High"</f>
        <v/>
      </c>
      <c r="H109">
        <f>TRIM(IF(LEN(IF(LEN(INDEX('Aides'!$D$4:$D$503,106))=0,"",INDEX('Aides'!$D$4:$D$503,106)))=0,"","Registry no.: "&amp;IF(LEN(INDEX('Aides'!$D$4:$D$503,106))=0,"",INDEX('Aides'!$D$4:$D$503,106))&amp;". ")&amp;IF(LEN(IF(ISNUMBER(INDEX('Aides'!$F$4:$F$503,106)),TEXT(INDEX('Aides'!$F$4:$F$503,106),"yyyy-mm-dd"),""))=0,"","Registry expiry: "&amp;IF(ISNUMBER(INDEX('Aides'!$F$4:$F$503,106)),TEXT(INDEX('Aides'!$F$4:$F$503,106),"yyyy-mm-dd"),"")&amp;". ")&amp;IF(LEN(IF(ISNUMBER(INDEX('Aides'!$G$4:$G$503,106)),TEXT(INDEX('Aides'!$G$4:$G$503,106),"yyyy-mm-dd"),""))=0,"","Last paid nursing work: "&amp;IF(ISNUMBER(INDEX('Aides'!$G$4:$G$503,106)),TEXT(INDEX('Aides'!$G$4:$G$503,106),"yyyy-mm-dd"),"")&amp;". ")&amp;IF(LEN(IF(ISNUMBER(INDEX('Aides'!$H$4:$H$503,106)),TEXT(INDEX('Aides'!$H$4:$H$503,106),"yyyy-mm-dd"),""))=0,"","24-month cut-off: "&amp;IF(ISNUMBER(INDEX('Aides'!$H$4:$H$503,106)),TEXT(INDEX('Aides'!$H$4:$H$503,106),"yyyy-mm-dd"),"")&amp;". ")&amp;IF(LEN(IF(LEN(INDEX('Aides'!$U$4:$U$503,106))=0,"",INDEX('Aides'!$U$4:$U$503,106)))=0,"","Owner: "&amp;IF(LEN(INDEX('Aides'!$U$4:$U$503,106))=0,"",INDEX('Aides'!$U$4:$U$503,106))&amp;". ")&amp;IF(LEN(IF(LEN(INDEX('Aides'!$X$4:$X$503,106))=0,"",INDEX('Aides'!$X$4:$X$503,106)))=0,"",IF(LEN(INDEX('Aides'!$X$4:$X$503,106))=0,"",INDEX('Aides'!$X$4:$X$503,106))))</f>
        <v/>
      </c>
      <c r="I109">
        <f>IF(LEN(INDEX('Aides'!$W$4:$W$503,106))=0,"",INDEX('Aides'!$W$4:$W$503,106))</f>
        <v/>
      </c>
      <c r="J109">
        <f>IF(LEN(INDEX('Aides'!$V$4:$V$503,106))=0,"",INDEX('Aides'!$V$4:$V$503,106))</f>
        <v/>
      </c>
    </row>
    <row r="110">
      <c r="A110">
        <f>IF(AND(LEN('Aides'!A110)&gt;0,ISNUMBER('Aides'!I110)),1,0)</f>
        <v/>
      </c>
      <c r="B110">
        <f>B109+A110</f>
        <v/>
      </c>
      <c r="C110">
        <f>IF(107&gt;$B$1503,"",MATCH(107-0.5,$B$3:$B$1503,1))</f>
        <v/>
      </c>
      <c r="D110">
        <f>"CNA certification ("&amp;IF(LEN(INDEX('Aides'!$C$4:$C$503,107))=0,"",INDEX('Aides'!$C$4:$C$503,107))&amp;") – "&amp;IF(LEN(INDEX('Aides'!$A$4:$A$503,107))=0,"",INDEX('Aides'!$A$4:$A$503,107))</f>
        <v/>
      </c>
      <c r="E110">
        <f>IF(ISNUMBER(INDEX('Aides'!$I$4:$I$503,107)),TEXT(INDEX('Aides'!$I$4:$I$503,107),"yyyy-mm-dd"),"")</f>
        <v/>
      </c>
      <c r="F110">
        <f>"Certification"</f>
        <v/>
      </c>
      <c r="G110">
        <f>"High"</f>
        <v/>
      </c>
      <c r="H110">
        <f>TRIM(IF(LEN(IF(LEN(INDEX('Aides'!$D$4:$D$503,107))=0,"",INDEX('Aides'!$D$4:$D$503,107)))=0,"","Registry no.: "&amp;IF(LEN(INDEX('Aides'!$D$4:$D$503,107))=0,"",INDEX('Aides'!$D$4:$D$503,107))&amp;". ")&amp;IF(LEN(IF(ISNUMBER(INDEX('Aides'!$F$4:$F$503,107)),TEXT(INDEX('Aides'!$F$4:$F$503,107),"yyyy-mm-dd"),""))=0,"","Registry expiry: "&amp;IF(ISNUMBER(INDEX('Aides'!$F$4:$F$503,107)),TEXT(INDEX('Aides'!$F$4:$F$503,107),"yyyy-mm-dd"),"")&amp;". ")&amp;IF(LEN(IF(ISNUMBER(INDEX('Aides'!$G$4:$G$503,107)),TEXT(INDEX('Aides'!$G$4:$G$503,107),"yyyy-mm-dd"),""))=0,"","Last paid nursing work: "&amp;IF(ISNUMBER(INDEX('Aides'!$G$4:$G$503,107)),TEXT(INDEX('Aides'!$G$4:$G$503,107),"yyyy-mm-dd"),"")&amp;". ")&amp;IF(LEN(IF(ISNUMBER(INDEX('Aides'!$H$4:$H$503,107)),TEXT(INDEX('Aides'!$H$4:$H$503,107),"yyyy-mm-dd"),""))=0,"","24-month cut-off: "&amp;IF(ISNUMBER(INDEX('Aides'!$H$4:$H$503,107)),TEXT(INDEX('Aides'!$H$4:$H$503,107),"yyyy-mm-dd"),"")&amp;". ")&amp;IF(LEN(IF(LEN(INDEX('Aides'!$U$4:$U$503,107))=0,"",INDEX('Aides'!$U$4:$U$503,107)))=0,"","Owner: "&amp;IF(LEN(INDEX('Aides'!$U$4:$U$503,107))=0,"",INDEX('Aides'!$U$4:$U$503,107))&amp;". ")&amp;IF(LEN(IF(LEN(INDEX('Aides'!$X$4:$X$503,107))=0,"",INDEX('Aides'!$X$4:$X$503,107)))=0,"",IF(LEN(INDEX('Aides'!$X$4:$X$503,107))=0,"",INDEX('Aides'!$X$4:$X$503,107))))</f>
        <v/>
      </c>
      <c r="I110">
        <f>IF(LEN(INDEX('Aides'!$W$4:$W$503,107))=0,"",INDEX('Aides'!$W$4:$W$503,107))</f>
        <v/>
      </c>
      <c r="J110">
        <f>IF(LEN(INDEX('Aides'!$V$4:$V$503,107))=0,"",INDEX('Aides'!$V$4:$V$503,107))</f>
        <v/>
      </c>
    </row>
    <row r="111">
      <c r="A111">
        <f>IF(AND(LEN('Aides'!A111)&gt;0,ISNUMBER('Aides'!I111)),1,0)</f>
        <v/>
      </c>
      <c r="B111">
        <f>B110+A111</f>
        <v/>
      </c>
      <c r="C111">
        <f>IF(108&gt;$B$1503,"",MATCH(108-0.5,$B$3:$B$1503,1))</f>
        <v/>
      </c>
      <c r="D111">
        <f>"CNA certification ("&amp;IF(LEN(INDEX('Aides'!$C$4:$C$503,108))=0,"",INDEX('Aides'!$C$4:$C$503,108))&amp;") – "&amp;IF(LEN(INDEX('Aides'!$A$4:$A$503,108))=0,"",INDEX('Aides'!$A$4:$A$503,108))</f>
        <v/>
      </c>
      <c r="E111">
        <f>IF(ISNUMBER(INDEX('Aides'!$I$4:$I$503,108)),TEXT(INDEX('Aides'!$I$4:$I$503,108),"yyyy-mm-dd"),"")</f>
        <v/>
      </c>
      <c r="F111">
        <f>"Certification"</f>
        <v/>
      </c>
      <c r="G111">
        <f>"High"</f>
        <v/>
      </c>
      <c r="H111">
        <f>TRIM(IF(LEN(IF(LEN(INDEX('Aides'!$D$4:$D$503,108))=0,"",INDEX('Aides'!$D$4:$D$503,108)))=0,"","Registry no.: "&amp;IF(LEN(INDEX('Aides'!$D$4:$D$503,108))=0,"",INDEX('Aides'!$D$4:$D$503,108))&amp;". ")&amp;IF(LEN(IF(ISNUMBER(INDEX('Aides'!$F$4:$F$503,108)),TEXT(INDEX('Aides'!$F$4:$F$503,108),"yyyy-mm-dd"),""))=0,"","Registry expiry: "&amp;IF(ISNUMBER(INDEX('Aides'!$F$4:$F$503,108)),TEXT(INDEX('Aides'!$F$4:$F$503,108),"yyyy-mm-dd"),"")&amp;". ")&amp;IF(LEN(IF(ISNUMBER(INDEX('Aides'!$G$4:$G$503,108)),TEXT(INDEX('Aides'!$G$4:$G$503,108),"yyyy-mm-dd"),""))=0,"","Last paid nursing work: "&amp;IF(ISNUMBER(INDEX('Aides'!$G$4:$G$503,108)),TEXT(INDEX('Aides'!$G$4:$G$503,108),"yyyy-mm-dd"),"")&amp;". ")&amp;IF(LEN(IF(ISNUMBER(INDEX('Aides'!$H$4:$H$503,108)),TEXT(INDEX('Aides'!$H$4:$H$503,108),"yyyy-mm-dd"),""))=0,"","24-month cut-off: "&amp;IF(ISNUMBER(INDEX('Aides'!$H$4:$H$503,108)),TEXT(INDEX('Aides'!$H$4:$H$503,108),"yyyy-mm-dd"),"")&amp;". ")&amp;IF(LEN(IF(LEN(INDEX('Aides'!$U$4:$U$503,108))=0,"",INDEX('Aides'!$U$4:$U$503,108)))=0,"","Owner: "&amp;IF(LEN(INDEX('Aides'!$U$4:$U$503,108))=0,"",INDEX('Aides'!$U$4:$U$503,108))&amp;". ")&amp;IF(LEN(IF(LEN(INDEX('Aides'!$X$4:$X$503,108))=0,"",INDEX('Aides'!$X$4:$X$503,108)))=0,"",IF(LEN(INDEX('Aides'!$X$4:$X$503,108))=0,"",INDEX('Aides'!$X$4:$X$503,108))))</f>
        <v/>
      </c>
      <c r="I111">
        <f>IF(LEN(INDEX('Aides'!$W$4:$W$503,108))=0,"",INDEX('Aides'!$W$4:$W$503,108))</f>
        <v/>
      </c>
      <c r="J111">
        <f>IF(LEN(INDEX('Aides'!$V$4:$V$503,108))=0,"",INDEX('Aides'!$V$4:$V$503,108))</f>
        <v/>
      </c>
    </row>
    <row r="112">
      <c r="A112">
        <f>IF(AND(LEN('Aides'!A112)&gt;0,ISNUMBER('Aides'!I112)),1,0)</f>
        <v/>
      </c>
      <c r="B112">
        <f>B111+A112</f>
        <v/>
      </c>
      <c r="C112">
        <f>IF(109&gt;$B$1503,"",MATCH(109-0.5,$B$3:$B$1503,1))</f>
        <v/>
      </c>
      <c r="D112">
        <f>"CNA certification ("&amp;IF(LEN(INDEX('Aides'!$C$4:$C$503,109))=0,"",INDEX('Aides'!$C$4:$C$503,109))&amp;") – "&amp;IF(LEN(INDEX('Aides'!$A$4:$A$503,109))=0,"",INDEX('Aides'!$A$4:$A$503,109))</f>
        <v/>
      </c>
      <c r="E112">
        <f>IF(ISNUMBER(INDEX('Aides'!$I$4:$I$503,109)),TEXT(INDEX('Aides'!$I$4:$I$503,109),"yyyy-mm-dd"),"")</f>
        <v/>
      </c>
      <c r="F112">
        <f>"Certification"</f>
        <v/>
      </c>
      <c r="G112">
        <f>"High"</f>
        <v/>
      </c>
      <c r="H112">
        <f>TRIM(IF(LEN(IF(LEN(INDEX('Aides'!$D$4:$D$503,109))=0,"",INDEX('Aides'!$D$4:$D$503,109)))=0,"","Registry no.: "&amp;IF(LEN(INDEX('Aides'!$D$4:$D$503,109))=0,"",INDEX('Aides'!$D$4:$D$503,109))&amp;". ")&amp;IF(LEN(IF(ISNUMBER(INDEX('Aides'!$F$4:$F$503,109)),TEXT(INDEX('Aides'!$F$4:$F$503,109),"yyyy-mm-dd"),""))=0,"","Registry expiry: "&amp;IF(ISNUMBER(INDEX('Aides'!$F$4:$F$503,109)),TEXT(INDEX('Aides'!$F$4:$F$503,109),"yyyy-mm-dd"),"")&amp;". ")&amp;IF(LEN(IF(ISNUMBER(INDEX('Aides'!$G$4:$G$503,109)),TEXT(INDEX('Aides'!$G$4:$G$503,109),"yyyy-mm-dd"),""))=0,"","Last paid nursing work: "&amp;IF(ISNUMBER(INDEX('Aides'!$G$4:$G$503,109)),TEXT(INDEX('Aides'!$G$4:$G$503,109),"yyyy-mm-dd"),"")&amp;". ")&amp;IF(LEN(IF(ISNUMBER(INDEX('Aides'!$H$4:$H$503,109)),TEXT(INDEX('Aides'!$H$4:$H$503,109),"yyyy-mm-dd"),""))=0,"","24-month cut-off: "&amp;IF(ISNUMBER(INDEX('Aides'!$H$4:$H$503,109)),TEXT(INDEX('Aides'!$H$4:$H$503,109),"yyyy-mm-dd"),"")&amp;". ")&amp;IF(LEN(IF(LEN(INDEX('Aides'!$U$4:$U$503,109))=0,"",INDEX('Aides'!$U$4:$U$503,109)))=0,"","Owner: "&amp;IF(LEN(INDEX('Aides'!$U$4:$U$503,109))=0,"",INDEX('Aides'!$U$4:$U$503,109))&amp;". ")&amp;IF(LEN(IF(LEN(INDEX('Aides'!$X$4:$X$503,109))=0,"",INDEX('Aides'!$X$4:$X$503,109)))=0,"",IF(LEN(INDEX('Aides'!$X$4:$X$503,109))=0,"",INDEX('Aides'!$X$4:$X$503,109))))</f>
        <v/>
      </c>
      <c r="I112">
        <f>IF(LEN(INDEX('Aides'!$W$4:$W$503,109))=0,"",INDEX('Aides'!$W$4:$W$503,109))</f>
        <v/>
      </c>
      <c r="J112">
        <f>IF(LEN(INDEX('Aides'!$V$4:$V$503,109))=0,"",INDEX('Aides'!$V$4:$V$503,109))</f>
        <v/>
      </c>
    </row>
    <row r="113">
      <c r="A113">
        <f>IF(AND(LEN('Aides'!A113)&gt;0,ISNUMBER('Aides'!I113)),1,0)</f>
        <v/>
      </c>
      <c r="B113">
        <f>B112+A113</f>
        <v/>
      </c>
      <c r="C113">
        <f>IF(110&gt;$B$1503,"",MATCH(110-0.5,$B$3:$B$1503,1))</f>
        <v/>
      </c>
      <c r="D113">
        <f>"CNA certification ("&amp;IF(LEN(INDEX('Aides'!$C$4:$C$503,110))=0,"",INDEX('Aides'!$C$4:$C$503,110))&amp;") – "&amp;IF(LEN(INDEX('Aides'!$A$4:$A$503,110))=0,"",INDEX('Aides'!$A$4:$A$503,110))</f>
        <v/>
      </c>
      <c r="E113">
        <f>IF(ISNUMBER(INDEX('Aides'!$I$4:$I$503,110)),TEXT(INDEX('Aides'!$I$4:$I$503,110),"yyyy-mm-dd"),"")</f>
        <v/>
      </c>
      <c r="F113">
        <f>"Certification"</f>
        <v/>
      </c>
      <c r="G113">
        <f>"High"</f>
        <v/>
      </c>
      <c r="H113">
        <f>TRIM(IF(LEN(IF(LEN(INDEX('Aides'!$D$4:$D$503,110))=0,"",INDEX('Aides'!$D$4:$D$503,110)))=0,"","Registry no.: "&amp;IF(LEN(INDEX('Aides'!$D$4:$D$503,110))=0,"",INDEX('Aides'!$D$4:$D$503,110))&amp;". ")&amp;IF(LEN(IF(ISNUMBER(INDEX('Aides'!$F$4:$F$503,110)),TEXT(INDEX('Aides'!$F$4:$F$503,110),"yyyy-mm-dd"),""))=0,"","Registry expiry: "&amp;IF(ISNUMBER(INDEX('Aides'!$F$4:$F$503,110)),TEXT(INDEX('Aides'!$F$4:$F$503,110),"yyyy-mm-dd"),"")&amp;". ")&amp;IF(LEN(IF(ISNUMBER(INDEX('Aides'!$G$4:$G$503,110)),TEXT(INDEX('Aides'!$G$4:$G$503,110),"yyyy-mm-dd"),""))=0,"","Last paid nursing work: "&amp;IF(ISNUMBER(INDEX('Aides'!$G$4:$G$503,110)),TEXT(INDEX('Aides'!$G$4:$G$503,110),"yyyy-mm-dd"),"")&amp;". ")&amp;IF(LEN(IF(ISNUMBER(INDEX('Aides'!$H$4:$H$503,110)),TEXT(INDEX('Aides'!$H$4:$H$503,110),"yyyy-mm-dd"),""))=0,"","24-month cut-off: "&amp;IF(ISNUMBER(INDEX('Aides'!$H$4:$H$503,110)),TEXT(INDEX('Aides'!$H$4:$H$503,110),"yyyy-mm-dd"),"")&amp;". ")&amp;IF(LEN(IF(LEN(INDEX('Aides'!$U$4:$U$503,110))=0,"",INDEX('Aides'!$U$4:$U$503,110)))=0,"","Owner: "&amp;IF(LEN(INDEX('Aides'!$U$4:$U$503,110))=0,"",INDEX('Aides'!$U$4:$U$503,110))&amp;". ")&amp;IF(LEN(IF(LEN(INDEX('Aides'!$X$4:$X$503,110))=0,"",INDEX('Aides'!$X$4:$X$503,110)))=0,"",IF(LEN(INDEX('Aides'!$X$4:$X$503,110))=0,"",INDEX('Aides'!$X$4:$X$503,110))))</f>
        <v/>
      </c>
      <c r="I113">
        <f>IF(LEN(INDEX('Aides'!$W$4:$W$503,110))=0,"",INDEX('Aides'!$W$4:$W$503,110))</f>
        <v/>
      </c>
      <c r="J113">
        <f>IF(LEN(INDEX('Aides'!$V$4:$V$503,110))=0,"",INDEX('Aides'!$V$4:$V$503,110))</f>
        <v/>
      </c>
    </row>
    <row r="114">
      <c r="A114">
        <f>IF(AND(LEN('Aides'!A114)&gt;0,ISNUMBER('Aides'!I114)),1,0)</f>
        <v/>
      </c>
      <c r="B114">
        <f>B113+A114</f>
        <v/>
      </c>
      <c r="C114">
        <f>IF(111&gt;$B$1503,"",MATCH(111-0.5,$B$3:$B$1503,1))</f>
        <v/>
      </c>
      <c r="D114">
        <f>"CNA certification ("&amp;IF(LEN(INDEX('Aides'!$C$4:$C$503,111))=0,"",INDEX('Aides'!$C$4:$C$503,111))&amp;") – "&amp;IF(LEN(INDEX('Aides'!$A$4:$A$503,111))=0,"",INDEX('Aides'!$A$4:$A$503,111))</f>
        <v/>
      </c>
      <c r="E114">
        <f>IF(ISNUMBER(INDEX('Aides'!$I$4:$I$503,111)),TEXT(INDEX('Aides'!$I$4:$I$503,111),"yyyy-mm-dd"),"")</f>
        <v/>
      </c>
      <c r="F114">
        <f>"Certification"</f>
        <v/>
      </c>
      <c r="G114">
        <f>"High"</f>
        <v/>
      </c>
      <c r="H114">
        <f>TRIM(IF(LEN(IF(LEN(INDEX('Aides'!$D$4:$D$503,111))=0,"",INDEX('Aides'!$D$4:$D$503,111)))=0,"","Registry no.: "&amp;IF(LEN(INDEX('Aides'!$D$4:$D$503,111))=0,"",INDEX('Aides'!$D$4:$D$503,111))&amp;". ")&amp;IF(LEN(IF(ISNUMBER(INDEX('Aides'!$F$4:$F$503,111)),TEXT(INDEX('Aides'!$F$4:$F$503,111),"yyyy-mm-dd"),""))=0,"","Registry expiry: "&amp;IF(ISNUMBER(INDEX('Aides'!$F$4:$F$503,111)),TEXT(INDEX('Aides'!$F$4:$F$503,111),"yyyy-mm-dd"),"")&amp;". ")&amp;IF(LEN(IF(ISNUMBER(INDEX('Aides'!$G$4:$G$503,111)),TEXT(INDEX('Aides'!$G$4:$G$503,111),"yyyy-mm-dd"),""))=0,"","Last paid nursing work: "&amp;IF(ISNUMBER(INDEX('Aides'!$G$4:$G$503,111)),TEXT(INDEX('Aides'!$G$4:$G$503,111),"yyyy-mm-dd"),"")&amp;". ")&amp;IF(LEN(IF(ISNUMBER(INDEX('Aides'!$H$4:$H$503,111)),TEXT(INDEX('Aides'!$H$4:$H$503,111),"yyyy-mm-dd"),""))=0,"","24-month cut-off: "&amp;IF(ISNUMBER(INDEX('Aides'!$H$4:$H$503,111)),TEXT(INDEX('Aides'!$H$4:$H$503,111),"yyyy-mm-dd"),"")&amp;". ")&amp;IF(LEN(IF(LEN(INDEX('Aides'!$U$4:$U$503,111))=0,"",INDEX('Aides'!$U$4:$U$503,111)))=0,"","Owner: "&amp;IF(LEN(INDEX('Aides'!$U$4:$U$503,111))=0,"",INDEX('Aides'!$U$4:$U$503,111))&amp;". ")&amp;IF(LEN(IF(LEN(INDEX('Aides'!$X$4:$X$503,111))=0,"",INDEX('Aides'!$X$4:$X$503,111)))=0,"",IF(LEN(INDEX('Aides'!$X$4:$X$503,111))=0,"",INDEX('Aides'!$X$4:$X$503,111))))</f>
        <v/>
      </c>
      <c r="I114">
        <f>IF(LEN(INDEX('Aides'!$W$4:$W$503,111))=0,"",INDEX('Aides'!$W$4:$W$503,111))</f>
        <v/>
      </c>
      <c r="J114">
        <f>IF(LEN(INDEX('Aides'!$V$4:$V$503,111))=0,"",INDEX('Aides'!$V$4:$V$503,111))</f>
        <v/>
      </c>
    </row>
    <row r="115">
      <c r="A115">
        <f>IF(AND(LEN('Aides'!A115)&gt;0,ISNUMBER('Aides'!I115)),1,0)</f>
        <v/>
      </c>
      <c r="B115">
        <f>B114+A115</f>
        <v/>
      </c>
      <c r="C115">
        <f>IF(112&gt;$B$1503,"",MATCH(112-0.5,$B$3:$B$1503,1))</f>
        <v/>
      </c>
      <c r="D115">
        <f>"CNA certification ("&amp;IF(LEN(INDEX('Aides'!$C$4:$C$503,112))=0,"",INDEX('Aides'!$C$4:$C$503,112))&amp;") – "&amp;IF(LEN(INDEX('Aides'!$A$4:$A$503,112))=0,"",INDEX('Aides'!$A$4:$A$503,112))</f>
        <v/>
      </c>
      <c r="E115">
        <f>IF(ISNUMBER(INDEX('Aides'!$I$4:$I$503,112)),TEXT(INDEX('Aides'!$I$4:$I$503,112),"yyyy-mm-dd"),"")</f>
        <v/>
      </c>
      <c r="F115">
        <f>"Certification"</f>
        <v/>
      </c>
      <c r="G115">
        <f>"High"</f>
        <v/>
      </c>
      <c r="H115">
        <f>TRIM(IF(LEN(IF(LEN(INDEX('Aides'!$D$4:$D$503,112))=0,"",INDEX('Aides'!$D$4:$D$503,112)))=0,"","Registry no.: "&amp;IF(LEN(INDEX('Aides'!$D$4:$D$503,112))=0,"",INDEX('Aides'!$D$4:$D$503,112))&amp;". ")&amp;IF(LEN(IF(ISNUMBER(INDEX('Aides'!$F$4:$F$503,112)),TEXT(INDEX('Aides'!$F$4:$F$503,112),"yyyy-mm-dd"),""))=0,"","Registry expiry: "&amp;IF(ISNUMBER(INDEX('Aides'!$F$4:$F$503,112)),TEXT(INDEX('Aides'!$F$4:$F$503,112),"yyyy-mm-dd"),"")&amp;". ")&amp;IF(LEN(IF(ISNUMBER(INDEX('Aides'!$G$4:$G$503,112)),TEXT(INDEX('Aides'!$G$4:$G$503,112),"yyyy-mm-dd"),""))=0,"","Last paid nursing work: "&amp;IF(ISNUMBER(INDEX('Aides'!$G$4:$G$503,112)),TEXT(INDEX('Aides'!$G$4:$G$503,112),"yyyy-mm-dd"),"")&amp;". ")&amp;IF(LEN(IF(ISNUMBER(INDEX('Aides'!$H$4:$H$503,112)),TEXT(INDEX('Aides'!$H$4:$H$503,112),"yyyy-mm-dd"),""))=0,"","24-month cut-off: "&amp;IF(ISNUMBER(INDEX('Aides'!$H$4:$H$503,112)),TEXT(INDEX('Aides'!$H$4:$H$503,112),"yyyy-mm-dd"),"")&amp;". ")&amp;IF(LEN(IF(LEN(INDEX('Aides'!$U$4:$U$503,112))=0,"",INDEX('Aides'!$U$4:$U$503,112)))=0,"","Owner: "&amp;IF(LEN(INDEX('Aides'!$U$4:$U$503,112))=0,"",INDEX('Aides'!$U$4:$U$503,112))&amp;". ")&amp;IF(LEN(IF(LEN(INDEX('Aides'!$X$4:$X$503,112))=0,"",INDEX('Aides'!$X$4:$X$503,112)))=0,"",IF(LEN(INDEX('Aides'!$X$4:$X$503,112))=0,"",INDEX('Aides'!$X$4:$X$503,112))))</f>
        <v/>
      </c>
      <c r="I115">
        <f>IF(LEN(INDEX('Aides'!$W$4:$W$503,112))=0,"",INDEX('Aides'!$W$4:$W$503,112))</f>
        <v/>
      </c>
      <c r="J115">
        <f>IF(LEN(INDEX('Aides'!$V$4:$V$503,112))=0,"",INDEX('Aides'!$V$4:$V$503,112))</f>
        <v/>
      </c>
    </row>
    <row r="116">
      <c r="A116">
        <f>IF(AND(LEN('Aides'!A116)&gt;0,ISNUMBER('Aides'!I116)),1,0)</f>
        <v/>
      </c>
      <c r="B116">
        <f>B115+A116</f>
        <v/>
      </c>
      <c r="C116">
        <f>IF(113&gt;$B$1503,"",MATCH(113-0.5,$B$3:$B$1503,1))</f>
        <v/>
      </c>
      <c r="D116">
        <f>"CNA certification ("&amp;IF(LEN(INDEX('Aides'!$C$4:$C$503,113))=0,"",INDEX('Aides'!$C$4:$C$503,113))&amp;") – "&amp;IF(LEN(INDEX('Aides'!$A$4:$A$503,113))=0,"",INDEX('Aides'!$A$4:$A$503,113))</f>
        <v/>
      </c>
      <c r="E116">
        <f>IF(ISNUMBER(INDEX('Aides'!$I$4:$I$503,113)),TEXT(INDEX('Aides'!$I$4:$I$503,113),"yyyy-mm-dd"),"")</f>
        <v/>
      </c>
      <c r="F116">
        <f>"Certification"</f>
        <v/>
      </c>
      <c r="G116">
        <f>"High"</f>
        <v/>
      </c>
      <c r="H116">
        <f>TRIM(IF(LEN(IF(LEN(INDEX('Aides'!$D$4:$D$503,113))=0,"",INDEX('Aides'!$D$4:$D$503,113)))=0,"","Registry no.: "&amp;IF(LEN(INDEX('Aides'!$D$4:$D$503,113))=0,"",INDEX('Aides'!$D$4:$D$503,113))&amp;". ")&amp;IF(LEN(IF(ISNUMBER(INDEX('Aides'!$F$4:$F$503,113)),TEXT(INDEX('Aides'!$F$4:$F$503,113),"yyyy-mm-dd"),""))=0,"","Registry expiry: "&amp;IF(ISNUMBER(INDEX('Aides'!$F$4:$F$503,113)),TEXT(INDEX('Aides'!$F$4:$F$503,113),"yyyy-mm-dd"),"")&amp;". ")&amp;IF(LEN(IF(ISNUMBER(INDEX('Aides'!$G$4:$G$503,113)),TEXT(INDEX('Aides'!$G$4:$G$503,113),"yyyy-mm-dd"),""))=0,"","Last paid nursing work: "&amp;IF(ISNUMBER(INDEX('Aides'!$G$4:$G$503,113)),TEXT(INDEX('Aides'!$G$4:$G$503,113),"yyyy-mm-dd"),"")&amp;". ")&amp;IF(LEN(IF(ISNUMBER(INDEX('Aides'!$H$4:$H$503,113)),TEXT(INDEX('Aides'!$H$4:$H$503,113),"yyyy-mm-dd"),""))=0,"","24-month cut-off: "&amp;IF(ISNUMBER(INDEX('Aides'!$H$4:$H$503,113)),TEXT(INDEX('Aides'!$H$4:$H$503,113),"yyyy-mm-dd"),"")&amp;". ")&amp;IF(LEN(IF(LEN(INDEX('Aides'!$U$4:$U$503,113))=0,"",INDEX('Aides'!$U$4:$U$503,113)))=0,"","Owner: "&amp;IF(LEN(INDEX('Aides'!$U$4:$U$503,113))=0,"",INDEX('Aides'!$U$4:$U$503,113))&amp;". ")&amp;IF(LEN(IF(LEN(INDEX('Aides'!$X$4:$X$503,113))=0,"",INDEX('Aides'!$X$4:$X$503,113)))=0,"",IF(LEN(INDEX('Aides'!$X$4:$X$503,113))=0,"",INDEX('Aides'!$X$4:$X$503,113))))</f>
        <v/>
      </c>
      <c r="I116">
        <f>IF(LEN(INDEX('Aides'!$W$4:$W$503,113))=0,"",INDEX('Aides'!$W$4:$W$503,113))</f>
        <v/>
      </c>
      <c r="J116">
        <f>IF(LEN(INDEX('Aides'!$V$4:$V$503,113))=0,"",INDEX('Aides'!$V$4:$V$503,113))</f>
        <v/>
      </c>
    </row>
    <row r="117">
      <c r="A117">
        <f>IF(AND(LEN('Aides'!A117)&gt;0,ISNUMBER('Aides'!I117)),1,0)</f>
        <v/>
      </c>
      <c r="B117">
        <f>B116+A117</f>
        <v/>
      </c>
      <c r="C117">
        <f>IF(114&gt;$B$1503,"",MATCH(114-0.5,$B$3:$B$1503,1))</f>
        <v/>
      </c>
      <c r="D117">
        <f>"CNA certification ("&amp;IF(LEN(INDEX('Aides'!$C$4:$C$503,114))=0,"",INDEX('Aides'!$C$4:$C$503,114))&amp;") – "&amp;IF(LEN(INDEX('Aides'!$A$4:$A$503,114))=0,"",INDEX('Aides'!$A$4:$A$503,114))</f>
        <v/>
      </c>
      <c r="E117">
        <f>IF(ISNUMBER(INDEX('Aides'!$I$4:$I$503,114)),TEXT(INDEX('Aides'!$I$4:$I$503,114),"yyyy-mm-dd"),"")</f>
        <v/>
      </c>
      <c r="F117">
        <f>"Certification"</f>
        <v/>
      </c>
      <c r="G117">
        <f>"High"</f>
        <v/>
      </c>
      <c r="H117">
        <f>TRIM(IF(LEN(IF(LEN(INDEX('Aides'!$D$4:$D$503,114))=0,"",INDEX('Aides'!$D$4:$D$503,114)))=0,"","Registry no.: "&amp;IF(LEN(INDEX('Aides'!$D$4:$D$503,114))=0,"",INDEX('Aides'!$D$4:$D$503,114))&amp;". ")&amp;IF(LEN(IF(ISNUMBER(INDEX('Aides'!$F$4:$F$503,114)),TEXT(INDEX('Aides'!$F$4:$F$503,114),"yyyy-mm-dd"),""))=0,"","Registry expiry: "&amp;IF(ISNUMBER(INDEX('Aides'!$F$4:$F$503,114)),TEXT(INDEX('Aides'!$F$4:$F$503,114),"yyyy-mm-dd"),"")&amp;". ")&amp;IF(LEN(IF(ISNUMBER(INDEX('Aides'!$G$4:$G$503,114)),TEXT(INDEX('Aides'!$G$4:$G$503,114),"yyyy-mm-dd"),""))=0,"","Last paid nursing work: "&amp;IF(ISNUMBER(INDEX('Aides'!$G$4:$G$503,114)),TEXT(INDEX('Aides'!$G$4:$G$503,114),"yyyy-mm-dd"),"")&amp;". ")&amp;IF(LEN(IF(ISNUMBER(INDEX('Aides'!$H$4:$H$503,114)),TEXT(INDEX('Aides'!$H$4:$H$503,114),"yyyy-mm-dd"),""))=0,"","24-month cut-off: "&amp;IF(ISNUMBER(INDEX('Aides'!$H$4:$H$503,114)),TEXT(INDEX('Aides'!$H$4:$H$503,114),"yyyy-mm-dd"),"")&amp;". ")&amp;IF(LEN(IF(LEN(INDEX('Aides'!$U$4:$U$503,114))=0,"",INDEX('Aides'!$U$4:$U$503,114)))=0,"","Owner: "&amp;IF(LEN(INDEX('Aides'!$U$4:$U$503,114))=0,"",INDEX('Aides'!$U$4:$U$503,114))&amp;". ")&amp;IF(LEN(IF(LEN(INDEX('Aides'!$X$4:$X$503,114))=0,"",INDEX('Aides'!$X$4:$X$503,114)))=0,"",IF(LEN(INDEX('Aides'!$X$4:$X$503,114))=0,"",INDEX('Aides'!$X$4:$X$503,114))))</f>
        <v/>
      </c>
      <c r="I117">
        <f>IF(LEN(INDEX('Aides'!$W$4:$W$503,114))=0,"",INDEX('Aides'!$W$4:$W$503,114))</f>
        <v/>
      </c>
      <c r="J117">
        <f>IF(LEN(INDEX('Aides'!$V$4:$V$503,114))=0,"",INDEX('Aides'!$V$4:$V$503,114))</f>
        <v/>
      </c>
    </row>
    <row r="118">
      <c r="A118">
        <f>IF(AND(LEN('Aides'!A118)&gt;0,ISNUMBER('Aides'!I118)),1,0)</f>
        <v/>
      </c>
      <c r="B118">
        <f>B117+A118</f>
        <v/>
      </c>
      <c r="C118">
        <f>IF(115&gt;$B$1503,"",MATCH(115-0.5,$B$3:$B$1503,1))</f>
        <v/>
      </c>
      <c r="D118">
        <f>"CNA certification ("&amp;IF(LEN(INDEX('Aides'!$C$4:$C$503,115))=0,"",INDEX('Aides'!$C$4:$C$503,115))&amp;") – "&amp;IF(LEN(INDEX('Aides'!$A$4:$A$503,115))=0,"",INDEX('Aides'!$A$4:$A$503,115))</f>
        <v/>
      </c>
      <c r="E118">
        <f>IF(ISNUMBER(INDEX('Aides'!$I$4:$I$503,115)),TEXT(INDEX('Aides'!$I$4:$I$503,115),"yyyy-mm-dd"),"")</f>
        <v/>
      </c>
      <c r="F118">
        <f>"Certification"</f>
        <v/>
      </c>
      <c r="G118">
        <f>"High"</f>
        <v/>
      </c>
      <c r="H118">
        <f>TRIM(IF(LEN(IF(LEN(INDEX('Aides'!$D$4:$D$503,115))=0,"",INDEX('Aides'!$D$4:$D$503,115)))=0,"","Registry no.: "&amp;IF(LEN(INDEX('Aides'!$D$4:$D$503,115))=0,"",INDEX('Aides'!$D$4:$D$503,115))&amp;". ")&amp;IF(LEN(IF(ISNUMBER(INDEX('Aides'!$F$4:$F$503,115)),TEXT(INDEX('Aides'!$F$4:$F$503,115),"yyyy-mm-dd"),""))=0,"","Registry expiry: "&amp;IF(ISNUMBER(INDEX('Aides'!$F$4:$F$503,115)),TEXT(INDEX('Aides'!$F$4:$F$503,115),"yyyy-mm-dd"),"")&amp;". ")&amp;IF(LEN(IF(ISNUMBER(INDEX('Aides'!$G$4:$G$503,115)),TEXT(INDEX('Aides'!$G$4:$G$503,115),"yyyy-mm-dd"),""))=0,"","Last paid nursing work: "&amp;IF(ISNUMBER(INDEX('Aides'!$G$4:$G$503,115)),TEXT(INDEX('Aides'!$G$4:$G$503,115),"yyyy-mm-dd"),"")&amp;". ")&amp;IF(LEN(IF(ISNUMBER(INDEX('Aides'!$H$4:$H$503,115)),TEXT(INDEX('Aides'!$H$4:$H$503,115),"yyyy-mm-dd"),""))=0,"","24-month cut-off: "&amp;IF(ISNUMBER(INDEX('Aides'!$H$4:$H$503,115)),TEXT(INDEX('Aides'!$H$4:$H$503,115),"yyyy-mm-dd"),"")&amp;". ")&amp;IF(LEN(IF(LEN(INDEX('Aides'!$U$4:$U$503,115))=0,"",INDEX('Aides'!$U$4:$U$503,115)))=0,"","Owner: "&amp;IF(LEN(INDEX('Aides'!$U$4:$U$503,115))=0,"",INDEX('Aides'!$U$4:$U$503,115))&amp;". ")&amp;IF(LEN(IF(LEN(INDEX('Aides'!$X$4:$X$503,115))=0,"",INDEX('Aides'!$X$4:$X$503,115)))=0,"",IF(LEN(INDEX('Aides'!$X$4:$X$503,115))=0,"",INDEX('Aides'!$X$4:$X$503,115))))</f>
        <v/>
      </c>
      <c r="I118">
        <f>IF(LEN(INDEX('Aides'!$W$4:$W$503,115))=0,"",INDEX('Aides'!$W$4:$W$503,115))</f>
        <v/>
      </c>
      <c r="J118">
        <f>IF(LEN(INDEX('Aides'!$V$4:$V$503,115))=0,"",INDEX('Aides'!$V$4:$V$503,115))</f>
        <v/>
      </c>
    </row>
    <row r="119">
      <c r="A119">
        <f>IF(AND(LEN('Aides'!A119)&gt;0,ISNUMBER('Aides'!I119)),1,0)</f>
        <v/>
      </c>
      <c r="B119">
        <f>B118+A119</f>
        <v/>
      </c>
      <c r="C119">
        <f>IF(116&gt;$B$1503,"",MATCH(116-0.5,$B$3:$B$1503,1))</f>
        <v/>
      </c>
      <c r="D119">
        <f>"CNA certification ("&amp;IF(LEN(INDEX('Aides'!$C$4:$C$503,116))=0,"",INDEX('Aides'!$C$4:$C$503,116))&amp;") – "&amp;IF(LEN(INDEX('Aides'!$A$4:$A$503,116))=0,"",INDEX('Aides'!$A$4:$A$503,116))</f>
        <v/>
      </c>
      <c r="E119">
        <f>IF(ISNUMBER(INDEX('Aides'!$I$4:$I$503,116)),TEXT(INDEX('Aides'!$I$4:$I$503,116),"yyyy-mm-dd"),"")</f>
        <v/>
      </c>
      <c r="F119">
        <f>"Certification"</f>
        <v/>
      </c>
      <c r="G119">
        <f>"High"</f>
        <v/>
      </c>
      <c r="H119">
        <f>TRIM(IF(LEN(IF(LEN(INDEX('Aides'!$D$4:$D$503,116))=0,"",INDEX('Aides'!$D$4:$D$503,116)))=0,"","Registry no.: "&amp;IF(LEN(INDEX('Aides'!$D$4:$D$503,116))=0,"",INDEX('Aides'!$D$4:$D$503,116))&amp;". ")&amp;IF(LEN(IF(ISNUMBER(INDEX('Aides'!$F$4:$F$503,116)),TEXT(INDEX('Aides'!$F$4:$F$503,116),"yyyy-mm-dd"),""))=0,"","Registry expiry: "&amp;IF(ISNUMBER(INDEX('Aides'!$F$4:$F$503,116)),TEXT(INDEX('Aides'!$F$4:$F$503,116),"yyyy-mm-dd"),"")&amp;". ")&amp;IF(LEN(IF(ISNUMBER(INDEX('Aides'!$G$4:$G$503,116)),TEXT(INDEX('Aides'!$G$4:$G$503,116),"yyyy-mm-dd"),""))=0,"","Last paid nursing work: "&amp;IF(ISNUMBER(INDEX('Aides'!$G$4:$G$503,116)),TEXT(INDEX('Aides'!$G$4:$G$503,116),"yyyy-mm-dd"),"")&amp;". ")&amp;IF(LEN(IF(ISNUMBER(INDEX('Aides'!$H$4:$H$503,116)),TEXT(INDEX('Aides'!$H$4:$H$503,116),"yyyy-mm-dd"),""))=0,"","24-month cut-off: "&amp;IF(ISNUMBER(INDEX('Aides'!$H$4:$H$503,116)),TEXT(INDEX('Aides'!$H$4:$H$503,116),"yyyy-mm-dd"),"")&amp;". ")&amp;IF(LEN(IF(LEN(INDEX('Aides'!$U$4:$U$503,116))=0,"",INDEX('Aides'!$U$4:$U$503,116)))=0,"","Owner: "&amp;IF(LEN(INDEX('Aides'!$U$4:$U$503,116))=0,"",INDEX('Aides'!$U$4:$U$503,116))&amp;". ")&amp;IF(LEN(IF(LEN(INDEX('Aides'!$X$4:$X$503,116))=0,"",INDEX('Aides'!$X$4:$X$503,116)))=0,"",IF(LEN(INDEX('Aides'!$X$4:$X$503,116))=0,"",INDEX('Aides'!$X$4:$X$503,116))))</f>
        <v/>
      </c>
      <c r="I119">
        <f>IF(LEN(INDEX('Aides'!$W$4:$W$503,116))=0,"",INDEX('Aides'!$W$4:$W$503,116))</f>
        <v/>
      </c>
      <c r="J119">
        <f>IF(LEN(INDEX('Aides'!$V$4:$V$503,116))=0,"",INDEX('Aides'!$V$4:$V$503,116))</f>
        <v/>
      </c>
    </row>
    <row r="120">
      <c r="A120">
        <f>IF(AND(LEN('Aides'!A120)&gt;0,ISNUMBER('Aides'!I120)),1,0)</f>
        <v/>
      </c>
      <c r="B120">
        <f>B119+A120</f>
        <v/>
      </c>
      <c r="C120">
        <f>IF(117&gt;$B$1503,"",MATCH(117-0.5,$B$3:$B$1503,1))</f>
        <v/>
      </c>
      <c r="D120">
        <f>"CNA certification ("&amp;IF(LEN(INDEX('Aides'!$C$4:$C$503,117))=0,"",INDEX('Aides'!$C$4:$C$503,117))&amp;") – "&amp;IF(LEN(INDEX('Aides'!$A$4:$A$503,117))=0,"",INDEX('Aides'!$A$4:$A$503,117))</f>
        <v/>
      </c>
      <c r="E120">
        <f>IF(ISNUMBER(INDEX('Aides'!$I$4:$I$503,117)),TEXT(INDEX('Aides'!$I$4:$I$503,117),"yyyy-mm-dd"),"")</f>
        <v/>
      </c>
      <c r="F120">
        <f>"Certification"</f>
        <v/>
      </c>
      <c r="G120">
        <f>"High"</f>
        <v/>
      </c>
      <c r="H120">
        <f>TRIM(IF(LEN(IF(LEN(INDEX('Aides'!$D$4:$D$503,117))=0,"",INDEX('Aides'!$D$4:$D$503,117)))=0,"","Registry no.: "&amp;IF(LEN(INDEX('Aides'!$D$4:$D$503,117))=0,"",INDEX('Aides'!$D$4:$D$503,117))&amp;". ")&amp;IF(LEN(IF(ISNUMBER(INDEX('Aides'!$F$4:$F$503,117)),TEXT(INDEX('Aides'!$F$4:$F$503,117),"yyyy-mm-dd"),""))=0,"","Registry expiry: "&amp;IF(ISNUMBER(INDEX('Aides'!$F$4:$F$503,117)),TEXT(INDEX('Aides'!$F$4:$F$503,117),"yyyy-mm-dd"),"")&amp;". ")&amp;IF(LEN(IF(ISNUMBER(INDEX('Aides'!$G$4:$G$503,117)),TEXT(INDEX('Aides'!$G$4:$G$503,117),"yyyy-mm-dd"),""))=0,"","Last paid nursing work: "&amp;IF(ISNUMBER(INDEX('Aides'!$G$4:$G$503,117)),TEXT(INDEX('Aides'!$G$4:$G$503,117),"yyyy-mm-dd"),"")&amp;". ")&amp;IF(LEN(IF(ISNUMBER(INDEX('Aides'!$H$4:$H$503,117)),TEXT(INDEX('Aides'!$H$4:$H$503,117),"yyyy-mm-dd"),""))=0,"","24-month cut-off: "&amp;IF(ISNUMBER(INDEX('Aides'!$H$4:$H$503,117)),TEXT(INDEX('Aides'!$H$4:$H$503,117),"yyyy-mm-dd"),"")&amp;". ")&amp;IF(LEN(IF(LEN(INDEX('Aides'!$U$4:$U$503,117))=0,"",INDEX('Aides'!$U$4:$U$503,117)))=0,"","Owner: "&amp;IF(LEN(INDEX('Aides'!$U$4:$U$503,117))=0,"",INDEX('Aides'!$U$4:$U$503,117))&amp;". ")&amp;IF(LEN(IF(LEN(INDEX('Aides'!$X$4:$X$503,117))=0,"",INDEX('Aides'!$X$4:$X$503,117)))=0,"",IF(LEN(INDEX('Aides'!$X$4:$X$503,117))=0,"",INDEX('Aides'!$X$4:$X$503,117))))</f>
        <v/>
      </c>
      <c r="I120">
        <f>IF(LEN(INDEX('Aides'!$W$4:$W$503,117))=0,"",INDEX('Aides'!$W$4:$W$503,117))</f>
        <v/>
      </c>
      <c r="J120">
        <f>IF(LEN(INDEX('Aides'!$V$4:$V$503,117))=0,"",INDEX('Aides'!$V$4:$V$503,117))</f>
        <v/>
      </c>
    </row>
    <row r="121">
      <c r="A121">
        <f>IF(AND(LEN('Aides'!A121)&gt;0,ISNUMBER('Aides'!I121)),1,0)</f>
        <v/>
      </c>
      <c r="B121">
        <f>B120+A121</f>
        <v/>
      </c>
      <c r="C121">
        <f>IF(118&gt;$B$1503,"",MATCH(118-0.5,$B$3:$B$1503,1))</f>
        <v/>
      </c>
      <c r="D121">
        <f>"CNA certification ("&amp;IF(LEN(INDEX('Aides'!$C$4:$C$503,118))=0,"",INDEX('Aides'!$C$4:$C$503,118))&amp;") – "&amp;IF(LEN(INDEX('Aides'!$A$4:$A$503,118))=0,"",INDEX('Aides'!$A$4:$A$503,118))</f>
        <v/>
      </c>
      <c r="E121">
        <f>IF(ISNUMBER(INDEX('Aides'!$I$4:$I$503,118)),TEXT(INDEX('Aides'!$I$4:$I$503,118),"yyyy-mm-dd"),"")</f>
        <v/>
      </c>
      <c r="F121">
        <f>"Certification"</f>
        <v/>
      </c>
      <c r="G121">
        <f>"High"</f>
        <v/>
      </c>
      <c r="H121">
        <f>TRIM(IF(LEN(IF(LEN(INDEX('Aides'!$D$4:$D$503,118))=0,"",INDEX('Aides'!$D$4:$D$503,118)))=0,"","Registry no.: "&amp;IF(LEN(INDEX('Aides'!$D$4:$D$503,118))=0,"",INDEX('Aides'!$D$4:$D$503,118))&amp;". ")&amp;IF(LEN(IF(ISNUMBER(INDEX('Aides'!$F$4:$F$503,118)),TEXT(INDEX('Aides'!$F$4:$F$503,118),"yyyy-mm-dd"),""))=0,"","Registry expiry: "&amp;IF(ISNUMBER(INDEX('Aides'!$F$4:$F$503,118)),TEXT(INDEX('Aides'!$F$4:$F$503,118),"yyyy-mm-dd"),"")&amp;". ")&amp;IF(LEN(IF(ISNUMBER(INDEX('Aides'!$G$4:$G$503,118)),TEXT(INDEX('Aides'!$G$4:$G$503,118),"yyyy-mm-dd"),""))=0,"","Last paid nursing work: "&amp;IF(ISNUMBER(INDEX('Aides'!$G$4:$G$503,118)),TEXT(INDEX('Aides'!$G$4:$G$503,118),"yyyy-mm-dd"),"")&amp;". ")&amp;IF(LEN(IF(ISNUMBER(INDEX('Aides'!$H$4:$H$503,118)),TEXT(INDEX('Aides'!$H$4:$H$503,118),"yyyy-mm-dd"),""))=0,"","24-month cut-off: "&amp;IF(ISNUMBER(INDEX('Aides'!$H$4:$H$503,118)),TEXT(INDEX('Aides'!$H$4:$H$503,118),"yyyy-mm-dd"),"")&amp;". ")&amp;IF(LEN(IF(LEN(INDEX('Aides'!$U$4:$U$503,118))=0,"",INDEX('Aides'!$U$4:$U$503,118)))=0,"","Owner: "&amp;IF(LEN(INDEX('Aides'!$U$4:$U$503,118))=0,"",INDEX('Aides'!$U$4:$U$503,118))&amp;". ")&amp;IF(LEN(IF(LEN(INDEX('Aides'!$X$4:$X$503,118))=0,"",INDEX('Aides'!$X$4:$X$503,118)))=0,"",IF(LEN(INDEX('Aides'!$X$4:$X$503,118))=0,"",INDEX('Aides'!$X$4:$X$503,118))))</f>
        <v/>
      </c>
      <c r="I121">
        <f>IF(LEN(INDEX('Aides'!$W$4:$W$503,118))=0,"",INDEX('Aides'!$W$4:$W$503,118))</f>
        <v/>
      </c>
      <c r="J121">
        <f>IF(LEN(INDEX('Aides'!$V$4:$V$503,118))=0,"",INDEX('Aides'!$V$4:$V$503,118))</f>
        <v/>
      </c>
    </row>
    <row r="122">
      <c r="A122">
        <f>IF(AND(LEN('Aides'!A122)&gt;0,ISNUMBER('Aides'!I122)),1,0)</f>
        <v/>
      </c>
      <c r="B122">
        <f>B121+A122</f>
        <v/>
      </c>
      <c r="C122">
        <f>IF(119&gt;$B$1503,"",MATCH(119-0.5,$B$3:$B$1503,1))</f>
        <v/>
      </c>
      <c r="D122">
        <f>"CNA certification ("&amp;IF(LEN(INDEX('Aides'!$C$4:$C$503,119))=0,"",INDEX('Aides'!$C$4:$C$503,119))&amp;") – "&amp;IF(LEN(INDEX('Aides'!$A$4:$A$503,119))=0,"",INDEX('Aides'!$A$4:$A$503,119))</f>
        <v/>
      </c>
      <c r="E122">
        <f>IF(ISNUMBER(INDEX('Aides'!$I$4:$I$503,119)),TEXT(INDEX('Aides'!$I$4:$I$503,119),"yyyy-mm-dd"),"")</f>
        <v/>
      </c>
      <c r="F122">
        <f>"Certification"</f>
        <v/>
      </c>
      <c r="G122">
        <f>"High"</f>
        <v/>
      </c>
      <c r="H122">
        <f>TRIM(IF(LEN(IF(LEN(INDEX('Aides'!$D$4:$D$503,119))=0,"",INDEX('Aides'!$D$4:$D$503,119)))=0,"","Registry no.: "&amp;IF(LEN(INDEX('Aides'!$D$4:$D$503,119))=0,"",INDEX('Aides'!$D$4:$D$503,119))&amp;". ")&amp;IF(LEN(IF(ISNUMBER(INDEX('Aides'!$F$4:$F$503,119)),TEXT(INDEX('Aides'!$F$4:$F$503,119),"yyyy-mm-dd"),""))=0,"","Registry expiry: "&amp;IF(ISNUMBER(INDEX('Aides'!$F$4:$F$503,119)),TEXT(INDEX('Aides'!$F$4:$F$503,119),"yyyy-mm-dd"),"")&amp;". ")&amp;IF(LEN(IF(ISNUMBER(INDEX('Aides'!$G$4:$G$503,119)),TEXT(INDEX('Aides'!$G$4:$G$503,119),"yyyy-mm-dd"),""))=0,"","Last paid nursing work: "&amp;IF(ISNUMBER(INDEX('Aides'!$G$4:$G$503,119)),TEXT(INDEX('Aides'!$G$4:$G$503,119),"yyyy-mm-dd"),"")&amp;". ")&amp;IF(LEN(IF(ISNUMBER(INDEX('Aides'!$H$4:$H$503,119)),TEXT(INDEX('Aides'!$H$4:$H$503,119),"yyyy-mm-dd"),""))=0,"","24-month cut-off: "&amp;IF(ISNUMBER(INDEX('Aides'!$H$4:$H$503,119)),TEXT(INDEX('Aides'!$H$4:$H$503,119),"yyyy-mm-dd"),"")&amp;". ")&amp;IF(LEN(IF(LEN(INDEX('Aides'!$U$4:$U$503,119))=0,"",INDEX('Aides'!$U$4:$U$503,119)))=0,"","Owner: "&amp;IF(LEN(INDEX('Aides'!$U$4:$U$503,119))=0,"",INDEX('Aides'!$U$4:$U$503,119))&amp;". ")&amp;IF(LEN(IF(LEN(INDEX('Aides'!$X$4:$X$503,119))=0,"",INDEX('Aides'!$X$4:$X$503,119)))=0,"",IF(LEN(INDEX('Aides'!$X$4:$X$503,119))=0,"",INDEX('Aides'!$X$4:$X$503,119))))</f>
        <v/>
      </c>
      <c r="I122">
        <f>IF(LEN(INDEX('Aides'!$W$4:$W$503,119))=0,"",INDEX('Aides'!$W$4:$W$503,119))</f>
        <v/>
      </c>
      <c r="J122">
        <f>IF(LEN(INDEX('Aides'!$V$4:$V$503,119))=0,"",INDEX('Aides'!$V$4:$V$503,119))</f>
        <v/>
      </c>
    </row>
    <row r="123">
      <c r="A123">
        <f>IF(AND(LEN('Aides'!A123)&gt;0,ISNUMBER('Aides'!I123)),1,0)</f>
        <v/>
      </c>
      <c r="B123">
        <f>B122+A123</f>
        <v/>
      </c>
      <c r="C123">
        <f>IF(120&gt;$B$1503,"",MATCH(120-0.5,$B$3:$B$1503,1))</f>
        <v/>
      </c>
      <c r="D123">
        <f>"CNA certification ("&amp;IF(LEN(INDEX('Aides'!$C$4:$C$503,120))=0,"",INDEX('Aides'!$C$4:$C$503,120))&amp;") – "&amp;IF(LEN(INDEX('Aides'!$A$4:$A$503,120))=0,"",INDEX('Aides'!$A$4:$A$503,120))</f>
        <v/>
      </c>
      <c r="E123">
        <f>IF(ISNUMBER(INDEX('Aides'!$I$4:$I$503,120)),TEXT(INDEX('Aides'!$I$4:$I$503,120),"yyyy-mm-dd"),"")</f>
        <v/>
      </c>
      <c r="F123">
        <f>"Certification"</f>
        <v/>
      </c>
      <c r="G123">
        <f>"High"</f>
        <v/>
      </c>
      <c r="H123">
        <f>TRIM(IF(LEN(IF(LEN(INDEX('Aides'!$D$4:$D$503,120))=0,"",INDEX('Aides'!$D$4:$D$503,120)))=0,"","Registry no.: "&amp;IF(LEN(INDEX('Aides'!$D$4:$D$503,120))=0,"",INDEX('Aides'!$D$4:$D$503,120))&amp;". ")&amp;IF(LEN(IF(ISNUMBER(INDEX('Aides'!$F$4:$F$503,120)),TEXT(INDEX('Aides'!$F$4:$F$503,120),"yyyy-mm-dd"),""))=0,"","Registry expiry: "&amp;IF(ISNUMBER(INDEX('Aides'!$F$4:$F$503,120)),TEXT(INDEX('Aides'!$F$4:$F$503,120),"yyyy-mm-dd"),"")&amp;". ")&amp;IF(LEN(IF(ISNUMBER(INDEX('Aides'!$G$4:$G$503,120)),TEXT(INDEX('Aides'!$G$4:$G$503,120),"yyyy-mm-dd"),""))=0,"","Last paid nursing work: "&amp;IF(ISNUMBER(INDEX('Aides'!$G$4:$G$503,120)),TEXT(INDEX('Aides'!$G$4:$G$503,120),"yyyy-mm-dd"),"")&amp;". ")&amp;IF(LEN(IF(ISNUMBER(INDEX('Aides'!$H$4:$H$503,120)),TEXT(INDEX('Aides'!$H$4:$H$503,120),"yyyy-mm-dd"),""))=0,"","24-month cut-off: "&amp;IF(ISNUMBER(INDEX('Aides'!$H$4:$H$503,120)),TEXT(INDEX('Aides'!$H$4:$H$503,120),"yyyy-mm-dd"),"")&amp;". ")&amp;IF(LEN(IF(LEN(INDEX('Aides'!$U$4:$U$503,120))=0,"",INDEX('Aides'!$U$4:$U$503,120)))=0,"","Owner: "&amp;IF(LEN(INDEX('Aides'!$U$4:$U$503,120))=0,"",INDEX('Aides'!$U$4:$U$503,120))&amp;". ")&amp;IF(LEN(IF(LEN(INDEX('Aides'!$X$4:$X$503,120))=0,"",INDEX('Aides'!$X$4:$X$503,120)))=0,"",IF(LEN(INDEX('Aides'!$X$4:$X$503,120))=0,"",INDEX('Aides'!$X$4:$X$503,120))))</f>
        <v/>
      </c>
      <c r="I123">
        <f>IF(LEN(INDEX('Aides'!$W$4:$W$503,120))=0,"",INDEX('Aides'!$W$4:$W$503,120))</f>
        <v/>
      </c>
      <c r="J123">
        <f>IF(LEN(INDEX('Aides'!$V$4:$V$503,120))=0,"",INDEX('Aides'!$V$4:$V$503,120))</f>
        <v/>
      </c>
    </row>
    <row r="124">
      <c r="A124">
        <f>IF(AND(LEN('Aides'!A124)&gt;0,ISNUMBER('Aides'!I124)),1,0)</f>
        <v/>
      </c>
      <c r="B124">
        <f>B123+A124</f>
        <v/>
      </c>
      <c r="C124">
        <f>IF(121&gt;$B$1503,"",MATCH(121-0.5,$B$3:$B$1503,1))</f>
        <v/>
      </c>
      <c r="D124">
        <f>"CNA certification ("&amp;IF(LEN(INDEX('Aides'!$C$4:$C$503,121))=0,"",INDEX('Aides'!$C$4:$C$503,121))&amp;") – "&amp;IF(LEN(INDEX('Aides'!$A$4:$A$503,121))=0,"",INDEX('Aides'!$A$4:$A$503,121))</f>
        <v/>
      </c>
      <c r="E124">
        <f>IF(ISNUMBER(INDEX('Aides'!$I$4:$I$503,121)),TEXT(INDEX('Aides'!$I$4:$I$503,121),"yyyy-mm-dd"),"")</f>
        <v/>
      </c>
      <c r="F124">
        <f>"Certification"</f>
        <v/>
      </c>
      <c r="G124">
        <f>"High"</f>
        <v/>
      </c>
      <c r="H124">
        <f>TRIM(IF(LEN(IF(LEN(INDEX('Aides'!$D$4:$D$503,121))=0,"",INDEX('Aides'!$D$4:$D$503,121)))=0,"","Registry no.: "&amp;IF(LEN(INDEX('Aides'!$D$4:$D$503,121))=0,"",INDEX('Aides'!$D$4:$D$503,121))&amp;". ")&amp;IF(LEN(IF(ISNUMBER(INDEX('Aides'!$F$4:$F$503,121)),TEXT(INDEX('Aides'!$F$4:$F$503,121),"yyyy-mm-dd"),""))=0,"","Registry expiry: "&amp;IF(ISNUMBER(INDEX('Aides'!$F$4:$F$503,121)),TEXT(INDEX('Aides'!$F$4:$F$503,121),"yyyy-mm-dd"),"")&amp;". ")&amp;IF(LEN(IF(ISNUMBER(INDEX('Aides'!$G$4:$G$503,121)),TEXT(INDEX('Aides'!$G$4:$G$503,121),"yyyy-mm-dd"),""))=0,"","Last paid nursing work: "&amp;IF(ISNUMBER(INDEX('Aides'!$G$4:$G$503,121)),TEXT(INDEX('Aides'!$G$4:$G$503,121),"yyyy-mm-dd"),"")&amp;". ")&amp;IF(LEN(IF(ISNUMBER(INDEX('Aides'!$H$4:$H$503,121)),TEXT(INDEX('Aides'!$H$4:$H$503,121),"yyyy-mm-dd"),""))=0,"","24-month cut-off: "&amp;IF(ISNUMBER(INDEX('Aides'!$H$4:$H$503,121)),TEXT(INDEX('Aides'!$H$4:$H$503,121),"yyyy-mm-dd"),"")&amp;". ")&amp;IF(LEN(IF(LEN(INDEX('Aides'!$U$4:$U$503,121))=0,"",INDEX('Aides'!$U$4:$U$503,121)))=0,"","Owner: "&amp;IF(LEN(INDEX('Aides'!$U$4:$U$503,121))=0,"",INDEX('Aides'!$U$4:$U$503,121))&amp;". ")&amp;IF(LEN(IF(LEN(INDEX('Aides'!$X$4:$X$503,121))=0,"",INDEX('Aides'!$X$4:$X$503,121)))=0,"",IF(LEN(INDEX('Aides'!$X$4:$X$503,121))=0,"",INDEX('Aides'!$X$4:$X$503,121))))</f>
        <v/>
      </c>
      <c r="I124">
        <f>IF(LEN(INDEX('Aides'!$W$4:$W$503,121))=0,"",INDEX('Aides'!$W$4:$W$503,121))</f>
        <v/>
      </c>
      <c r="J124">
        <f>IF(LEN(INDEX('Aides'!$V$4:$V$503,121))=0,"",INDEX('Aides'!$V$4:$V$503,121))</f>
        <v/>
      </c>
    </row>
    <row r="125">
      <c r="A125">
        <f>IF(AND(LEN('Aides'!A125)&gt;0,ISNUMBER('Aides'!I125)),1,0)</f>
        <v/>
      </c>
      <c r="B125">
        <f>B124+A125</f>
        <v/>
      </c>
      <c r="C125">
        <f>IF(122&gt;$B$1503,"",MATCH(122-0.5,$B$3:$B$1503,1))</f>
        <v/>
      </c>
      <c r="D125">
        <f>"CNA certification ("&amp;IF(LEN(INDEX('Aides'!$C$4:$C$503,122))=0,"",INDEX('Aides'!$C$4:$C$503,122))&amp;") – "&amp;IF(LEN(INDEX('Aides'!$A$4:$A$503,122))=0,"",INDEX('Aides'!$A$4:$A$503,122))</f>
        <v/>
      </c>
      <c r="E125">
        <f>IF(ISNUMBER(INDEX('Aides'!$I$4:$I$503,122)),TEXT(INDEX('Aides'!$I$4:$I$503,122),"yyyy-mm-dd"),"")</f>
        <v/>
      </c>
      <c r="F125">
        <f>"Certification"</f>
        <v/>
      </c>
      <c r="G125">
        <f>"High"</f>
        <v/>
      </c>
      <c r="H125">
        <f>TRIM(IF(LEN(IF(LEN(INDEX('Aides'!$D$4:$D$503,122))=0,"",INDEX('Aides'!$D$4:$D$503,122)))=0,"","Registry no.: "&amp;IF(LEN(INDEX('Aides'!$D$4:$D$503,122))=0,"",INDEX('Aides'!$D$4:$D$503,122))&amp;". ")&amp;IF(LEN(IF(ISNUMBER(INDEX('Aides'!$F$4:$F$503,122)),TEXT(INDEX('Aides'!$F$4:$F$503,122),"yyyy-mm-dd"),""))=0,"","Registry expiry: "&amp;IF(ISNUMBER(INDEX('Aides'!$F$4:$F$503,122)),TEXT(INDEX('Aides'!$F$4:$F$503,122),"yyyy-mm-dd"),"")&amp;". ")&amp;IF(LEN(IF(ISNUMBER(INDEX('Aides'!$G$4:$G$503,122)),TEXT(INDEX('Aides'!$G$4:$G$503,122),"yyyy-mm-dd"),""))=0,"","Last paid nursing work: "&amp;IF(ISNUMBER(INDEX('Aides'!$G$4:$G$503,122)),TEXT(INDEX('Aides'!$G$4:$G$503,122),"yyyy-mm-dd"),"")&amp;". ")&amp;IF(LEN(IF(ISNUMBER(INDEX('Aides'!$H$4:$H$503,122)),TEXT(INDEX('Aides'!$H$4:$H$503,122),"yyyy-mm-dd"),""))=0,"","24-month cut-off: "&amp;IF(ISNUMBER(INDEX('Aides'!$H$4:$H$503,122)),TEXT(INDEX('Aides'!$H$4:$H$503,122),"yyyy-mm-dd"),"")&amp;". ")&amp;IF(LEN(IF(LEN(INDEX('Aides'!$U$4:$U$503,122))=0,"",INDEX('Aides'!$U$4:$U$503,122)))=0,"","Owner: "&amp;IF(LEN(INDEX('Aides'!$U$4:$U$503,122))=0,"",INDEX('Aides'!$U$4:$U$503,122))&amp;". ")&amp;IF(LEN(IF(LEN(INDEX('Aides'!$X$4:$X$503,122))=0,"",INDEX('Aides'!$X$4:$X$503,122)))=0,"",IF(LEN(INDEX('Aides'!$X$4:$X$503,122))=0,"",INDEX('Aides'!$X$4:$X$503,122))))</f>
        <v/>
      </c>
      <c r="I125">
        <f>IF(LEN(INDEX('Aides'!$W$4:$W$503,122))=0,"",INDEX('Aides'!$W$4:$W$503,122))</f>
        <v/>
      </c>
      <c r="J125">
        <f>IF(LEN(INDEX('Aides'!$V$4:$V$503,122))=0,"",INDEX('Aides'!$V$4:$V$503,122))</f>
        <v/>
      </c>
    </row>
    <row r="126">
      <c r="A126">
        <f>IF(AND(LEN('Aides'!A126)&gt;0,ISNUMBER('Aides'!I126)),1,0)</f>
        <v/>
      </c>
      <c r="B126">
        <f>B125+A126</f>
        <v/>
      </c>
      <c r="C126">
        <f>IF(123&gt;$B$1503,"",MATCH(123-0.5,$B$3:$B$1503,1))</f>
        <v/>
      </c>
      <c r="D126">
        <f>"CNA certification ("&amp;IF(LEN(INDEX('Aides'!$C$4:$C$503,123))=0,"",INDEX('Aides'!$C$4:$C$503,123))&amp;") – "&amp;IF(LEN(INDEX('Aides'!$A$4:$A$503,123))=0,"",INDEX('Aides'!$A$4:$A$503,123))</f>
        <v/>
      </c>
      <c r="E126">
        <f>IF(ISNUMBER(INDEX('Aides'!$I$4:$I$503,123)),TEXT(INDEX('Aides'!$I$4:$I$503,123),"yyyy-mm-dd"),"")</f>
        <v/>
      </c>
      <c r="F126">
        <f>"Certification"</f>
        <v/>
      </c>
      <c r="G126">
        <f>"High"</f>
        <v/>
      </c>
      <c r="H126">
        <f>TRIM(IF(LEN(IF(LEN(INDEX('Aides'!$D$4:$D$503,123))=0,"",INDEX('Aides'!$D$4:$D$503,123)))=0,"","Registry no.: "&amp;IF(LEN(INDEX('Aides'!$D$4:$D$503,123))=0,"",INDEX('Aides'!$D$4:$D$503,123))&amp;". ")&amp;IF(LEN(IF(ISNUMBER(INDEX('Aides'!$F$4:$F$503,123)),TEXT(INDEX('Aides'!$F$4:$F$503,123),"yyyy-mm-dd"),""))=0,"","Registry expiry: "&amp;IF(ISNUMBER(INDEX('Aides'!$F$4:$F$503,123)),TEXT(INDEX('Aides'!$F$4:$F$503,123),"yyyy-mm-dd"),"")&amp;". ")&amp;IF(LEN(IF(ISNUMBER(INDEX('Aides'!$G$4:$G$503,123)),TEXT(INDEX('Aides'!$G$4:$G$503,123),"yyyy-mm-dd"),""))=0,"","Last paid nursing work: "&amp;IF(ISNUMBER(INDEX('Aides'!$G$4:$G$503,123)),TEXT(INDEX('Aides'!$G$4:$G$503,123),"yyyy-mm-dd"),"")&amp;". ")&amp;IF(LEN(IF(ISNUMBER(INDEX('Aides'!$H$4:$H$503,123)),TEXT(INDEX('Aides'!$H$4:$H$503,123),"yyyy-mm-dd"),""))=0,"","24-month cut-off: "&amp;IF(ISNUMBER(INDEX('Aides'!$H$4:$H$503,123)),TEXT(INDEX('Aides'!$H$4:$H$503,123),"yyyy-mm-dd"),"")&amp;". ")&amp;IF(LEN(IF(LEN(INDEX('Aides'!$U$4:$U$503,123))=0,"",INDEX('Aides'!$U$4:$U$503,123)))=0,"","Owner: "&amp;IF(LEN(INDEX('Aides'!$U$4:$U$503,123))=0,"",INDEX('Aides'!$U$4:$U$503,123))&amp;". ")&amp;IF(LEN(IF(LEN(INDEX('Aides'!$X$4:$X$503,123))=0,"",INDEX('Aides'!$X$4:$X$503,123)))=0,"",IF(LEN(INDEX('Aides'!$X$4:$X$503,123))=0,"",INDEX('Aides'!$X$4:$X$503,123))))</f>
        <v/>
      </c>
      <c r="I126">
        <f>IF(LEN(INDEX('Aides'!$W$4:$W$503,123))=0,"",INDEX('Aides'!$W$4:$W$503,123))</f>
        <v/>
      </c>
      <c r="J126">
        <f>IF(LEN(INDEX('Aides'!$V$4:$V$503,123))=0,"",INDEX('Aides'!$V$4:$V$503,123))</f>
        <v/>
      </c>
    </row>
    <row r="127">
      <c r="A127">
        <f>IF(AND(LEN('Aides'!A127)&gt;0,ISNUMBER('Aides'!I127)),1,0)</f>
        <v/>
      </c>
      <c r="B127">
        <f>B126+A127</f>
        <v/>
      </c>
      <c r="C127">
        <f>IF(124&gt;$B$1503,"",MATCH(124-0.5,$B$3:$B$1503,1))</f>
        <v/>
      </c>
      <c r="D127">
        <f>"CNA certification ("&amp;IF(LEN(INDEX('Aides'!$C$4:$C$503,124))=0,"",INDEX('Aides'!$C$4:$C$503,124))&amp;") – "&amp;IF(LEN(INDEX('Aides'!$A$4:$A$503,124))=0,"",INDEX('Aides'!$A$4:$A$503,124))</f>
        <v/>
      </c>
      <c r="E127">
        <f>IF(ISNUMBER(INDEX('Aides'!$I$4:$I$503,124)),TEXT(INDEX('Aides'!$I$4:$I$503,124),"yyyy-mm-dd"),"")</f>
        <v/>
      </c>
      <c r="F127">
        <f>"Certification"</f>
        <v/>
      </c>
      <c r="G127">
        <f>"High"</f>
        <v/>
      </c>
      <c r="H127">
        <f>TRIM(IF(LEN(IF(LEN(INDEX('Aides'!$D$4:$D$503,124))=0,"",INDEX('Aides'!$D$4:$D$503,124)))=0,"","Registry no.: "&amp;IF(LEN(INDEX('Aides'!$D$4:$D$503,124))=0,"",INDEX('Aides'!$D$4:$D$503,124))&amp;". ")&amp;IF(LEN(IF(ISNUMBER(INDEX('Aides'!$F$4:$F$503,124)),TEXT(INDEX('Aides'!$F$4:$F$503,124),"yyyy-mm-dd"),""))=0,"","Registry expiry: "&amp;IF(ISNUMBER(INDEX('Aides'!$F$4:$F$503,124)),TEXT(INDEX('Aides'!$F$4:$F$503,124),"yyyy-mm-dd"),"")&amp;". ")&amp;IF(LEN(IF(ISNUMBER(INDEX('Aides'!$G$4:$G$503,124)),TEXT(INDEX('Aides'!$G$4:$G$503,124),"yyyy-mm-dd"),""))=0,"","Last paid nursing work: "&amp;IF(ISNUMBER(INDEX('Aides'!$G$4:$G$503,124)),TEXT(INDEX('Aides'!$G$4:$G$503,124),"yyyy-mm-dd"),"")&amp;". ")&amp;IF(LEN(IF(ISNUMBER(INDEX('Aides'!$H$4:$H$503,124)),TEXT(INDEX('Aides'!$H$4:$H$503,124),"yyyy-mm-dd"),""))=0,"","24-month cut-off: "&amp;IF(ISNUMBER(INDEX('Aides'!$H$4:$H$503,124)),TEXT(INDEX('Aides'!$H$4:$H$503,124),"yyyy-mm-dd"),"")&amp;". ")&amp;IF(LEN(IF(LEN(INDEX('Aides'!$U$4:$U$503,124))=0,"",INDEX('Aides'!$U$4:$U$503,124)))=0,"","Owner: "&amp;IF(LEN(INDEX('Aides'!$U$4:$U$503,124))=0,"",INDEX('Aides'!$U$4:$U$503,124))&amp;". ")&amp;IF(LEN(IF(LEN(INDEX('Aides'!$X$4:$X$503,124))=0,"",INDEX('Aides'!$X$4:$X$503,124)))=0,"",IF(LEN(INDEX('Aides'!$X$4:$X$503,124))=0,"",INDEX('Aides'!$X$4:$X$503,124))))</f>
        <v/>
      </c>
      <c r="I127">
        <f>IF(LEN(INDEX('Aides'!$W$4:$W$503,124))=0,"",INDEX('Aides'!$W$4:$W$503,124))</f>
        <v/>
      </c>
      <c r="J127">
        <f>IF(LEN(INDEX('Aides'!$V$4:$V$503,124))=0,"",INDEX('Aides'!$V$4:$V$503,124))</f>
        <v/>
      </c>
    </row>
    <row r="128">
      <c r="A128">
        <f>IF(AND(LEN('Aides'!A128)&gt;0,ISNUMBER('Aides'!I128)),1,0)</f>
        <v/>
      </c>
      <c r="B128">
        <f>B127+A128</f>
        <v/>
      </c>
      <c r="C128">
        <f>IF(125&gt;$B$1503,"",MATCH(125-0.5,$B$3:$B$1503,1))</f>
        <v/>
      </c>
      <c r="D128">
        <f>"CNA certification ("&amp;IF(LEN(INDEX('Aides'!$C$4:$C$503,125))=0,"",INDEX('Aides'!$C$4:$C$503,125))&amp;") – "&amp;IF(LEN(INDEX('Aides'!$A$4:$A$503,125))=0,"",INDEX('Aides'!$A$4:$A$503,125))</f>
        <v/>
      </c>
      <c r="E128">
        <f>IF(ISNUMBER(INDEX('Aides'!$I$4:$I$503,125)),TEXT(INDEX('Aides'!$I$4:$I$503,125),"yyyy-mm-dd"),"")</f>
        <v/>
      </c>
      <c r="F128">
        <f>"Certification"</f>
        <v/>
      </c>
      <c r="G128">
        <f>"High"</f>
        <v/>
      </c>
      <c r="H128">
        <f>TRIM(IF(LEN(IF(LEN(INDEX('Aides'!$D$4:$D$503,125))=0,"",INDEX('Aides'!$D$4:$D$503,125)))=0,"","Registry no.: "&amp;IF(LEN(INDEX('Aides'!$D$4:$D$503,125))=0,"",INDEX('Aides'!$D$4:$D$503,125))&amp;". ")&amp;IF(LEN(IF(ISNUMBER(INDEX('Aides'!$F$4:$F$503,125)),TEXT(INDEX('Aides'!$F$4:$F$503,125),"yyyy-mm-dd"),""))=0,"","Registry expiry: "&amp;IF(ISNUMBER(INDEX('Aides'!$F$4:$F$503,125)),TEXT(INDEX('Aides'!$F$4:$F$503,125),"yyyy-mm-dd"),"")&amp;". ")&amp;IF(LEN(IF(ISNUMBER(INDEX('Aides'!$G$4:$G$503,125)),TEXT(INDEX('Aides'!$G$4:$G$503,125),"yyyy-mm-dd"),""))=0,"","Last paid nursing work: "&amp;IF(ISNUMBER(INDEX('Aides'!$G$4:$G$503,125)),TEXT(INDEX('Aides'!$G$4:$G$503,125),"yyyy-mm-dd"),"")&amp;". ")&amp;IF(LEN(IF(ISNUMBER(INDEX('Aides'!$H$4:$H$503,125)),TEXT(INDEX('Aides'!$H$4:$H$503,125),"yyyy-mm-dd"),""))=0,"","24-month cut-off: "&amp;IF(ISNUMBER(INDEX('Aides'!$H$4:$H$503,125)),TEXT(INDEX('Aides'!$H$4:$H$503,125),"yyyy-mm-dd"),"")&amp;". ")&amp;IF(LEN(IF(LEN(INDEX('Aides'!$U$4:$U$503,125))=0,"",INDEX('Aides'!$U$4:$U$503,125)))=0,"","Owner: "&amp;IF(LEN(INDEX('Aides'!$U$4:$U$503,125))=0,"",INDEX('Aides'!$U$4:$U$503,125))&amp;". ")&amp;IF(LEN(IF(LEN(INDEX('Aides'!$X$4:$X$503,125))=0,"",INDEX('Aides'!$X$4:$X$503,125)))=0,"",IF(LEN(INDEX('Aides'!$X$4:$X$503,125))=0,"",INDEX('Aides'!$X$4:$X$503,125))))</f>
        <v/>
      </c>
      <c r="I128">
        <f>IF(LEN(INDEX('Aides'!$W$4:$W$503,125))=0,"",INDEX('Aides'!$W$4:$W$503,125))</f>
        <v/>
      </c>
      <c r="J128">
        <f>IF(LEN(INDEX('Aides'!$V$4:$V$503,125))=0,"",INDEX('Aides'!$V$4:$V$503,125))</f>
        <v/>
      </c>
    </row>
    <row r="129">
      <c r="A129">
        <f>IF(AND(LEN('Aides'!A129)&gt;0,ISNUMBER('Aides'!I129)),1,0)</f>
        <v/>
      </c>
      <c r="B129">
        <f>B128+A129</f>
        <v/>
      </c>
      <c r="C129">
        <f>IF(126&gt;$B$1503,"",MATCH(126-0.5,$B$3:$B$1503,1))</f>
        <v/>
      </c>
      <c r="D129">
        <f>"CNA certification ("&amp;IF(LEN(INDEX('Aides'!$C$4:$C$503,126))=0,"",INDEX('Aides'!$C$4:$C$503,126))&amp;") – "&amp;IF(LEN(INDEX('Aides'!$A$4:$A$503,126))=0,"",INDEX('Aides'!$A$4:$A$503,126))</f>
        <v/>
      </c>
      <c r="E129">
        <f>IF(ISNUMBER(INDEX('Aides'!$I$4:$I$503,126)),TEXT(INDEX('Aides'!$I$4:$I$503,126),"yyyy-mm-dd"),"")</f>
        <v/>
      </c>
      <c r="F129">
        <f>"Certification"</f>
        <v/>
      </c>
      <c r="G129">
        <f>"High"</f>
        <v/>
      </c>
      <c r="H129">
        <f>TRIM(IF(LEN(IF(LEN(INDEX('Aides'!$D$4:$D$503,126))=0,"",INDEX('Aides'!$D$4:$D$503,126)))=0,"","Registry no.: "&amp;IF(LEN(INDEX('Aides'!$D$4:$D$503,126))=0,"",INDEX('Aides'!$D$4:$D$503,126))&amp;". ")&amp;IF(LEN(IF(ISNUMBER(INDEX('Aides'!$F$4:$F$503,126)),TEXT(INDEX('Aides'!$F$4:$F$503,126),"yyyy-mm-dd"),""))=0,"","Registry expiry: "&amp;IF(ISNUMBER(INDEX('Aides'!$F$4:$F$503,126)),TEXT(INDEX('Aides'!$F$4:$F$503,126),"yyyy-mm-dd"),"")&amp;". ")&amp;IF(LEN(IF(ISNUMBER(INDEX('Aides'!$G$4:$G$503,126)),TEXT(INDEX('Aides'!$G$4:$G$503,126),"yyyy-mm-dd"),""))=0,"","Last paid nursing work: "&amp;IF(ISNUMBER(INDEX('Aides'!$G$4:$G$503,126)),TEXT(INDEX('Aides'!$G$4:$G$503,126),"yyyy-mm-dd"),"")&amp;". ")&amp;IF(LEN(IF(ISNUMBER(INDEX('Aides'!$H$4:$H$503,126)),TEXT(INDEX('Aides'!$H$4:$H$503,126),"yyyy-mm-dd"),""))=0,"","24-month cut-off: "&amp;IF(ISNUMBER(INDEX('Aides'!$H$4:$H$503,126)),TEXT(INDEX('Aides'!$H$4:$H$503,126),"yyyy-mm-dd"),"")&amp;". ")&amp;IF(LEN(IF(LEN(INDEX('Aides'!$U$4:$U$503,126))=0,"",INDEX('Aides'!$U$4:$U$503,126)))=0,"","Owner: "&amp;IF(LEN(INDEX('Aides'!$U$4:$U$503,126))=0,"",INDEX('Aides'!$U$4:$U$503,126))&amp;". ")&amp;IF(LEN(IF(LEN(INDEX('Aides'!$X$4:$X$503,126))=0,"",INDEX('Aides'!$X$4:$X$503,126)))=0,"",IF(LEN(INDEX('Aides'!$X$4:$X$503,126))=0,"",INDEX('Aides'!$X$4:$X$503,126))))</f>
        <v/>
      </c>
      <c r="I129">
        <f>IF(LEN(INDEX('Aides'!$W$4:$W$503,126))=0,"",INDEX('Aides'!$W$4:$W$503,126))</f>
        <v/>
      </c>
      <c r="J129">
        <f>IF(LEN(INDEX('Aides'!$V$4:$V$503,126))=0,"",INDEX('Aides'!$V$4:$V$503,126))</f>
        <v/>
      </c>
    </row>
    <row r="130">
      <c r="A130">
        <f>IF(AND(LEN('Aides'!A130)&gt;0,ISNUMBER('Aides'!I130)),1,0)</f>
        <v/>
      </c>
      <c r="B130">
        <f>B129+A130</f>
        <v/>
      </c>
      <c r="C130">
        <f>IF(127&gt;$B$1503,"",MATCH(127-0.5,$B$3:$B$1503,1))</f>
        <v/>
      </c>
      <c r="D130">
        <f>"CNA certification ("&amp;IF(LEN(INDEX('Aides'!$C$4:$C$503,127))=0,"",INDEX('Aides'!$C$4:$C$503,127))&amp;") – "&amp;IF(LEN(INDEX('Aides'!$A$4:$A$503,127))=0,"",INDEX('Aides'!$A$4:$A$503,127))</f>
        <v/>
      </c>
      <c r="E130">
        <f>IF(ISNUMBER(INDEX('Aides'!$I$4:$I$503,127)),TEXT(INDEX('Aides'!$I$4:$I$503,127),"yyyy-mm-dd"),"")</f>
        <v/>
      </c>
      <c r="F130">
        <f>"Certification"</f>
        <v/>
      </c>
      <c r="G130">
        <f>"High"</f>
        <v/>
      </c>
      <c r="H130">
        <f>TRIM(IF(LEN(IF(LEN(INDEX('Aides'!$D$4:$D$503,127))=0,"",INDEX('Aides'!$D$4:$D$503,127)))=0,"","Registry no.: "&amp;IF(LEN(INDEX('Aides'!$D$4:$D$503,127))=0,"",INDEX('Aides'!$D$4:$D$503,127))&amp;". ")&amp;IF(LEN(IF(ISNUMBER(INDEX('Aides'!$F$4:$F$503,127)),TEXT(INDEX('Aides'!$F$4:$F$503,127),"yyyy-mm-dd"),""))=0,"","Registry expiry: "&amp;IF(ISNUMBER(INDEX('Aides'!$F$4:$F$503,127)),TEXT(INDEX('Aides'!$F$4:$F$503,127),"yyyy-mm-dd"),"")&amp;". ")&amp;IF(LEN(IF(ISNUMBER(INDEX('Aides'!$G$4:$G$503,127)),TEXT(INDEX('Aides'!$G$4:$G$503,127),"yyyy-mm-dd"),""))=0,"","Last paid nursing work: "&amp;IF(ISNUMBER(INDEX('Aides'!$G$4:$G$503,127)),TEXT(INDEX('Aides'!$G$4:$G$503,127),"yyyy-mm-dd"),"")&amp;". ")&amp;IF(LEN(IF(ISNUMBER(INDEX('Aides'!$H$4:$H$503,127)),TEXT(INDEX('Aides'!$H$4:$H$503,127),"yyyy-mm-dd"),""))=0,"","24-month cut-off: "&amp;IF(ISNUMBER(INDEX('Aides'!$H$4:$H$503,127)),TEXT(INDEX('Aides'!$H$4:$H$503,127),"yyyy-mm-dd"),"")&amp;". ")&amp;IF(LEN(IF(LEN(INDEX('Aides'!$U$4:$U$503,127))=0,"",INDEX('Aides'!$U$4:$U$503,127)))=0,"","Owner: "&amp;IF(LEN(INDEX('Aides'!$U$4:$U$503,127))=0,"",INDEX('Aides'!$U$4:$U$503,127))&amp;". ")&amp;IF(LEN(IF(LEN(INDEX('Aides'!$X$4:$X$503,127))=0,"",INDEX('Aides'!$X$4:$X$503,127)))=0,"",IF(LEN(INDEX('Aides'!$X$4:$X$503,127))=0,"",INDEX('Aides'!$X$4:$X$503,127))))</f>
        <v/>
      </c>
      <c r="I130">
        <f>IF(LEN(INDEX('Aides'!$W$4:$W$503,127))=0,"",INDEX('Aides'!$W$4:$W$503,127))</f>
        <v/>
      </c>
      <c r="J130">
        <f>IF(LEN(INDEX('Aides'!$V$4:$V$503,127))=0,"",INDEX('Aides'!$V$4:$V$503,127))</f>
        <v/>
      </c>
    </row>
    <row r="131">
      <c r="A131">
        <f>IF(AND(LEN('Aides'!A131)&gt;0,ISNUMBER('Aides'!I131)),1,0)</f>
        <v/>
      </c>
      <c r="B131">
        <f>B130+A131</f>
        <v/>
      </c>
      <c r="C131">
        <f>IF(128&gt;$B$1503,"",MATCH(128-0.5,$B$3:$B$1503,1))</f>
        <v/>
      </c>
      <c r="D131">
        <f>"CNA certification ("&amp;IF(LEN(INDEX('Aides'!$C$4:$C$503,128))=0,"",INDEX('Aides'!$C$4:$C$503,128))&amp;") – "&amp;IF(LEN(INDEX('Aides'!$A$4:$A$503,128))=0,"",INDEX('Aides'!$A$4:$A$503,128))</f>
        <v/>
      </c>
      <c r="E131">
        <f>IF(ISNUMBER(INDEX('Aides'!$I$4:$I$503,128)),TEXT(INDEX('Aides'!$I$4:$I$503,128),"yyyy-mm-dd"),"")</f>
        <v/>
      </c>
      <c r="F131">
        <f>"Certification"</f>
        <v/>
      </c>
      <c r="G131">
        <f>"High"</f>
        <v/>
      </c>
      <c r="H131">
        <f>TRIM(IF(LEN(IF(LEN(INDEX('Aides'!$D$4:$D$503,128))=0,"",INDEX('Aides'!$D$4:$D$503,128)))=0,"","Registry no.: "&amp;IF(LEN(INDEX('Aides'!$D$4:$D$503,128))=0,"",INDEX('Aides'!$D$4:$D$503,128))&amp;". ")&amp;IF(LEN(IF(ISNUMBER(INDEX('Aides'!$F$4:$F$503,128)),TEXT(INDEX('Aides'!$F$4:$F$503,128),"yyyy-mm-dd"),""))=0,"","Registry expiry: "&amp;IF(ISNUMBER(INDEX('Aides'!$F$4:$F$503,128)),TEXT(INDEX('Aides'!$F$4:$F$503,128),"yyyy-mm-dd"),"")&amp;". ")&amp;IF(LEN(IF(ISNUMBER(INDEX('Aides'!$G$4:$G$503,128)),TEXT(INDEX('Aides'!$G$4:$G$503,128),"yyyy-mm-dd"),""))=0,"","Last paid nursing work: "&amp;IF(ISNUMBER(INDEX('Aides'!$G$4:$G$503,128)),TEXT(INDEX('Aides'!$G$4:$G$503,128),"yyyy-mm-dd"),"")&amp;". ")&amp;IF(LEN(IF(ISNUMBER(INDEX('Aides'!$H$4:$H$503,128)),TEXT(INDEX('Aides'!$H$4:$H$503,128),"yyyy-mm-dd"),""))=0,"","24-month cut-off: "&amp;IF(ISNUMBER(INDEX('Aides'!$H$4:$H$503,128)),TEXT(INDEX('Aides'!$H$4:$H$503,128),"yyyy-mm-dd"),"")&amp;". ")&amp;IF(LEN(IF(LEN(INDEX('Aides'!$U$4:$U$503,128))=0,"",INDEX('Aides'!$U$4:$U$503,128)))=0,"","Owner: "&amp;IF(LEN(INDEX('Aides'!$U$4:$U$503,128))=0,"",INDEX('Aides'!$U$4:$U$503,128))&amp;". ")&amp;IF(LEN(IF(LEN(INDEX('Aides'!$X$4:$X$503,128))=0,"",INDEX('Aides'!$X$4:$X$503,128)))=0,"",IF(LEN(INDEX('Aides'!$X$4:$X$503,128))=0,"",INDEX('Aides'!$X$4:$X$503,128))))</f>
        <v/>
      </c>
      <c r="I131">
        <f>IF(LEN(INDEX('Aides'!$W$4:$W$503,128))=0,"",INDEX('Aides'!$W$4:$W$503,128))</f>
        <v/>
      </c>
      <c r="J131">
        <f>IF(LEN(INDEX('Aides'!$V$4:$V$503,128))=0,"",INDEX('Aides'!$V$4:$V$503,128))</f>
        <v/>
      </c>
    </row>
    <row r="132">
      <c r="A132">
        <f>IF(AND(LEN('Aides'!A132)&gt;0,ISNUMBER('Aides'!I132)),1,0)</f>
        <v/>
      </c>
      <c r="B132">
        <f>B131+A132</f>
        <v/>
      </c>
      <c r="C132">
        <f>IF(129&gt;$B$1503,"",MATCH(129-0.5,$B$3:$B$1503,1))</f>
        <v/>
      </c>
      <c r="D132">
        <f>"CNA certification ("&amp;IF(LEN(INDEX('Aides'!$C$4:$C$503,129))=0,"",INDEX('Aides'!$C$4:$C$503,129))&amp;") – "&amp;IF(LEN(INDEX('Aides'!$A$4:$A$503,129))=0,"",INDEX('Aides'!$A$4:$A$503,129))</f>
        <v/>
      </c>
      <c r="E132">
        <f>IF(ISNUMBER(INDEX('Aides'!$I$4:$I$503,129)),TEXT(INDEX('Aides'!$I$4:$I$503,129),"yyyy-mm-dd"),"")</f>
        <v/>
      </c>
      <c r="F132">
        <f>"Certification"</f>
        <v/>
      </c>
      <c r="G132">
        <f>"High"</f>
        <v/>
      </c>
      <c r="H132">
        <f>TRIM(IF(LEN(IF(LEN(INDEX('Aides'!$D$4:$D$503,129))=0,"",INDEX('Aides'!$D$4:$D$503,129)))=0,"","Registry no.: "&amp;IF(LEN(INDEX('Aides'!$D$4:$D$503,129))=0,"",INDEX('Aides'!$D$4:$D$503,129))&amp;". ")&amp;IF(LEN(IF(ISNUMBER(INDEX('Aides'!$F$4:$F$503,129)),TEXT(INDEX('Aides'!$F$4:$F$503,129),"yyyy-mm-dd"),""))=0,"","Registry expiry: "&amp;IF(ISNUMBER(INDEX('Aides'!$F$4:$F$503,129)),TEXT(INDEX('Aides'!$F$4:$F$503,129),"yyyy-mm-dd"),"")&amp;". ")&amp;IF(LEN(IF(ISNUMBER(INDEX('Aides'!$G$4:$G$503,129)),TEXT(INDEX('Aides'!$G$4:$G$503,129),"yyyy-mm-dd"),""))=0,"","Last paid nursing work: "&amp;IF(ISNUMBER(INDEX('Aides'!$G$4:$G$503,129)),TEXT(INDEX('Aides'!$G$4:$G$503,129),"yyyy-mm-dd"),"")&amp;". ")&amp;IF(LEN(IF(ISNUMBER(INDEX('Aides'!$H$4:$H$503,129)),TEXT(INDEX('Aides'!$H$4:$H$503,129),"yyyy-mm-dd"),""))=0,"","24-month cut-off: "&amp;IF(ISNUMBER(INDEX('Aides'!$H$4:$H$503,129)),TEXT(INDEX('Aides'!$H$4:$H$503,129),"yyyy-mm-dd"),"")&amp;". ")&amp;IF(LEN(IF(LEN(INDEX('Aides'!$U$4:$U$503,129))=0,"",INDEX('Aides'!$U$4:$U$503,129)))=0,"","Owner: "&amp;IF(LEN(INDEX('Aides'!$U$4:$U$503,129))=0,"",INDEX('Aides'!$U$4:$U$503,129))&amp;". ")&amp;IF(LEN(IF(LEN(INDEX('Aides'!$X$4:$X$503,129))=0,"",INDEX('Aides'!$X$4:$X$503,129)))=0,"",IF(LEN(INDEX('Aides'!$X$4:$X$503,129))=0,"",INDEX('Aides'!$X$4:$X$503,129))))</f>
        <v/>
      </c>
      <c r="I132">
        <f>IF(LEN(INDEX('Aides'!$W$4:$W$503,129))=0,"",INDEX('Aides'!$W$4:$W$503,129))</f>
        <v/>
      </c>
      <c r="J132">
        <f>IF(LEN(INDEX('Aides'!$V$4:$V$503,129))=0,"",INDEX('Aides'!$V$4:$V$503,129))</f>
        <v/>
      </c>
    </row>
    <row r="133">
      <c r="A133">
        <f>IF(AND(LEN('Aides'!A133)&gt;0,ISNUMBER('Aides'!I133)),1,0)</f>
        <v/>
      </c>
      <c r="B133">
        <f>B132+A133</f>
        <v/>
      </c>
      <c r="C133">
        <f>IF(130&gt;$B$1503,"",MATCH(130-0.5,$B$3:$B$1503,1))</f>
        <v/>
      </c>
      <c r="D133">
        <f>"CNA certification ("&amp;IF(LEN(INDEX('Aides'!$C$4:$C$503,130))=0,"",INDEX('Aides'!$C$4:$C$503,130))&amp;") – "&amp;IF(LEN(INDEX('Aides'!$A$4:$A$503,130))=0,"",INDEX('Aides'!$A$4:$A$503,130))</f>
        <v/>
      </c>
      <c r="E133">
        <f>IF(ISNUMBER(INDEX('Aides'!$I$4:$I$503,130)),TEXT(INDEX('Aides'!$I$4:$I$503,130),"yyyy-mm-dd"),"")</f>
        <v/>
      </c>
      <c r="F133">
        <f>"Certification"</f>
        <v/>
      </c>
      <c r="G133">
        <f>"High"</f>
        <v/>
      </c>
      <c r="H133">
        <f>TRIM(IF(LEN(IF(LEN(INDEX('Aides'!$D$4:$D$503,130))=0,"",INDEX('Aides'!$D$4:$D$503,130)))=0,"","Registry no.: "&amp;IF(LEN(INDEX('Aides'!$D$4:$D$503,130))=0,"",INDEX('Aides'!$D$4:$D$503,130))&amp;". ")&amp;IF(LEN(IF(ISNUMBER(INDEX('Aides'!$F$4:$F$503,130)),TEXT(INDEX('Aides'!$F$4:$F$503,130),"yyyy-mm-dd"),""))=0,"","Registry expiry: "&amp;IF(ISNUMBER(INDEX('Aides'!$F$4:$F$503,130)),TEXT(INDEX('Aides'!$F$4:$F$503,130),"yyyy-mm-dd"),"")&amp;". ")&amp;IF(LEN(IF(ISNUMBER(INDEX('Aides'!$G$4:$G$503,130)),TEXT(INDEX('Aides'!$G$4:$G$503,130),"yyyy-mm-dd"),""))=0,"","Last paid nursing work: "&amp;IF(ISNUMBER(INDEX('Aides'!$G$4:$G$503,130)),TEXT(INDEX('Aides'!$G$4:$G$503,130),"yyyy-mm-dd"),"")&amp;". ")&amp;IF(LEN(IF(ISNUMBER(INDEX('Aides'!$H$4:$H$503,130)),TEXT(INDEX('Aides'!$H$4:$H$503,130),"yyyy-mm-dd"),""))=0,"","24-month cut-off: "&amp;IF(ISNUMBER(INDEX('Aides'!$H$4:$H$503,130)),TEXT(INDEX('Aides'!$H$4:$H$503,130),"yyyy-mm-dd"),"")&amp;". ")&amp;IF(LEN(IF(LEN(INDEX('Aides'!$U$4:$U$503,130))=0,"",INDEX('Aides'!$U$4:$U$503,130)))=0,"","Owner: "&amp;IF(LEN(INDEX('Aides'!$U$4:$U$503,130))=0,"",INDEX('Aides'!$U$4:$U$503,130))&amp;". ")&amp;IF(LEN(IF(LEN(INDEX('Aides'!$X$4:$X$503,130))=0,"",INDEX('Aides'!$X$4:$X$503,130)))=0,"",IF(LEN(INDEX('Aides'!$X$4:$X$503,130))=0,"",INDEX('Aides'!$X$4:$X$503,130))))</f>
        <v/>
      </c>
      <c r="I133">
        <f>IF(LEN(INDEX('Aides'!$W$4:$W$503,130))=0,"",INDEX('Aides'!$W$4:$W$503,130))</f>
        <v/>
      </c>
      <c r="J133">
        <f>IF(LEN(INDEX('Aides'!$V$4:$V$503,130))=0,"",INDEX('Aides'!$V$4:$V$503,130))</f>
        <v/>
      </c>
    </row>
    <row r="134">
      <c r="A134">
        <f>IF(AND(LEN('Aides'!A134)&gt;0,ISNUMBER('Aides'!I134)),1,0)</f>
        <v/>
      </c>
      <c r="B134">
        <f>B133+A134</f>
        <v/>
      </c>
      <c r="C134">
        <f>IF(131&gt;$B$1503,"",MATCH(131-0.5,$B$3:$B$1503,1))</f>
        <v/>
      </c>
      <c r="D134">
        <f>"CNA certification ("&amp;IF(LEN(INDEX('Aides'!$C$4:$C$503,131))=0,"",INDEX('Aides'!$C$4:$C$503,131))&amp;") – "&amp;IF(LEN(INDEX('Aides'!$A$4:$A$503,131))=0,"",INDEX('Aides'!$A$4:$A$503,131))</f>
        <v/>
      </c>
      <c r="E134">
        <f>IF(ISNUMBER(INDEX('Aides'!$I$4:$I$503,131)),TEXT(INDEX('Aides'!$I$4:$I$503,131),"yyyy-mm-dd"),"")</f>
        <v/>
      </c>
      <c r="F134">
        <f>"Certification"</f>
        <v/>
      </c>
      <c r="G134">
        <f>"High"</f>
        <v/>
      </c>
      <c r="H134">
        <f>TRIM(IF(LEN(IF(LEN(INDEX('Aides'!$D$4:$D$503,131))=0,"",INDEX('Aides'!$D$4:$D$503,131)))=0,"","Registry no.: "&amp;IF(LEN(INDEX('Aides'!$D$4:$D$503,131))=0,"",INDEX('Aides'!$D$4:$D$503,131))&amp;". ")&amp;IF(LEN(IF(ISNUMBER(INDEX('Aides'!$F$4:$F$503,131)),TEXT(INDEX('Aides'!$F$4:$F$503,131),"yyyy-mm-dd"),""))=0,"","Registry expiry: "&amp;IF(ISNUMBER(INDEX('Aides'!$F$4:$F$503,131)),TEXT(INDEX('Aides'!$F$4:$F$503,131),"yyyy-mm-dd"),"")&amp;". ")&amp;IF(LEN(IF(ISNUMBER(INDEX('Aides'!$G$4:$G$503,131)),TEXT(INDEX('Aides'!$G$4:$G$503,131),"yyyy-mm-dd"),""))=0,"","Last paid nursing work: "&amp;IF(ISNUMBER(INDEX('Aides'!$G$4:$G$503,131)),TEXT(INDEX('Aides'!$G$4:$G$503,131),"yyyy-mm-dd"),"")&amp;". ")&amp;IF(LEN(IF(ISNUMBER(INDEX('Aides'!$H$4:$H$503,131)),TEXT(INDEX('Aides'!$H$4:$H$503,131),"yyyy-mm-dd"),""))=0,"","24-month cut-off: "&amp;IF(ISNUMBER(INDEX('Aides'!$H$4:$H$503,131)),TEXT(INDEX('Aides'!$H$4:$H$503,131),"yyyy-mm-dd"),"")&amp;". ")&amp;IF(LEN(IF(LEN(INDEX('Aides'!$U$4:$U$503,131))=0,"",INDEX('Aides'!$U$4:$U$503,131)))=0,"","Owner: "&amp;IF(LEN(INDEX('Aides'!$U$4:$U$503,131))=0,"",INDEX('Aides'!$U$4:$U$503,131))&amp;". ")&amp;IF(LEN(IF(LEN(INDEX('Aides'!$X$4:$X$503,131))=0,"",INDEX('Aides'!$X$4:$X$503,131)))=0,"",IF(LEN(INDEX('Aides'!$X$4:$X$503,131))=0,"",INDEX('Aides'!$X$4:$X$503,131))))</f>
        <v/>
      </c>
      <c r="I134">
        <f>IF(LEN(INDEX('Aides'!$W$4:$W$503,131))=0,"",INDEX('Aides'!$W$4:$W$503,131))</f>
        <v/>
      </c>
      <c r="J134">
        <f>IF(LEN(INDEX('Aides'!$V$4:$V$503,131))=0,"",INDEX('Aides'!$V$4:$V$503,131))</f>
        <v/>
      </c>
    </row>
    <row r="135">
      <c r="A135">
        <f>IF(AND(LEN('Aides'!A135)&gt;0,ISNUMBER('Aides'!I135)),1,0)</f>
        <v/>
      </c>
      <c r="B135">
        <f>B134+A135</f>
        <v/>
      </c>
      <c r="C135">
        <f>IF(132&gt;$B$1503,"",MATCH(132-0.5,$B$3:$B$1503,1))</f>
        <v/>
      </c>
      <c r="D135">
        <f>"CNA certification ("&amp;IF(LEN(INDEX('Aides'!$C$4:$C$503,132))=0,"",INDEX('Aides'!$C$4:$C$503,132))&amp;") – "&amp;IF(LEN(INDEX('Aides'!$A$4:$A$503,132))=0,"",INDEX('Aides'!$A$4:$A$503,132))</f>
        <v/>
      </c>
      <c r="E135">
        <f>IF(ISNUMBER(INDEX('Aides'!$I$4:$I$503,132)),TEXT(INDEX('Aides'!$I$4:$I$503,132),"yyyy-mm-dd"),"")</f>
        <v/>
      </c>
      <c r="F135">
        <f>"Certification"</f>
        <v/>
      </c>
      <c r="G135">
        <f>"High"</f>
        <v/>
      </c>
      <c r="H135">
        <f>TRIM(IF(LEN(IF(LEN(INDEX('Aides'!$D$4:$D$503,132))=0,"",INDEX('Aides'!$D$4:$D$503,132)))=0,"","Registry no.: "&amp;IF(LEN(INDEX('Aides'!$D$4:$D$503,132))=0,"",INDEX('Aides'!$D$4:$D$503,132))&amp;". ")&amp;IF(LEN(IF(ISNUMBER(INDEX('Aides'!$F$4:$F$503,132)),TEXT(INDEX('Aides'!$F$4:$F$503,132),"yyyy-mm-dd"),""))=0,"","Registry expiry: "&amp;IF(ISNUMBER(INDEX('Aides'!$F$4:$F$503,132)),TEXT(INDEX('Aides'!$F$4:$F$503,132),"yyyy-mm-dd"),"")&amp;". ")&amp;IF(LEN(IF(ISNUMBER(INDEX('Aides'!$G$4:$G$503,132)),TEXT(INDEX('Aides'!$G$4:$G$503,132),"yyyy-mm-dd"),""))=0,"","Last paid nursing work: "&amp;IF(ISNUMBER(INDEX('Aides'!$G$4:$G$503,132)),TEXT(INDEX('Aides'!$G$4:$G$503,132),"yyyy-mm-dd"),"")&amp;". ")&amp;IF(LEN(IF(ISNUMBER(INDEX('Aides'!$H$4:$H$503,132)),TEXT(INDEX('Aides'!$H$4:$H$503,132),"yyyy-mm-dd"),""))=0,"","24-month cut-off: "&amp;IF(ISNUMBER(INDEX('Aides'!$H$4:$H$503,132)),TEXT(INDEX('Aides'!$H$4:$H$503,132),"yyyy-mm-dd"),"")&amp;". ")&amp;IF(LEN(IF(LEN(INDEX('Aides'!$U$4:$U$503,132))=0,"",INDEX('Aides'!$U$4:$U$503,132)))=0,"","Owner: "&amp;IF(LEN(INDEX('Aides'!$U$4:$U$503,132))=0,"",INDEX('Aides'!$U$4:$U$503,132))&amp;". ")&amp;IF(LEN(IF(LEN(INDEX('Aides'!$X$4:$X$503,132))=0,"",INDEX('Aides'!$X$4:$X$503,132)))=0,"",IF(LEN(INDEX('Aides'!$X$4:$X$503,132))=0,"",INDEX('Aides'!$X$4:$X$503,132))))</f>
        <v/>
      </c>
      <c r="I135">
        <f>IF(LEN(INDEX('Aides'!$W$4:$W$503,132))=0,"",INDEX('Aides'!$W$4:$W$503,132))</f>
        <v/>
      </c>
      <c r="J135">
        <f>IF(LEN(INDEX('Aides'!$V$4:$V$503,132))=0,"",INDEX('Aides'!$V$4:$V$503,132))</f>
        <v/>
      </c>
    </row>
    <row r="136">
      <c r="A136">
        <f>IF(AND(LEN('Aides'!A136)&gt;0,ISNUMBER('Aides'!I136)),1,0)</f>
        <v/>
      </c>
      <c r="B136">
        <f>B135+A136</f>
        <v/>
      </c>
      <c r="C136">
        <f>IF(133&gt;$B$1503,"",MATCH(133-0.5,$B$3:$B$1503,1))</f>
        <v/>
      </c>
      <c r="D136">
        <f>"CNA certification ("&amp;IF(LEN(INDEX('Aides'!$C$4:$C$503,133))=0,"",INDEX('Aides'!$C$4:$C$503,133))&amp;") – "&amp;IF(LEN(INDEX('Aides'!$A$4:$A$503,133))=0,"",INDEX('Aides'!$A$4:$A$503,133))</f>
        <v/>
      </c>
      <c r="E136">
        <f>IF(ISNUMBER(INDEX('Aides'!$I$4:$I$503,133)),TEXT(INDEX('Aides'!$I$4:$I$503,133),"yyyy-mm-dd"),"")</f>
        <v/>
      </c>
      <c r="F136">
        <f>"Certification"</f>
        <v/>
      </c>
      <c r="G136">
        <f>"High"</f>
        <v/>
      </c>
      <c r="H136">
        <f>TRIM(IF(LEN(IF(LEN(INDEX('Aides'!$D$4:$D$503,133))=0,"",INDEX('Aides'!$D$4:$D$503,133)))=0,"","Registry no.: "&amp;IF(LEN(INDEX('Aides'!$D$4:$D$503,133))=0,"",INDEX('Aides'!$D$4:$D$503,133))&amp;". ")&amp;IF(LEN(IF(ISNUMBER(INDEX('Aides'!$F$4:$F$503,133)),TEXT(INDEX('Aides'!$F$4:$F$503,133),"yyyy-mm-dd"),""))=0,"","Registry expiry: "&amp;IF(ISNUMBER(INDEX('Aides'!$F$4:$F$503,133)),TEXT(INDEX('Aides'!$F$4:$F$503,133),"yyyy-mm-dd"),"")&amp;". ")&amp;IF(LEN(IF(ISNUMBER(INDEX('Aides'!$G$4:$G$503,133)),TEXT(INDEX('Aides'!$G$4:$G$503,133),"yyyy-mm-dd"),""))=0,"","Last paid nursing work: "&amp;IF(ISNUMBER(INDEX('Aides'!$G$4:$G$503,133)),TEXT(INDEX('Aides'!$G$4:$G$503,133),"yyyy-mm-dd"),"")&amp;". ")&amp;IF(LEN(IF(ISNUMBER(INDEX('Aides'!$H$4:$H$503,133)),TEXT(INDEX('Aides'!$H$4:$H$503,133),"yyyy-mm-dd"),""))=0,"","24-month cut-off: "&amp;IF(ISNUMBER(INDEX('Aides'!$H$4:$H$503,133)),TEXT(INDEX('Aides'!$H$4:$H$503,133),"yyyy-mm-dd"),"")&amp;". ")&amp;IF(LEN(IF(LEN(INDEX('Aides'!$U$4:$U$503,133))=0,"",INDEX('Aides'!$U$4:$U$503,133)))=0,"","Owner: "&amp;IF(LEN(INDEX('Aides'!$U$4:$U$503,133))=0,"",INDEX('Aides'!$U$4:$U$503,133))&amp;". ")&amp;IF(LEN(IF(LEN(INDEX('Aides'!$X$4:$X$503,133))=0,"",INDEX('Aides'!$X$4:$X$503,133)))=0,"",IF(LEN(INDEX('Aides'!$X$4:$X$503,133))=0,"",INDEX('Aides'!$X$4:$X$503,133))))</f>
        <v/>
      </c>
      <c r="I136">
        <f>IF(LEN(INDEX('Aides'!$W$4:$W$503,133))=0,"",INDEX('Aides'!$W$4:$W$503,133))</f>
        <v/>
      </c>
      <c r="J136">
        <f>IF(LEN(INDEX('Aides'!$V$4:$V$503,133))=0,"",INDEX('Aides'!$V$4:$V$503,133))</f>
        <v/>
      </c>
    </row>
    <row r="137">
      <c r="A137">
        <f>IF(AND(LEN('Aides'!A137)&gt;0,ISNUMBER('Aides'!I137)),1,0)</f>
        <v/>
      </c>
      <c r="B137">
        <f>B136+A137</f>
        <v/>
      </c>
      <c r="C137">
        <f>IF(134&gt;$B$1503,"",MATCH(134-0.5,$B$3:$B$1503,1))</f>
        <v/>
      </c>
      <c r="D137">
        <f>"CNA certification ("&amp;IF(LEN(INDEX('Aides'!$C$4:$C$503,134))=0,"",INDEX('Aides'!$C$4:$C$503,134))&amp;") – "&amp;IF(LEN(INDEX('Aides'!$A$4:$A$503,134))=0,"",INDEX('Aides'!$A$4:$A$503,134))</f>
        <v/>
      </c>
      <c r="E137">
        <f>IF(ISNUMBER(INDEX('Aides'!$I$4:$I$503,134)),TEXT(INDEX('Aides'!$I$4:$I$503,134),"yyyy-mm-dd"),"")</f>
        <v/>
      </c>
      <c r="F137">
        <f>"Certification"</f>
        <v/>
      </c>
      <c r="G137">
        <f>"High"</f>
        <v/>
      </c>
      <c r="H137">
        <f>TRIM(IF(LEN(IF(LEN(INDEX('Aides'!$D$4:$D$503,134))=0,"",INDEX('Aides'!$D$4:$D$503,134)))=0,"","Registry no.: "&amp;IF(LEN(INDEX('Aides'!$D$4:$D$503,134))=0,"",INDEX('Aides'!$D$4:$D$503,134))&amp;". ")&amp;IF(LEN(IF(ISNUMBER(INDEX('Aides'!$F$4:$F$503,134)),TEXT(INDEX('Aides'!$F$4:$F$503,134),"yyyy-mm-dd"),""))=0,"","Registry expiry: "&amp;IF(ISNUMBER(INDEX('Aides'!$F$4:$F$503,134)),TEXT(INDEX('Aides'!$F$4:$F$503,134),"yyyy-mm-dd"),"")&amp;". ")&amp;IF(LEN(IF(ISNUMBER(INDEX('Aides'!$G$4:$G$503,134)),TEXT(INDEX('Aides'!$G$4:$G$503,134),"yyyy-mm-dd"),""))=0,"","Last paid nursing work: "&amp;IF(ISNUMBER(INDEX('Aides'!$G$4:$G$503,134)),TEXT(INDEX('Aides'!$G$4:$G$503,134),"yyyy-mm-dd"),"")&amp;". ")&amp;IF(LEN(IF(ISNUMBER(INDEX('Aides'!$H$4:$H$503,134)),TEXT(INDEX('Aides'!$H$4:$H$503,134),"yyyy-mm-dd"),""))=0,"","24-month cut-off: "&amp;IF(ISNUMBER(INDEX('Aides'!$H$4:$H$503,134)),TEXT(INDEX('Aides'!$H$4:$H$503,134),"yyyy-mm-dd"),"")&amp;". ")&amp;IF(LEN(IF(LEN(INDEX('Aides'!$U$4:$U$503,134))=0,"",INDEX('Aides'!$U$4:$U$503,134)))=0,"","Owner: "&amp;IF(LEN(INDEX('Aides'!$U$4:$U$503,134))=0,"",INDEX('Aides'!$U$4:$U$503,134))&amp;". ")&amp;IF(LEN(IF(LEN(INDEX('Aides'!$X$4:$X$503,134))=0,"",INDEX('Aides'!$X$4:$X$503,134)))=0,"",IF(LEN(INDEX('Aides'!$X$4:$X$503,134))=0,"",INDEX('Aides'!$X$4:$X$503,134))))</f>
        <v/>
      </c>
      <c r="I137">
        <f>IF(LEN(INDEX('Aides'!$W$4:$W$503,134))=0,"",INDEX('Aides'!$W$4:$W$503,134))</f>
        <v/>
      </c>
      <c r="J137">
        <f>IF(LEN(INDEX('Aides'!$V$4:$V$503,134))=0,"",INDEX('Aides'!$V$4:$V$503,134))</f>
        <v/>
      </c>
    </row>
    <row r="138">
      <c r="A138">
        <f>IF(AND(LEN('Aides'!A138)&gt;0,ISNUMBER('Aides'!I138)),1,0)</f>
        <v/>
      </c>
      <c r="B138">
        <f>B137+A138</f>
        <v/>
      </c>
      <c r="C138">
        <f>IF(135&gt;$B$1503,"",MATCH(135-0.5,$B$3:$B$1503,1))</f>
        <v/>
      </c>
      <c r="D138">
        <f>"CNA certification ("&amp;IF(LEN(INDEX('Aides'!$C$4:$C$503,135))=0,"",INDEX('Aides'!$C$4:$C$503,135))&amp;") – "&amp;IF(LEN(INDEX('Aides'!$A$4:$A$503,135))=0,"",INDEX('Aides'!$A$4:$A$503,135))</f>
        <v/>
      </c>
      <c r="E138">
        <f>IF(ISNUMBER(INDEX('Aides'!$I$4:$I$503,135)),TEXT(INDEX('Aides'!$I$4:$I$503,135),"yyyy-mm-dd"),"")</f>
        <v/>
      </c>
      <c r="F138">
        <f>"Certification"</f>
        <v/>
      </c>
      <c r="G138">
        <f>"High"</f>
        <v/>
      </c>
      <c r="H138">
        <f>TRIM(IF(LEN(IF(LEN(INDEX('Aides'!$D$4:$D$503,135))=0,"",INDEX('Aides'!$D$4:$D$503,135)))=0,"","Registry no.: "&amp;IF(LEN(INDEX('Aides'!$D$4:$D$503,135))=0,"",INDEX('Aides'!$D$4:$D$503,135))&amp;". ")&amp;IF(LEN(IF(ISNUMBER(INDEX('Aides'!$F$4:$F$503,135)),TEXT(INDEX('Aides'!$F$4:$F$503,135),"yyyy-mm-dd"),""))=0,"","Registry expiry: "&amp;IF(ISNUMBER(INDEX('Aides'!$F$4:$F$503,135)),TEXT(INDEX('Aides'!$F$4:$F$503,135),"yyyy-mm-dd"),"")&amp;". ")&amp;IF(LEN(IF(ISNUMBER(INDEX('Aides'!$G$4:$G$503,135)),TEXT(INDEX('Aides'!$G$4:$G$503,135),"yyyy-mm-dd"),""))=0,"","Last paid nursing work: "&amp;IF(ISNUMBER(INDEX('Aides'!$G$4:$G$503,135)),TEXT(INDEX('Aides'!$G$4:$G$503,135),"yyyy-mm-dd"),"")&amp;". ")&amp;IF(LEN(IF(ISNUMBER(INDEX('Aides'!$H$4:$H$503,135)),TEXT(INDEX('Aides'!$H$4:$H$503,135),"yyyy-mm-dd"),""))=0,"","24-month cut-off: "&amp;IF(ISNUMBER(INDEX('Aides'!$H$4:$H$503,135)),TEXT(INDEX('Aides'!$H$4:$H$503,135),"yyyy-mm-dd"),"")&amp;". ")&amp;IF(LEN(IF(LEN(INDEX('Aides'!$U$4:$U$503,135))=0,"",INDEX('Aides'!$U$4:$U$503,135)))=0,"","Owner: "&amp;IF(LEN(INDEX('Aides'!$U$4:$U$503,135))=0,"",INDEX('Aides'!$U$4:$U$503,135))&amp;". ")&amp;IF(LEN(IF(LEN(INDEX('Aides'!$X$4:$X$503,135))=0,"",INDEX('Aides'!$X$4:$X$503,135)))=0,"",IF(LEN(INDEX('Aides'!$X$4:$X$503,135))=0,"",INDEX('Aides'!$X$4:$X$503,135))))</f>
        <v/>
      </c>
      <c r="I138">
        <f>IF(LEN(INDEX('Aides'!$W$4:$W$503,135))=0,"",INDEX('Aides'!$W$4:$W$503,135))</f>
        <v/>
      </c>
      <c r="J138">
        <f>IF(LEN(INDEX('Aides'!$V$4:$V$503,135))=0,"",INDEX('Aides'!$V$4:$V$503,135))</f>
        <v/>
      </c>
    </row>
    <row r="139">
      <c r="A139">
        <f>IF(AND(LEN('Aides'!A139)&gt;0,ISNUMBER('Aides'!I139)),1,0)</f>
        <v/>
      </c>
      <c r="B139">
        <f>B138+A139</f>
        <v/>
      </c>
      <c r="C139">
        <f>IF(136&gt;$B$1503,"",MATCH(136-0.5,$B$3:$B$1503,1))</f>
        <v/>
      </c>
      <c r="D139">
        <f>"CNA certification ("&amp;IF(LEN(INDEX('Aides'!$C$4:$C$503,136))=0,"",INDEX('Aides'!$C$4:$C$503,136))&amp;") – "&amp;IF(LEN(INDEX('Aides'!$A$4:$A$503,136))=0,"",INDEX('Aides'!$A$4:$A$503,136))</f>
        <v/>
      </c>
      <c r="E139">
        <f>IF(ISNUMBER(INDEX('Aides'!$I$4:$I$503,136)),TEXT(INDEX('Aides'!$I$4:$I$503,136),"yyyy-mm-dd"),"")</f>
        <v/>
      </c>
      <c r="F139">
        <f>"Certification"</f>
        <v/>
      </c>
      <c r="G139">
        <f>"High"</f>
        <v/>
      </c>
      <c r="H139">
        <f>TRIM(IF(LEN(IF(LEN(INDEX('Aides'!$D$4:$D$503,136))=0,"",INDEX('Aides'!$D$4:$D$503,136)))=0,"","Registry no.: "&amp;IF(LEN(INDEX('Aides'!$D$4:$D$503,136))=0,"",INDEX('Aides'!$D$4:$D$503,136))&amp;". ")&amp;IF(LEN(IF(ISNUMBER(INDEX('Aides'!$F$4:$F$503,136)),TEXT(INDEX('Aides'!$F$4:$F$503,136),"yyyy-mm-dd"),""))=0,"","Registry expiry: "&amp;IF(ISNUMBER(INDEX('Aides'!$F$4:$F$503,136)),TEXT(INDEX('Aides'!$F$4:$F$503,136),"yyyy-mm-dd"),"")&amp;". ")&amp;IF(LEN(IF(ISNUMBER(INDEX('Aides'!$G$4:$G$503,136)),TEXT(INDEX('Aides'!$G$4:$G$503,136),"yyyy-mm-dd"),""))=0,"","Last paid nursing work: "&amp;IF(ISNUMBER(INDEX('Aides'!$G$4:$G$503,136)),TEXT(INDEX('Aides'!$G$4:$G$503,136),"yyyy-mm-dd"),"")&amp;". ")&amp;IF(LEN(IF(ISNUMBER(INDEX('Aides'!$H$4:$H$503,136)),TEXT(INDEX('Aides'!$H$4:$H$503,136),"yyyy-mm-dd"),""))=0,"","24-month cut-off: "&amp;IF(ISNUMBER(INDEX('Aides'!$H$4:$H$503,136)),TEXT(INDEX('Aides'!$H$4:$H$503,136),"yyyy-mm-dd"),"")&amp;". ")&amp;IF(LEN(IF(LEN(INDEX('Aides'!$U$4:$U$503,136))=0,"",INDEX('Aides'!$U$4:$U$503,136)))=0,"","Owner: "&amp;IF(LEN(INDEX('Aides'!$U$4:$U$503,136))=0,"",INDEX('Aides'!$U$4:$U$503,136))&amp;". ")&amp;IF(LEN(IF(LEN(INDEX('Aides'!$X$4:$X$503,136))=0,"",INDEX('Aides'!$X$4:$X$503,136)))=0,"",IF(LEN(INDEX('Aides'!$X$4:$X$503,136))=0,"",INDEX('Aides'!$X$4:$X$503,136))))</f>
        <v/>
      </c>
      <c r="I139">
        <f>IF(LEN(INDEX('Aides'!$W$4:$W$503,136))=0,"",INDEX('Aides'!$W$4:$W$503,136))</f>
        <v/>
      </c>
      <c r="J139">
        <f>IF(LEN(INDEX('Aides'!$V$4:$V$503,136))=0,"",INDEX('Aides'!$V$4:$V$503,136))</f>
        <v/>
      </c>
    </row>
    <row r="140">
      <c r="A140">
        <f>IF(AND(LEN('Aides'!A140)&gt;0,ISNUMBER('Aides'!I140)),1,0)</f>
        <v/>
      </c>
      <c r="B140">
        <f>B139+A140</f>
        <v/>
      </c>
      <c r="C140">
        <f>IF(137&gt;$B$1503,"",MATCH(137-0.5,$B$3:$B$1503,1))</f>
        <v/>
      </c>
      <c r="D140">
        <f>"CNA certification ("&amp;IF(LEN(INDEX('Aides'!$C$4:$C$503,137))=0,"",INDEX('Aides'!$C$4:$C$503,137))&amp;") – "&amp;IF(LEN(INDEX('Aides'!$A$4:$A$503,137))=0,"",INDEX('Aides'!$A$4:$A$503,137))</f>
        <v/>
      </c>
      <c r="E140">
        <f>IF(ISNUMBER(INDEX('Aides'!$I$4:$I$503,137)),TEXT(INDEX('Aides'!$I$4:$I$503,137),"yyyy-mm-dd"),"")</f>
        <v/>
      </c>
      <c r="F140">
        <f>"Certification"</f>
        <v/>
      </c>
      <c r="G140">
        <f>"High"</f>
        <v/>
      </c>
      <c r="H140">
        <f>TRIM(IF(LEN(IF(LEN(INDEX('Aides'!$D$4:$D$503,137))=0,"",INDEX('Aides'!$D$4:$D$503,137)))=0,"","Registry no.: "&amp;IF(LEN(INDEX('Aides'!$D$4:$D$503,137))=0,"",INDEX('Aides'!$D$4:$D$503,137))&amp;". ")&amp;IF(LEN(IF(ISNUMBER(INDEX('Aides'!$F$4:$F$503,137)),TEXT(INDEX('Aides'!$F$4:$F$503,137),"yyyy-mm-dd"),""))=0,"","Registry expiry: "&amp;IF(ISNUMBER(INDEX('Aides'!$F$4:$F$503,137)),TEXT(INDEX('Aides'!$F$4:$F$503,137),"yyyy-mm-dd"),"")&amp;". ")&amp;IF(LEN(IF(ISNUMBER(INDEX('Aides'!$G$4:$G$503,137)),TEXT(INDEX('Aides'!$G$4:$G$503,137),"yyyy-mm-dd"),""))=0,"","Last paid nursing work: "&amp;IF(ISNUMBER(INDEX('Aides'!$G$4:$G$503,137)),TEXT(INDEX('Aides'!$G$4:$G$503,137),"yyyy-mm-dd"),"")&amp;". ")&amp;IF(LEN(IF(ISNUMBER(INDEX('Aides'!$H$4:$H$503,137)),TEXT(INDEX('Aides'!$H$4:$H$503,137),"yyyy-mm-dd"),""))=0,"","24-month cut-off: "&amp;IF(ISNUMBER(INDEX('Aides'!$H$4:$H$503,137)),TEXT(INDEX('Aides'!$H$4:$H$503,137),"yyyy-mm-dd"),"")&amp;". ")&amp;IF(LEN(IF(LEN(INDEX('Aides'!$U$4:$U$503,137))=0,"",INDEX('Aides'!$U$4:$U$503,137)))=0,"","Owner: "&amp;IF(LEN(INDEX('Aides'!$U$4:$U$503,137))=0,"",INDEX('Aides'!$U$4:$U$503,137))&amp;". ")&amp;IF(LEN(IF(LEN(INDEX('Aides'!$X$4:$X$503,137))=0,"",INDEX('Aides'!$X$4:$X$503,137)))=0,"",IF(LEN(INDEX('Aides'!$X$4:$X$503,137))=0,"",INDEX('Aides'!$X$4:$X$503,137))))</f>
        <v/>
      </c>
      <c r="I140">
        <f>IF(LEN(INDEX('Aides'!$W$4:$W$503,137))=0,"",INDEX('Aides'!$W$4:$W$503,137))</f>
        <v/>
      </c>
      <c r="J140">
        <f>IF(LEN(INDEX('Aides'!$V$4:$V$503,137))=0,"",INDEX('Aides'!$V$4:$V$503,137))</f>
        <v/>
      </c>
    </row>
    <row r="141">
      <c r="A141">
        <f>IF(AND(LEN('Aides'!A141)&gt;0,ISNUMBER('Aides'!I141)),1,0)</f>
        <v/>
      </c>
      <c r="B141">
        <f>B140+A141</f>
        <v/>
      </c>
      <c r="C141">
        <f>IF(138&gt;$B$1503,"",MATCH(138-0.5,$B$3:$B$1503,1))</f>
        <v/>
      </c>
      <c r="D141">
        <f>"CNA certification ("&amp;IF(LEN(INDEX('Aides'!$C$4:$C$503,138))=0,"",INDEX('Aides'!$C$4:$C$503,138))&amp;") – "&amp;IF(LEN(INDEX('Aides'!$A$4:$A$503,138))=0,"",INDEX('Aides'!$A$4:$A$503,138))</f>
        <v/>
      </c>
      <c r="E141">
        <f>IF(ISNUMBER(INDEX('Aides'!$I$4:$I$503,138)),TEXT(INDEX('Aides'!$I$4:$I$503,138),"yyyy-mm-dd"),"")</f>
        <v/>
      </c>
      <c r="F141">
        <f>"Certification"</f>
        <v/>
      </c>
      <c r="G141">
        <f>"High"</f>
        <v/>
      </c>
      <c r="H141">
        <f>TRIM(IF(LEN(IF(LEN(INDEX('Aides'!$D$4:$D$503,138))=0,"",INDEX('Aides'!$D$4:$D$503,138)))=0,"","Registry no.: "&amp;IF(LEN(INDEX('Aides'!$D$4:$D$503,138))=0,"",INDEX('Aides'!$D$4:$D$503,138))&amp;". ")&amp;IF(LEN(IF(ISNUMBER(INDEX('Aides'!$F$4:$F$503,138)),TEXT(INDEX('Aides'!$F$4:$F$503,138),"yyyy-mm-dd"),""))=0,"","Registry expiry: "&amp;IF(ISNUMBER(INDEX('Aides'!$F$4:$F$503,138)),TEXT(INDEX('Aides'!$F$4:$F$503,138),"yyyy-mm-dd"),"")&amp;". ")&amp;IF(LEN(IF(ISNUMBER(INDEX('Aides'!$G$4:$G$503,138)),TEXT(INDEX('Aides'!$G$4:$G$503,138),"yyyy-mm-dd"),""))=0,"","Last paid nursing work: "&amp;IF(ISNUMBER(INDEX('Aides'!$G$4:$G$503,138)),TEXT(INDEX('Aides'!$G$4:$G$503,138),"yyyy-mm-dd"),"")&amp;". ")&amp;IF(LEN(IF(ISNUMBER(INDEX('Aides'!$H$4:$H$503,138)),TEXT(INDEX('Aides'!$H$4:$H$503,138),"yyyy-mm-dd"),""))=0,"","24-month cut-off: "&amp;IF(ISNUMBER(INDEX('Aides'!$H$4:$H$503,138)),TEXT(INDEX('Aides'!$H$4:$H$503,138),"yyyy-mm-dd"),"")&amp;". ")&amp;IF(LEN(IF(LEN(INDEX('Aides'!$U$4:$U$503,138))=0,"",INDEX('Aides'!$U$4:$U$503,138)))=0,"","Owner: "&amp;IF(LEN(INDEX('Aides'!$U$4:$U$503,138))=0,"",INDEX('Aides'!$U$4:$U$503,138))&amp;". ")&amp;IF(LEN(IF(LEN(INDEX('Aides'!$X$4:$X$503,138))=0,"",INDEX('Aides'!$X$4:$X$503,138)))=0,"",IF(LEN(INDEX('Aides'!$X$4:$X$503,138))=0,"",INDEX('Aides'!$X$4:$X$503,138))))</f>
        <v/>
      </c>
      <c r="I141">
        <f>IF(LEN(INDEX('Aides'!$W$4:$W$503,138))=0,"",INDEX('Aides'!$W$4:$W$503,138))</f>
        <v/>
      </c>
      <c r="J141">
        <f>IF(LEN(INDEX('Aides'!$V$4:$V$503,138))=0,"",INDEX('Aides'!$V$4:$V$503,138))</f>
        <v/>
      </c>
    </row>
    <row r="142">
      <c r="A142">
        <f>IF(AND(LEN('Aides'!A142)&gt;0,ISNUMBER('Aides'!I142)),1,0)</f>
        <v/>
      </c>
      <c r="B142">
        <f>B141+A142</f>
        <v/>
      </c>
      <c r="C142">
        <f>IF(139&gt;$B$1503,"",MATCH(139-0.5,$B$3:$B$1503,1))</f>
        <v/>
      </c>
      <c r="D142">
        <f>"CNA certification ("&amp;IF(LEN(INDEX('Aides'!$C$4:$C$503,139))=0,"",INDEX('Aides'!$C$4:$C$503,139))&amp;") – "&amp;IF(LEN(INDEX('Aides'!$A$4:$A$503,139))=0,"",INDEX('Aides'!$A$4:$A$503,139))</f>
        <v/>
      </c>
      <c r="E142">
        <f>IF(ISNUMBER(INDEX('Aides'!$I$4:$I$503,139)),TEXT(INDEX('Aides'!$I$4:$I$503,139),"yyyy-mm-dd"),"")</f>
        <v/>
      </c>
      <c r="F142">
        <f>"Certification"</f>
        <v/>
      </c>
      <c r="G142">
        <f>"High"</f>
        <v/>
      </c>
      <c r="H142">
        <f>TRIM(IF(LEN(IF(LEN(INDEX('Aides'!$D$4:$D$503,139))=0,"",INDEX('Aides'!$D$4:$D$503,139)))=0,"","Registry no.: "&amp;IF(LEN(INDEX('Aides'!$D$4:$D$503,139))=0,"",INDEX('Aides'!$D$4:$D$503,139))&amp;". ")&amp;IF(LEN(IF(ISNUMBER(INDEX('Aides'!$F$4:$F$503,139)),TEXT(INDEX('Aides'!$F$4:$F$503,139),"yyyy-mm-dd"),""))=0,"","Registry expiry: "&amp;IF(ISNUMBER(INDEX('Aides'!$F$4:$F$503,139)),TEXT(INDEX('Aides'!$F$4:$F$503,139),"yyyy-mm-dd"),"")&amp;". ")&amp;IF(LEN(IF(ISNUMBER(INDEX('Aides'!$G$4:$G$503,139)),TEXT(INDEX('Aides'!$G$4:$G$503,139),"yyyy-mm-dd"),""))=0,"","Last paid nursing work: "&amp;IF(ISNUMBER(INDEX('Aides'!$G$4:$G$503,139)),TEXT(INDEX('Aides'!$G$4:$G$503,139),"yyyy-mm-dd"),"")&amp;". ")&amp;IF(LEN(IF(ISNUMBER(INDEX('Aides'!$H$4:$H$503,139)),TEXT(INDEX('Aides'!$H$4:$H$503,139),"yyyy-mm-dd"),""))=0,"","24-month cut-off: "&amp;IF(ISNUMBER(INDEX('Aides'!$H$4:$H$503,139)),TEXT(INDEX('Aides'!$H$4:$H$503,139),"yyyy-mm-dd"),"")&amp;". ")&amp;IF(LEN(IF(LEN(INDEX('Aides'!$U$4:$U$503,139))=0,"",INDEX('Aides'!$U$4:$U$503,139)))=0,"","Owner: "&amp;IF(LEN(INDEX('Aides'!$U$4:$U$503,139))=0,"",INDEX('Aides'!$U$4:$U$503,139))&amp;". ")&amp;IF(LEN(IF(LEN(INDEX('Aides'!$X$4:$X$503,139))=0,"",INDEX('Aides'!$X$4:$X$503,139)))=0,"",IF(LEN(INDEX('Aides'!$X$4:$X$503,139))=0,"",INDEX('Aides'!$X$4:$X$503,139))))</f>
        <v/>
      </c>
      <c r="I142">
        <f>IF(LEN(INDEX('Aides'!$W$4:$W$503,139))=0,"",INDEX('Aides'!$W$4:$W$503,139))</f>
        <v/>
      </c>
      <c r="J142">
        <f>IF(LEN(INDEX('Aides'!$V$4:$V$503,139))=0,"",INDEX('Aides'!$V$4:$V$503,139))</f>
        <v/>
      </c>
    </row>
    <row r="143">
      <c r="A143">
        <f>IF(AND(LEN('Aides'!A143)&gt;0,ISNUMBER('Aides'!I143)),1,0)</f>
        <v/>
      </c>
      <c r="B143">
        <f>B142+A143</f>
        <v/>
      </c>
      <c r="C143">
        <f>IF(140&gt;$B$1503,"",MATCH(140-0.5,$B$3:$B$1503,1))</f>
        <v/>
      </c>
      <c r="D143">
        <f>"CNA certification ("&amp;IF(LEN(INDEX('Aides'!$C$4:$C$503,140))=0,"",INDEX('Aides'!$C$4:$C$503,140))&amp;") – "&amp;IF(LEN(INDEX('Aides'!$A$4:$A$503,140))=0,"",INDEX('Aides'!$A$4:$A$503,140))</f>
        <v/>
      </c>
      <c r="E143">
        <f>IF(ISNUMBER(INDEX('Aides'!$I$4:$I$503,140)),TEXT(INDEX('Aides'!$I$4:$I$503,140),"yyyy-mm-dd"),"")</f>
        <v/>
      </c>
      <c r="F143">
        <f>"Certification"</f>
        <v/>
      </c>
      <c r="G143">
        <f>"High"</f>
        <v/>
      </c>
      <c r="H143">
        <f>TRIM(IF(LEN(IF(LEN(INDEX('Aides'!$D$4:$D$503,140))=0,"",INDEX('Aides'!$D$4:$D$503,140)))=0,"","Registry no.: "&amp;IF(LEN(INDEX('Aides'!$D$4:$D$503,140))=0,"",INDEX('Aides'!$D$4:$D$503,140))&amp;". ")&amp;IF(LEN(IF(ISNUMBER(INDEX('Aides'!$F$4:$F$503,140)),TEXT(INDEX('Aides'!$F$4:$F$503,140),"yyyy-mm-dd"),""))=0,"","Registry expiry: "&amp;IF(ISNUMBER(INDEX('Aides'!$F$4:$F$503,140)),TEXT(INDEX('Aides'!$F$4:$F$503,140),"yyyy-mm-dd"),"")&amp;". ")&amp;IF(LEN(IF(ISNUMBER(INDEX('Aides'!$G$4:$G$503,140)),TEXT(INDEX('Aides'!$G$4:$G$503,140),"yyyy-mm-dd"),""))=0,"","Last paid nursing work: "&amp;IF(ISNUMBER(INDEX('Aides'!$G$4:$G$503,140)),TEXT(INDEX('Aides'!$G$4:$G$503,140),"yyyy-mm-dd"),"")&amp;". ")&amp;IF(LEN(IF(ISNUMBER(INDEX('Aides'!$H$4:$H$503,140)),TEXT(INDEX('Aides'!$H$4:$H$503,140),"yyyy-mm-dd"),""))=0,"","24-month cut-off: "&amp;IF(ISNUMBER(INDEX('Aides'!$H$4:$H$503,140)),TEXT(INDEX('Aides'!$H$4:$H$503,140),"yyyy-mm-dd"),"")&amp;". ")&amp;IF(LEN(IF(LEN(INDEX('Aides'!$U$4:$U$503,140))=0,"",INDEX('Aides'!$U$4:$U$503,140)))=0,"","Owner: "&amp;IF(LEN(INDEX('Aides'!$U$4:$U$503,140))=0,"",INDEX('Aides'!$U$4:$U$503,140))&amp;". ")&amp;IF(LEN(IF(LEN(INDEX('Aides'!$X$4:$X$503,140))=0,"",INDEX('Aides'!$X$4:$X$503,140)))=0,"",IF(LEN(INDEX('Aides'!$X$4:$X$503,140))=0,"",INDEX('Aides'!$X$4:$X$503,140))))</f>
        <v/>
      </c>
      <c r="I143">
        <f>IF(LEN(INDEX('Aides'!$W$4:$W$503,140))=0,"",INDEX('Aides'!$W$4:$W$503,140))</f>
        <v/>
      </c>
      <c r="J143">
        <f>IF(LEN(INDEX('Aides'!$V$4:$V$503,140))=0,"",INDEX('Aides'!$V$4:$V$503,140))</f>
        <v/>
      </c>
    </row>
    <row r="144">
      <c r="A144">
        <f>IF(AND(LEN('Aides'!A144)&gt;0,ISNUMBER('Aides'!I144)),1,0)</f>
        <v/>
      </c>
      <c r="B144">
        <f>B143+A144</f>
        <v/>
      </c>
      <c r="C144">
        <f>IF(141&gt;$B$1503,"",MATCH(141-0.5,$B$3:$B$1503,1))</f>
        <v/>
      </c>
      <c r="D144">
        <f>"CNA certification ("&amp;IF(LEN(INDEX('Aides'!$C$4:$C$503,141))=0,"",INDEX('Aides'!$C$4:$C$503,141))&amp;") – "&amp;IF(LEN(INDEX('Aides'!$A$4:$A$503,141))=0,"",INDEX('Aides'!$A$4:$A$503,141))</f>
        <v/>
      </c>
      <c r="E144">
        <f>IF(ISNUMBER(INDEX('Aides'!$I$4:$I$503,141)),TEXT(INDEX('Aides'!$I$4:$I$503,141),"yyyy-mm-dd"),"")</f>
        <v/>
      </c>
      <c r="F144">
        <f>"Certification"</f>
        <v/>
      </c>
      <c r="G144">
        <f>"High"</f>
        <v/>
      </c>
      <c r="H144">
        <f>TRIM(IF(LEN(IF(LEN(INDEX('Aides'!$D$4:$D$503,141))=0,"",INDEX('Aides'!$D$4:$D$503,141)))=0,"","Registry no.: "&amp;IF(LEN(INDEX('Aides'!$D$4:$D$503,141))=0,"",INDEX('Aides'!$D$4:$D$503,141))&amp;". ")&amp;IF(LEN(IF(ISNUMBER(INDEX('Aides'!$F$4:$F$503,141)),TEXT(INDEX('Aides'!$F$4:$F$503,141),"yyyy-mm-dd"),""))=0,"","Registry expiry: "&amp;IF(ISNUMBER(INDEX('Aides'!$F$4:$F$503,141)),TEXT(INDEX('Aides'!$F$4:$F$503,141),"yyyy-mm-dd"),"")&amp;". ")&amp;IF(LEN(IF(ISNUMBER(INDEX('Aides'!$G$4:$G$503,141)),TEXT(INDEX('Aides'!$G$4:$G$503,141),"yyyy-mm-dd"),""))=0,"","Last paid nursing work: "&amp;IF(ISNUMBER(INDEX('Aides'!$G$4:$G$503,141)),TEXT(INDEX('Aides'!$G$4:$G$503,141),"yyyy-mm-dd"),"")&amp;". ")&amp;IF(LEN(IF(ISNUMBER(INDEX('Aides'!$H$4:$H$503,141)),TEXT(INDEX('Aides'!$H$4:$H$503,141),"yyyy-mm-dd"),""))=0,"","24-month cut-off: "&amp;IF(ISNUMBER(INDEX('Aides'!$H$4:$H$503,141)),TEXT(INDEX('Aides'!$H$4:$H$503,141),"yyyy-mm-dd"),"")&amp;". ")&amp;IF(LEN(IF(LEN(INDEX('Aides'!$U$4:$U$503,141))=0,"",INDEX('Aides'!$U$4:$U$503,141)))=0,"","Owner: "&amp;IF(LEN(INDEX('Aides'!$U$4:$U$503,141))=0,"",INDEX('Aides'!$U$4:$U$503,141))&amp;". ")&amp;IF(LEN(IF(LEN(INDEX('Aides'!$X$4:$X$503,141))=0,"",INDEX('Aides'!$X$4:$X$503,141)))=0,"",IF(LEN(INDEX('Aides'!$X$4:$X$503,141))=0,"",INDEX('Aides'!$X$4:$X$503,141))))</f>
        <v/>
      </c>
      <c r="I144">
        <f>IF(LEN(INDEX('Aides'!$W$4:$W$503,141))=0,"",INDEX('Aides'!$W$4:$W$503,141))</f>
        <v/>
      </c>
      <c r="J144">
        <f>IF(LEN(INDEX('Aides'!$V$4:$V$503,141))=0,"",INDEX('Aides'!$V$4:$V$503,141))</f>
        <v/>
      </c>
    </row>
    <row r="145">
      <c r="A145">
        <f>IF(AND(LEN('Aides'!A145)&gt;0,ISNUMBER('Aides'!I145)),1,0)</f>
        <v/>
      </c>
      <c r="B145">
        <f>B144+A145</f>
        <v/>
      </c>
      <c r="C145">
        <f>IF(142&gt;$B$1503,"",MATCH(142-0.5,$B$3:$B$1503,1))</f>
        <v/>
      </c>
      <c r="D145">
        <f>"CNA certification ("&amp;IF(LEN(INDEX('Aides'!$C$4:$C$503,142))=0,"",INDEX('Aides'!$C$4:$C$503,142))&amp;") – "&amp;IF(LEN(INDEX('Aides'!$A$4:$A$503,142))=0,"",INDEX('Aides'!$A$4:$A$503,142))</f>
        <v/>
      </c>
      <c r="E145">
        <f>IF(ISNUMBER(INDEX('Aides'!$I$4:$I$503,142)),TEXT(INDEX('Aides'!$I$4:$I$503,142),"yyyy-mm-dd"),"")</f>
        <v/>
      </c>
      <c r="F145">
        <f>"Certification"</f>
        <v/>
      </c>
      <c r="G145">
        <f>"High"</f>
        <v/>
      </c>
      <c r="H145">
        <f>TRIM(IF(LEN(IF(LEN(INDEX('Aides'!$D$4:$D$503,142))=0,"",INDEX('Aides'!$D$4:$D$503,142)))=0,"","Registry no.: "&amp;IF(LEN(INDEX('Aides'!$D$4:$D$503,142))=0,"",INDEX('Aides'!$D$4:$D$503,142))&amp;". ")&amp;IF(LEN(IF(ISNUMBER(INDEX('Aides'!$F$4:$F$503,142)),TEXT(INDEX('Aides'!$F$4:$F$503,142),"yyyy-mm-dd"),""))=0,"","Registry expiry: "&amp;IF(ISNUMBER(INDEX('Aides'!$F$4:$F$503,142)),TEXT(INDEX('Aides'!$F$4:$F$503,142),"yyyy-mm-dd"),"")&amp;". ")&amp;IF(LEN(IF(ISNUMBER(INDEX('Aides'!$G$4:$G$503,142)),TEXT(INDEX('Aides'!$G$4:$G$503,142),"yyyy-mm-dd"),""))=0,"","Last paid nursing work: "&amp;IF(ISNUMBER(INDEX('Aides'!$G$4:$G$503,142)),TEXT(INDEX('Aides'!$G$4:$G$503,142),"yyyy-mm-dd"),"")&amp;". ")&amp;IF(LEN(IF(ISNUMBER(INDEX('Aides'!$H$4:$H$503,142)),TEXT(INDEX('Aides'!$H$4:$H$503,142),"yyyy-mm-dd"),""))=0,"","24-month cut-off: "&amp;IF(ISNUMBER(INDEX('Aides'!$H$4:$H$503,142)),TEXT(INDEX('Aides'!$H$4:$H$503,142),"yyyy-mm-dd"),"")&amp;". ")&amp;IF(LEN(IF(LEN(INDEX('Aides'!$U$4:$U$503,142))=0,"",INDEX('Aides'!$U$4:$U$503,142)))=0,"","Owner: "&amp;IF(LEN(INDEX('Aides'!$U$4:$U$503,142))=0,"",INDEX('Aides'!$U$4:$U$503,142))&amp;". ")&amp;IF(LEN(IF(LEN(INDEX('Aides'!$X$4:$X$503,142))=0,"",INDEX('Aides'!$X$4:$X$503,142)))=0,"",IF(LEN(INDEX('Aides'!$X$4:$X$503,142))=0,"",INDEX('Aides'!$X$4:$X$503,142))))</f>
        <v/>
      </c>
      <c r="I145">
        <f>IF(LEN(INDEX('Aides'!$W$4:$W$503,142))=0,"",INDEX('Aides'!$W$4:$W$503,142))</f>
        <v/>
      </c>
      <c r="J145">
        <f>IF(LEN(INDEX('Aides'!$V$4:$V$503,142))=0,"",INDEX('Aides'!$V$4:$V$503,142))</f>
        <v/>
      </c>
    </row>
    <row r="146">
      <c r="A146">
        <f>IF(AND(LEN('Aides'!A146)&gt;0,ISNUMBER('Aides'!I146)),1,0)</f>
        <v/>
      </c>
      <c r="B146">
        <f>B145+A146</f>
        <v/>
      </c>
      <c r="C146">
        <f>IF(143&gt;$B$1503,"",MATCH(143-0.5,$B$3:$B$1503,1))</f>
        <v/>
      </c>
      <c r="D146">
        <f>"CNA certification ("&amp;IF(LEN(INDEX('Aides'!$C$4:$C$503,143))=0,"",INDEX('Aides'!$C$4:$C$503,143))&amp;") – "&amp;IF(LEN(INDEX('Aides'!$A$4:$A$503,143))=0,"",INDEX('Aides'!$A$4:$A$503,143))</f>
        <v/>
      </c>
      <c r="E146">
        <f>IF(ISNUMBER(INDEX('Aides'!$I$4:$I$503,143)),TEXT(INDEX('Aides'!$I$4:$I$503,143),"yyyy-mm-dd"),"")</f>
        <v/>
      </c>
      <c r="F146">
        <f>"Certification"</f>
        <v/>
      </c>
      <c r="G146">
        <f>"High"</f>
        <v/>
      </c>
      <c r="H146">
        <f>TRIM(IF(LEN(IF(LEN(INDEX('Aides'!$D$4:$D$503,143))=0,"",INDEX('Aides'!$D$4:$D$503,143)))=0,"","Registry no.: "&amp;IF(LEN(INDEX('Aides'!$D$4:$D$503,143))=0,"",INDEX('Aides'!$D$4:$D$503,143))&amp;". ")&amp;IF(LEN(IF(ISNUMBER(INDEX('Aides'!$F$4:$F$503,143)),TEXT(INDEX('Aides'!$F$4:$F$503,143),"yyyy-mm-dd"),""))=0,"","Registry expiry: "&amp;IF(ISNUMBER(INDEX('Aides'!$F$4:$F$503,143)),TEXT(INDEX('Aides'!$F$4:$F$503,143),"yyyy-mm-dd"),"")&amp;". ")&amp;IF(LEN(IF(ISNUMBER(INDEX('Aides'!$G$4:$G$503,143)),TEXT(INDEX('Aides'!$G$4:$G$503,143),"yyyy-mm-dd"),""))=0,"","Last paid nursing work: "&amp;IF(ISNUMBER(INDEX('Aides'!$G$4:$G$503,143)),TEXT(INDEX('Aides'!$G$4:$G$503,143),"yyyy-mm-dd"),"")&amp;". ")&amp;IF(LEN(IF(ISNUMBER(INDEX('Aides'!$H$4:$H$503,143)),TEXT(INDEX('Aides'!$H$4:$H$503,143),"yyyy-mm-dd"),""))=0,"","24-month cut-off: "&amp;IF(ISNUMBER(INDEX('Aides'!$H$4:$H$503,143)),TEXT(INDEX('Aides'!$H$4:$H$503,143),"yyyy-mm-dd"),"")&amp;". ")&amp;IF(LEN(IF(LEN(INDEX('Aides'!$U$4:$U$503,143))=0,"",INDEX('Aides'!$U$4:$U$503,143)))=0,"","Owner: "&amp;IF(LEN(INDEX('Aides'!$U$4:$U$503,143))=0,"",INDEX('Aides'!$U$4:$U$503,143))&amp;". ")&amp;IF(LEN(IF(LEN(INDEX('Aides'!$X$4:$X$503,143))=0,"",INDEX('Aides'!$X$4:$X$503,143)))=0,"",IF(LEN(INDEX('Aides'!$X$4:$X$503,143))=0,"",INDEX('Aides'!$X$4:$X$503,143))))</f>
        <v/>
      </c>
      <c r="I146">
        <f>IF(LEN(INDEX('Aides'!$W$4:$W$503,143))=0,"",INDEX('Aides'!$W$4:$W$503,143))</f>
        <v/>
      </c>
      <c r="J146">
        <f>IF(LEN(INDEX('Aides'!$V$4:$V$503,143))=0,"",INDEX('Aides'!$V$4:$V$503,143))</f>
        <v/>
      </c>
    </row>
    <row r="147">
      <c r="A147">
        <f>IF(AND(LEN('Aides'!A147)&gt;0,ISNUMBER('Aides'!I147)),1,0)</f>
        <v/>
      </c>
      <c r="B147">
        <f>B146+A147</f>
        <v/>
      </c>
      <c r="C147">
        <f>IF(144&gt;$B$1503,"",MATCH(144-0.5,$B$3:$B$1503,1))</f>
        <v/>
      </c>
      <c r="D147">
        <f>"CNA certification ("&amp;IF(LEN(INDEX('Aides'!$C$4:$C$503,144))=0,"",INDEX('Aides'!$C$4:$C$503,144))&amp;") – "&amp;IF(LEN(INDEX('Aides'!$A$4:$A$503,144))=0,"",INDEX('Aides'!$A$4:$A$503,144))</f>
        <v/>
      </c>
      <c r="E147">
        <f>IF(ISNUMBER(INDEX('Aides'!$I$4:$I$503,144)),TEXT(INDEX('Aides'!$I$4:$I$503,144),"yyyy-mm-dd"),"")</f>
        <v/>
      </c>
      <c r="F147">
        <f>"Certification"</f>
        <v/>
      </c>
      <c r="G147">
        <f>"High"</f>
        <v/>
      </c>
      <c r="H147">
        <f>TRIM(IF(LEN(IF(LEN(INDEX('Aides'!$D$4:$D$503,144))=0,"",INDEX('Aides'!$D$4:$D$503,144)))=0,"","Registry no.: "&amp;IF(LEN(INDEX('Aides'!$D$4:$D$503,144))=0,"",INDEX('Aides'!$D$4:$D$503,144))&amp;". ")&amp;IF(LEN(IF(ISNUMBER(INDEX('Aides'!$F$4:$F$503,144)),TEXT(INDEX('Aides'!$F$4:$F$503,144),"yyyy-mm-dd"),""))=0,"","Registry expiry: "&amp;IF(ISNUMBER(INDEX('Aides'!$F$4:$F$503,144)),TEXT(INDEX('Aides'!$F$4:$F$503,144),"yyyy-mm-dd"),"")&amp;". ")&amp;IF(LEN(IF(ISNUMBER(INDEX('Aides'!$G$4:$G$503,144)),TEXT(INDEX('Aides'!$G$4:$G$503,144),"yyyy-mm-dd"),""))=0,"","Last paid nursing work: "&amp;IF(ISNUMBER(INDEX('Aides'!$G$4:$G$503,144)),TEXT(INDEX('Aides'!$G$4:$G$503,144),"yyyy-mm-dd"),"")&amp;". ")&amp;IF(LEN(IF(ISNUMBER(INDEX('Aides'!$H$4:$H$503,144)),TEXT(INDEX('Aides'!$H$4:$H$503,144),"yyyy-mm-dd"),""))=0,"","24-month cut-off: "&amp;IF(ISNUMBER(INDEX('Aides'!$H$4:$H$503,144)),TEXT(INDEX('Aides'!$H$4:$H$503,144),"yyyy-mm-dd"),"")&amp;". ")&amp;IF(LEN(IF(LEN(INDEX('Aides'!$U$4:$U$503,144))=0,"",INDEX('Aides'!$U$4:$U$503,144)))=0,"","Owner: "&amp;IF(LEN(INDEX('Aides'!$U$4:$U$503,144))=0,"",INDEX('Aides'!$U$4:$U$503,144))&amp;". ")&amp;IF(LEN(IF(LEN(INDEX('Aides'!$X$4:$X$503,144))=0,"",INDEX('Aides'!$X$4:$X$503,144)))=0,"",IF(LEN(INDEX('Aides'!$X$4:$X$503,144))=0,"",INDEX('Aides'!$X$4:$X$503,144))))</f>
        <v/>
      </c>
      <c r="I147">
        <f>IF(LEN(INDEX('Aides'!$W$4:$W$503,144))=0,"",INDEX('Aides'!$W$4:$W$503,144))</f>
        <v/>
      </c>
      <c r="J147">
        <f>IF(LEN(INDEX('Aides'!$V$4:$V$503,144))=0,"",INDEX('Aides'!$V$4:$V$503,144))</f>
        <v/>
      </c>
    </row>
    <row r="148">
      <c r="A148">
        <f>IF(AND(LEN('Aides'!A148)&gt;0,ISNUMBER('Aides'!I148)),1,0)</f>
        <v/>
      </c>
      <c r="B148">
        <f>B147+A148</f>
        <v/>
      </c>
      <c r="C148">
        <f>IF(145&gt;$B$1503,"",MATCH(145-0.5,$B$3:$B$1503,1))</f>
        <v/>
      </c>
      <c r="D148">
        <f>"CNA certification ("&amp;IF(LEN(INDEX('Aides'!$C$4:$C$503,145))=0,"",INDEX('Aides'!$C$4:$C$503,145))&amp;") – "&amp;IF(LEN(INDEX('Aides'!$A$4:$A$503,145))=0,"",INDEX('Aides'!$A$4:$A$503,145))</f>
        <v/>
      </c>
      <c r="E148">
        <f>IF(ISNUMBER(INDEX('Aides'!$I$4:$I$503,145)),TEXT(INDEX('Aides'!$I$4:$I$503,145),"yyyy-mm-dd"),"")</f>
        <v/>
      </c>
      <c r="F148">
        <f>"Certification"</f>
        <v/>
      </c>
      <c r="G148">
        <f>"High"</f>
        <v/>
      </c>
      <c r="H148">
        <f>TRIM(IF(LEN(IF(LEN(INDEX('Aides'!$D$4:$D$503,145))=0,"",INDEX('Aides'!$D$4:$D$503,145)))=0,"","Registry no.: "&amp;IF(LEN(INDEX('Aides'!$D$4:$D$503,145))=0,"",INDEX('Aides'!$D$4:$D$503,145))&amp;". ")&amp;IF(LEN(IF(ISNUMBER(INDEX('Aides'!$F$4:$F$503,145)),TEXT(INDEX('Aides'!$F$4:$F$503,145),"yyyy-mm-dd"),""))=0,"","Registry expiry: "&amp;IF(ISNUMBER(INDEX('Aides'!$F$4:$F$503,145)),TEXT(INDEX('Aides'!$F$4:$F$503,145),"yyyy-mm-dd"),"")&amp;". ")&amp;IF(LEN(IF(ISNUMBER(INDEX('Aides'!$G$4:$G$503,145)),TEXT(INDEX('Aides'!$G$4:$G$503,145),"yyyy-mm-dd"),""))=0,"","Last paid nursing work: "&amp;IF(ISNUMBER(INDEX('Aides'!$G$4:$G$503,145)),TEXT(INDEX('Aides'!$G$4:$G$503,145),"yyyy-mm-dd"),"")&amp;". ")&amp;IF(LEN(IF(ISNUMBER(INDEX('Aides'!$H$4:$H$503,145)),TEXT(INDEX('Aides'!$H$4:$H$503,145),"yyyy-mm-dd"),""))=0,"","24-month cut-off: "&amp;IF(ISNUMBER(INDEX('Aides'!$H$4:$H$503,145)),TEXT(INDEX('Aides'!$H$4:$H$503,145),"yyyy-mm-dd"),"")&amp;". ")&amp;IF(LEN(IF(LEN(INDEX('Aides'!$U$4:$U$503,145))=0,"",INDEX('Aides'!$U$4:$U$503,145)))=0,"","Owner: "&amp;IF(LEN(INDEX('Aides'!$U$4:$U$503,145))=0,"",INDEX('Aides'!$U$4:$U$503,145))&amp;". ")&amp;IF(LEN(IF(LEN(INDEX('Aides'!$X$4:$X$503,145))=0,"",INDEX('Aides'!$X$4:$X$503,145)))=0,"",IF(LEN(INDEX('Aides'!$X$4:$X$503,145))=0,"",INDEX('Aides'!$X$4:$X$503,145))))</f>
        <v/>
      </c>
      <c r="I148">
        <f>IF(LEN(INDEX('Aides'!$W$4:$W$503,145))=0,"",INDEX('Aides'!$W$4:$W$503,145))</f>
        <v/>
      </c>
      <c r="J148">
        <f>IF(LEN(INDEX('Aides'!$V$4:$V$503,145))=0,"",INDEX('Aides'!$V$4:$V$503,145))</f>
        <v/>
      </c>
    </row>
    <row r="149">
      <c r="A149">
        <f>IF(AND(LEN('Aides'!A149)&gt;0,ISNUMBER('Aides'!I149)),1,0)</f>
        <v/>
      </c>
      <c r="B149">
        <f>B148+A149</f>
        <v/>
      </c>
      <c r="C149">
        <f>IF(146&gt;$B$1503,"",MATCH(146-0.5,$B$3:$B$1503,1))</f>
        <v/>
      </c>
      <c r="D149">
        <f>"CNA certification ("&amp;IF(LEN(INDEX('Aides'!$C$4:$C$503,146))=0,"",INDEX('Aides'!$C$4:$C$503,146))&amp;") – "&amp;IF(LEN(INDEX('Aides'!$A$4:$A$503,146))=0,"",INDEX('Aides'!$A$4:$A$503,146))</f>
        <v/>
      </c>
      <c r="E149">
        <f>IF(ISNUMBER(INDEX('Aides'!$I$4:$I$503,146)),TEXT(INDEX('Aides'!$I$4:$I$503,146),"yyyy-mm-dd"),"")</f>
        <v/>
      </c>
      <c r="F149">
        <f>"Certification"</f>
        <v/>
      </c>
      <c r="G149">
        <f>"High"</f>
        <v/>
      </c>
      <c r="H149">
        <f>TRIM(IF(LEN(IF(LEN(INDEX('Aides'!$D$4:$D$503,146))=0,"",INDEX('Aides'!$D$4:$D$503,146)))=0,"","Registry no.: "&amp;IF(LEN(INDEX('Aides'!$D$4:$D$503,146))=0,"",INDEX('Aides'!$D$4:$D$503,146))&amp;". ")&amp;IF(LEN(IF(ISNUMBER(INDEX('Aides'!$F$4:$F$503,146)),TEXT(INDEX('Aides'!$F$4:$F$503,146),"yyyy-mm-dd"),""))=0,"","Registry expiry: "&amp;IF(ISNUMBER(INDEX('Aides'!$F$4:$F$503,146)),TEXT(INDEX('Aides'!$F$4:$F$503,146),"yyyy-mm-dd"),"")&amp;". ")&amp;IF(LEN(IF(ISNUMBER(INDEX('Aides'!$G$4:$G$503,146)),TEXT(INDEX('Aides'!$G$4:$G$503,146),"yyyy-mm-dd"),""))=0,"","Last paid nursing work: "&amp;IF(ISNUMBER(INDEX('Aides'!$G$4:$G$503,146)),TEXT(INDEX('Aides'!$G$4:$G$503,146),"yyyy-mm-dd"),"")&amp;". ")&amp;IF(LEN(IF(ISNUMBER(INDEX('Aides'!$H$4:$H$503,146)),TEXT(INDEX('Aides'!$H$4:$H$503,146),"yyyy-mm-dd"),""))=0,"","24-month cut-off: "&amp;IF(ISNUMBER(INDEX('Aides'!$H$4:$H$503,146)),TEXT(INDEX('Aides'!$H$4:$H$503,146),"yyyy-mm-dd"),"")&amp;". ")&amp;IF(LEN(IF(LEN(INDEX('Aides'!$U$4:$U$503,146))=0,"",INDEX('Aides'!$U$4:$U$503,146)))=0,"","Owner: "&amp;IF(LEN(INDEX('Aides'!$U$4:$U$503,146))=0,"",INDEX('Aides'!$U$4:$U$503,146))&amp;". ")&amp;IF(LEN(IF(LEN(INDEX('Aides'!$X$4:$X$503,146))=0,"",INDEX('Aides'!$X$4:$X$503,146)))=0,"",IF(LEN(INDEX('Aides'!$X$4:$X$503,146))=0,"",INDEX('Aides'!$X$4:$X$503,146))))</f>
        <v/>
      </c>
      <c r="I149">
        <f>IF(LEN(INDEX('Aides'!$W$4:$W$503,146))=0,"",INDEX('Aides'!$W$4:$W$503,146))</f>
        <v/>
      </c>
      <c r="J149">
        <f>IF(LEN(INDEX('Aides'!$V$4:$V$503,146))=0,"",INDEX('Aides'!$V$4:$V$503,146))</f>
        <v/>
      </c>
    </row>
    <row r="150">
      <c r="A150">
        <f>IF(AND(LEN('Aides'!A150)&gt;0,ISNUMBER('Aides'!I150)),1,0)</f>
        <v/>
      </c>
      <c r="B150">
        <f>B149+A150</f>
        <v/>
      </c>
      <c r="C150">
        <f>IF(147&gt;$B$1503,"",MATCH(147-0.5,$B$3:$B$1503,1))</f>
        <v/>
      </c>
      <c r="D150">
        <f>"CNA certification ("&amp;IF(LEN(INDEX('Aides'!$C$4:$C$503,147))=0,"",INDEX('Aides'!$C$4:$C$503,147))&amp;") – "&amp;IF(LEN(INDEX('Aides'!$A$4:$A$503,147))=0,"",INDEX('Aides'!$A$4:$A$503,147))</f>
        <v/>
      </c>
      <c r="E150">
        <f>IF(ISNUMBER(INDEX('Aides'!$I$4:$I$503,147)),TEXT(INDEX('Aides'!$I$4:$I$503,147),"yyyy-mm-dd"),"")</f>
        <v/>
      </c>
      <c r="F150">
        <f>"Certification"</f>
        <v/>
      </c>
      <c r="G150">
        <f>"High"</f>
        <v/>
      </c>
      <c r="H150">
        <f>TRIM(IF(LEN(IF(LEN(INDEX('Aides'!$D$4:$D$503,147))=0,"",INDEX('Aides'!$D$4:$D$503,147)))=0,"","Registry no.: "&amp;IF(LEN(INDEX('Aides'!$D$4:$D$503,147))=0,"",INDEX('Aides'!$D$4:$D$503,147))&amp;". ")&amp;IF(LEN(IF(ISNUMBER(INDEX('Aides'!$F$4:$F$503,147)),TEXT(INDEX('Aides'!$F$4:$F$503,147),"yyyy-mm-dd"),""))=0,"","Registry expiry: "&amp;IF(ISNUMBER(INDEX('Aides'!$F$4:$F$503,147)),TEXT(INDEX('Aides'!$F$4:$F$503,147),"yyyy-mm-dd"),"")&amp;". ")&amp;IF(LEN(IF(ISNUMBER(INDEX('Aides'!$G$4:$G$503,147)),TEXT(INDEX('Aides'!$G$4:$G$503,147),"yyyy-mm-dd"),""))=0,"","Last paid nursing work: "&amp;IF(ISNUMBER(INDEX('Aides'!$G$4:$G$503,147)),TEXT(INDEX('Aides'!$G$4:$G$503,147),"yyyy-mm-dd"),"")&amp;". ")&amp;IF(LEN(IF(ISNUMBER(INDEX('Aides'!$H$4:$H$503,147)),TEXT(INDEX('Aides'!$H$4:$H$503,147),"yyyy-mm-dd"),""))=0,"","24-month cut-off: "&amp;IF(ISNUMBER(INDEX('Aides'!$H$4:$H$503,147)),TEXT(INDEX('Aides'!$H$4:$H$503,147),"yyyy-mm-dd"),"")&amp;". ")&amp;IF(LEN(IF(LEN(INDEX('Aides'!$U$4:$U$503,147))=0,"",INDEX('Aides'!$U$4:$U$503,147)))=0,"","Owner: "&amp;IF(LEN(INDEX('Aides'!$U$4:$U$503,147))=0,"",INDEX('Aides'!$U$4:$U$503,147))&amp;". ")&amp;IF(LEN(IF(LEN(INDEX('Aides'!$X$4:$X$503,147))=0,"",INDEX('Aides'!$X$4:$X$503,147)))=0,"",IF(LEN(INDEX('Aides'!$X$4:$X$503,147))=0,"",INDEX('Aides'!$X$4:$X$503,147))))</f>
        <v/>
      </c>
      <c r="I150">
        <f>IF(LEN(INDEX('Aides'!$W$4:$W$503,147))=0,"",INDEX('Aides'!$W$4:$W$503,147))</f>
        <v/>
      </c>
      <c r="J150">
        <f>IF(LEN(INDEX('Aides'!$V$4:$V$503,147))=0,"",INDEX('Aides'!$V$4:$V$503,147))</f>
        <v/>
      </c>
    </row>
    <row r="151">
      <c r="A151">
        <f>IF(AND(LEN('Aides'!A151)&gt;0,ISNUMBER('Aides'!I151)),1,0)</f>
        <v/>
      </c>
      <c r="B151">
        <f>B150+A151</f>
        <v/>
      </c>
      <c r="C151">
        <f>IF(148&gt;$B$1503,"",MATCH(148-0.5,$B$3:$B$1503,1))</f>
        <v/>
      </c>
      <c r="D151">
        <f>"CNA certification ("&amp;IF(LEN(INDEX('Aides'!$C$4:$C$503,148))=0,"",INDEX('Aides'!$C$4:$C$503,148))&amp;") – "&amp;IF(LEN(INDEX('Aides'!$A$4:$A$503,148))=0,"",INDEX('Aides'!$A$4:$A$503,148))</f>
        <v/>
      </c>
      <c r="E151">
        <f>IF(ISNUMBER(INDEX('Aides'!$I$4:$I$503,148)),TEXT(INDEX('Aides'!$I$4:$I$503,148),"yyyy-mm-dd"),"")</f>
        <v/>
      </c>
      <c r="F151">
        <f>"Certification"</f>
        <v/>
      </c>
      <c r="G151">
        <f>"High"</f>
        <v/>
      </c>
      <c r="H151">
        <f>TRIM(IF(LEN(IF(LEN(INDEX('Aides'!$D$4:$D$503,148))=0,"",INDEX('Aides'!$D$4:$D$503,148)))=0,"","Registry no.: "&amp;IF(LEN(INDEX('Aides'!$D$4:$D$503,148))=0,"",INDEX('Aides'!$D$4:$D$503,148))&amp;". ")&amp;IF(LEN(IF(ISNUMBER(INDEX('Aides'!$F$4:$F$503,148)),TEXT(INDEX('Aides'!$F$4:$F$503,148),"yyyy-mm-dd"),""))=0,"","Registry expiry: "&amp;IF(ISNUMBER(INDEX('Aides'!$F$4:$F$503,148)),TEXT(INDEX('Aides'!$F$4:$F$503,148),"yyyy-mm-dd"),"")&amp;". ")&amp;IF(LEN(IF(ISNUMBER(INDEX('Aides'!$G$4:$G$503,148)),TEXT(INDEX('Aides'!$G$4:$G$503,148),"yyyy-mm-dd"),""))=0,"","Last paid nursing work: "&amp;IF(ISNUMBER(INDEX('Aides'!$G$4:$G$503,148)),TEXT(INDEX('Aides'!$G$4:$G$503,148),"yyyy-mm-dd"),"")&amp;". ")&amp;IF(LEN(IF(ISNUMBER(INDEX('Aides'!$H$4:$H$503,148)),TEXT(INDEX('Aides'!$H$4:$H$503,148),"yyyy-mm-dd"),""))=0,"","24-month cut-off: "&amp;IF(ISNUMBER(INDEX('Aides'!$H$4:$H$503,148)),TEXT(INDEX('Aides'!$H$4:$H$503,148),"yyyy-mm-dd"),"")&amp;". ")&amp;IF(LEN(IF(LEN(INDEX('Aides'!$U$4:$U$503,148))=0,"",INDEX('Aides'!$U$4:$U$503,148)))=0,"","Owner: "&amp;IF(LEN(INDEX('Aides'!$U$4:$U$503,148))=0,"",INDEX('Aides'!$U$4:$U$503,148))&amp;". ")&amp;IF(LEN(IF(LEN(INDEX('Aides'!$X$4:$X$503,148))=0,"",INDEX('Aides'!$X$4:$X$503,148)))=0,"",IF(LEN(INDEX('Aides'!$X$4:$X$503,148))=0,"",INDEX('Aides'!$X$4:$X$503,148))))</f>
        <v/>
      </c>
      <c r="I151">
        <f>IF(LEN(INDEX('Aides'!$W$4:$W$503,148))=0,"",INDEX('Aides'!$W$4:$W$503,148))</f>
        <v/>
      </c>
      <c r="J151">
        <f>IF(LEN(INDEX('Aides'!$V$4:$V$503,148))=0,"",INDEX('Aides'!$V$4:$V$503,148))</f>
        <v/>
      </c>
    </row>
    <row r="152">
      <c r="A152">
        <f>IF(AND(LEN('Aides'!A152)&gt;0,ISNUMBER('Aides'!I152)),1,0)</f>
        <v/>
      </c>
      <c r="B152">
        <f>B151+A152</f>
        <v/>
      </c>
      <c r="C152">
        <f>IF(149&gt;$B$1503,"",MATCH(149-0.5,$B$3:$B$1503,1))</f>
        <v/>
      </c>
      <c r="D152">
        <f>"CNA certification ("&amp;IF(LEN(INDEX('Aides'!$C$4:$C$503,149))=0,"",INDEX('Aides'!$C$4:$C$503,149))&amp;") – "&amp;IF(LEN(INDEX('Aides'!$A$4:$A$503,149))=0,"",INDEX('Aides'!$A$4:$A$503,149))</f>
        <v/>
      </c>
      <c r="E152">
        <f>IF(ISNUMBER(INDEX('Aides'!$I$4:$I$503,149)),TEXT(INDEX('Aides'!$I$4:$I$503,149),"yyyy-mm-dd"),"")</f>
        <v/>
      </c>
      <c r="F152">
        <f>"Certification"</f>
        <v/>
      </c>
      <c r="G152">
        <f>"High"</f>
        <v/>
      </c>
      <c r="H152">
        <f>TRIM(IF(LEN(IF(LEN(INDEX('Aides'!$D$4:$D$503,149))=0,"",INDEX('Aides'!$D$4:$D$503,149)))=0,"","Registry no.: "&amp;IF(LEN(INDEX('Aides'!$D$4:$D$503,149))=0,"",INDEX('Aides'!$D$4:$D$503,149))&amp;". ")&amp;IF(LEN(IF(ISNUMBER(INDEX('Aides'!$F$4:$F$503,149)),TEXT(INDEX('Aides'!$F$4:$F$503,149),"yyyy-mm-dd"),""))=0,"","Registry expiry: "&amp;IF(ISNUMBER(INDEX('Aides'!$F$4:$F$503,149)),TEXT(INDEX('Aides'!$F$4:$F$503,149),"yyyy-mm-dd"),"")&amp;". ")&amp;IF(LEN(IF(ISNUMBER(INDEX('Aides'!$G$4:$G$503,149)),TEXT(INDEX('Aides'!$G$4:$G$503,149),"yyyy-mm-dd"),""))=0,"","Last paid nursing work: "&amp;IF(ISNUMBER(INDEX('Aides'!$G$4:$G$503,149)),TEXT(INDEX('Aides'!$G$4:$G$503,149),"yyyy-mm-dd"),"")&amp;". ")&amp;IF(LEN(IF(ISNUMBER(INDEX('Aides'!$H$4:$H$503,149)),TEXT(INDEX('Aides'!$H$4:$H$503,149),"yyyy-mm-dd"),""))=0,"","24-month cut-off: "&amp;IF(ISNUMBER(INDEX('Aides'!$H$4:$H$503,149)),TEXT(INDEX('Aides'!$H$4:$H$503,149),"yyyy-mm-dd"),"")&amp;". ")&amp;IF(LEN(IF(LEN(INDEX('Aides'!$U$4:$U$503,149))=0,"",INDEX('Aides'!$U$4:$U$503,149)))=0,"","Owner: "&amp;IF(LEN(INDEX('Aides'!$U$4:$U$503,149))=0,"",INDEX('Aides'!$U$4:$U$503,149))&amp;". ")&amp;IF(LEN(IF(LEN(INDEX('Aides'!$X$4:$X$503,149))=0,"",INDEX('Aides'!$X$4:$X$503,149)))=0,"",IF(LEN(INDEX('Aides'!$X$4:$X$503,149))=0,"",INDEX('Aides'!$X$4:$X$503,149))))</f>
        <v/>
      </c>
      <c r="I152">
        <f>IF(LEN(INDEX('Aides'!$W$4:$W$503,149))=0,"",INDEX('Aides'!$W$4:$W$503,149))</f>
        <v/>
      </c>
      <c r="J152">
        <f>IF(LEN(INDEX('Aides'!$V$4:$V$503,149))=0,"",INDEX('Aides'!$V$4:$V$503,149))</f>
        <v/>
      </c>
    </row>
    <row r="153">
      <c r="A153">
        <f>IF(AND(LEN('Aides'!A153)&gt;0,ISNUMBER('Aides'!I153)),1,0)</f>
        <v/>
      </c>
      <c r="B153">
        <f>B152+A153</f>
        <v/>
      </c>
      <c r="C153">
        <f>IF(150&gt;$B$1503,"",MATCH(150-0.5,$B$3:$B$1503,1))</f>
        <v/>
      </c>
      <c r="D153">
        <f>"CNA certification ("&amp;IF(LEN(INDEX('Aides'!$C$4:$C$503,150))=0,"",INDEX('Aides'!$C$4:$C$503,150))&amp;") – "&amp;IF(LEN(INDEX('Aides'!$A$4:$A$503,150))=0,"",INDEX('Aides'!$A$4:$A$503,150))</f>
        <v/>
      </c>
      <c r="E153">
        <f>IF(ISNUMBER(INDEX('Aides'!$I$4:$I$503,150)),TEXT(INDEX('Aides'!$I$4:$I$503,150),"yyyy-mm-dd"),"")</f>
        <v/>
      </c>
      <c r="F153">
        <f>"Certification"</f>
        <v/>
      </c>
      <c r="G153">
        <f>"High"</f>
        <v/>
      </c>
      <c r="H153">
        <f>TRIM(IF(LEN(IF(LEN(INDEX('Aides'!$D$4:$D$503,150))=0,"",INDEX('Aides'!$D$4:$D$503,150)))=0,"","Registry no.: "&amp;IF(LEN(INDEX('Aides'!$D$4:$D$503,150))=0,"",INDEX('Aides'!$D$4:$D$503,150))&amp;". ")&amp;IF(LEN(IF(ISNUMBER(INDEX('Aides'!$F$4:$F$503,150)),TEXT(INDEX('Aides'!$F$4:$F$503,150),"yyyy-mm-dd"),""))=0,"","Registry expiry: "&amp;IF(ISNUMBER(INDEX('Aides'!$F$4:$F$503,150)),TEXT(INDEX('Aides'!$F$4:$F$503,150),"yyyy-mm-dd"),"")&amp;". ")&amp;IF(LEN(IF(ISNUMBER(INDEX('Aides'!$G$4:$G$503,150)),TEXT(INDEX('Aides'!$G$4:$G$503,150),"yyyy-mm-dd"),""))=0,"","Last paid nursing work: "&amp;IF(ISNUMBER(INDEX('Aides'!$G$4:$G$503,150)),TEXT(INDEX('Aides'!$G$4:$G$503,150),"yyyy-mm-dd"),"")&amp;". ")&amp;IF(LEN(IF(ISNUMBER(INDEX('Aides'!$H$4:$H$503,150)),TEXT(INDEX('Aides'!$H$4:$H$503,150),"yyyy-mm-dd"),""))=0,"","24-month cut-off: "&amp;IF(ISNUMBER(INDEX('Aides'!$H$4:$H$503,150)),TEXT(INDEX('Aides'!$H$4:$H$503,150),"yyyy-mm-dd"),"")&amp;". ")&amp;IF(LEN(IF(LEN(INDEX('Aides'!$U$4:$U$503,150))=0,"",INDEX('Aides'!$U$4:$U$503,150)))=0,"","Owner: "&amp;IF(LEN(INDEX('Aides'!$U$4:$U$503,150))=0,"",INDEX('Aides'!$U$4:$U$503,150))&amp;". ")&amp;IF(LEN(IF(LEN(INDEX('Aides'!$X$4:$X$503,150))=0,"",INDEX('Aides'!$X$4:$X$503,150)))=0,"",IF(LEN(INDEX('Aides'!$X$4:$X$503,150))=0,"",INDEX('Aides'!$X$4:$X$503,150))))</f>
        <v/>
      </c>
      <c r="I153">
        <f>IF(LEN(INDEX('Aides'!$W$4:$W$503,150))=0,"",INDEX('Aides'!$W$4:$W$503,150))</f>
        <v/>
      </c>
      <c r="J153">
        <f>IF(LEN(INDEX('Aides'!$V$4:$V$503,150))=0,"",INDEX('Aides'!$V$4:$V$503,150))</f>
        <v/>
      </c>
    </row>
    <row r="154">
      <c r="A154">
        <f>IF(AND(LEN('Aides'!A154)&gt;0,ISNUMBER('Aides'!I154)),1,0)</f>
        <v/>
      </c>
      <c r="B154">
        <f>B153+A154</f>
        <v/>
      </c>
      <c r="C154">
        <f>IF(151&gt;$B$1503,"",MATCH(151-0.5,$B$3:$B$1503,1))</f>
        <v/>
      </c>
      <c r="D154">
        <f>"CNA certification ("&amp;IF(LEN(INDEX('Aides'!$C$4:$C$503,151))=0,"",INDEX('Aides'!$C$4:$C$503,151))&amp;") – "&amp;IF(LEN(INDEX('Aides'!$A$4:$A$503,151))=0,"",INDEX('Aides'!$A$4:$A$503,151))</f>
        <v/>
      </c>
      <c r="E154">
        <f>IF(ISNUMBER(INDEX('Aides'!$I$4:$I$503,151)),TEXT(INDEX('Aides'!$I$4:$I$503,151),"yyyy-mm-dd"),"")</f>
        <v/>
      </c>
      <c r="F154">
        <f>"Certification"</f>
        <v/>
      </c>
      <c r="G154">
        <f>"High"</f>
        <v/>
      </c>
      <c r="H154">
        <f>TRIM(IF(LEN(IF(LEN(INDEX('Aides'!$D$4:$D$503,151))=0,"",INDEX('Aides'!$D$4:$D$503,151)))=0,"","Registry no.: "&amp;IF(LEN(INDEX('Aides'!$D$4:$D$503,151))=0,"",INDEX('Aides'!$D$4:$D$503,151))&amp;". ")&amp;IF(LEN(IF(ISNUMBER(INDEX('Aides'!$F$4:$F$503,151)),TEXT(INDEX('Aides'!$F$4:$F$503,151),"yyyy-mm-dd"),""))=0,"","Registry expiry: "&amp;IF(ISNUMBER(INDEX('Aides'!$F$4:$F$503,151)),TEXT(INDEX('Aides'!$F$4:$F$503,151),"yyyy-mm-dd"),"")&amp;". ")&amp;IF(LEN(IF(ISNUMBER(INDEX('Aides'!$G$4:$G$503,151)),TEXT(INDEX('Aides'!$G$4:$G$503,151),"yyyy-mm-dd"),""))=0,"","Last paid nursing work: "&amp;IF(ISNUMBER(INDEX('Aides'!$G$4:$G$503,151)),TEXT(INDEX('Aides'!$G$4:$G$503,151),"yyyy-mm-dd"),"")&amp;". ")&amp;IF(LEN(IF(ISNUMBER(INDEX('Aides'!$H$4:$H$503,151)),TEXT(INDEX('Aides'!$H$4:$H$503,151),"yyyy-mm-dd"),""))=0,"","24-month cut-off: "&amp;IF(ISNUMBER(INDEX('Aides'!$H$4:$H$503,151)),TEXT(INDEX('Aides'!$H$4:$H$503,151),"yyyy-mm-dd"),"")&amp;". ")&amp;IF(LEN(IF(LEN(INDEX('Aides'!$U$4:$U$503,151))=0,"",INDEX('Aides'!$U$4:$U$503,151)))=0,"","Owner: "&amp;IF(LEN(INDEX('Aides'!$U$4:$U$503,151))=0,"",INDEX('Aides'!$U$4:$U$503,151))&amp;". ")&amp;IF(LEN(IF(LEN(INDEX('Aides'!$X$4:$X$503,151))=0,"",INDEX('Aides'!$X$4:$X$503,151)))=0,"",IF(LEN(INDEX('Aides'!$X$4:$X$503,151))=0,"",INDEX('Aides'!$X$4:$X$503,151))))</f>
        <v/>
      </c>
      <c r="I154">
        <f>IF(LEN(INDEX('Aides'!$W$4:$W$503,151))=0,"",INDEX('Aides'!$W$4:$W$503,151))</f>
        <v/>
      </c>
      <c r="J154">
        <f>IF(LEN(INDEX('Aides'!$V$4:$V$503,151))=0,"",INDEX('Aides'!$V$4:$V$503,151))</f>
        <v/>
      </c>
    </row>
    <row r="155">
      <c r="A155">
        <f>IF(AND(LEN('Aides'!A155)&gt;0,ISNUMBER('Aides'!I155)),1,0)</f>
        <v/>
      </c>
      <c r="B155">
        <f>B154+A155</f>
        <v/>
      </c>
      <c r="C155">
        <f>IF(152&gt;$B$1503,"",MATCH(152-0.5,$B$3:$B$1503,1))</f>
        <v/>
      </c>
      <c r="D155">
        <f>"CNA certification ("&amp;IF(LEN(INDEX('Aides'!$C$4:$C$503,152))=0,"",INDEX('Aides'!$C$4:$C$503,152))&amp;") – "&amp;IF(LEN(INDEX('Aides'!$A$4:$A$503,152))=0,"",INDEX('Aides'!$A$4:$A$503,152))</f>
        <v/>
      </c>
      <c r="E155">
        <f>IF(ISNUMBER(INDEX('Aides'!$I$4:$I$503,152)),TEXT(INDEX('Aides'!$I$4:$I$503,152),"yyyy-mm-dd"),"")</f>
        <v/>
      </c>
      <c r="F155">
        <f>"Certification"</f>
        <v/>
      </c>
      <c r="G155">
        <f>"High"</f>
        <v/>
      </c>
      <c r="H155">
        <f>TRIM(IF(LEN(IF(LEN(INDEX('Aides'!$D$4:$D$503,152))=0,"",INDEX('Aides'!$D$4:$D$503,152)))=0,"","Registry no.: "&amp;IF(LEN(INDEX('Aides'!$D$4:$D$503,152))=0,"",INDEX('Aides'!$D$4:$D$503,152))&amp;". ")&amp;IF(LEN(IF(ISNUMBER(INDEX('Aides'!$F$4:$F$503,152)),TEXT(INDEX('Aides'!$F$4:$F$503,152),"yyyy-mm-dd"),""))=0,"","Registry expiry: "&amp;IF(ISNUMBER(INDEX('Aides'!$F$4:$F$503,152)),TEXT(INDEX('Aides'!$F$4:$F$503,152),"yyyy-mm-dd"),"")&amp;". ")&amp;IF(LEN(IF(ISNUMBER(INDEX('Aides'!$G$4:$G$503,152)),TEXT(INDEX('Aides'!$G$4:$G$503,152),"yyyy-mm-dd"),""))=0,"","Last paid nursing work: "&amp;IF(ISNUMBER(INDEX('Aides'!$G$4:$G$503,152)),TEXT(INDEX('Aides'!$G$4:$G$503,152),"yyyy-mm-dd"),"")&amp;". ")&amp;IF(LEN(IF(ISNUMBER(INDEX('Aides'!$H$4:$H$503,152)),TEXT(INDEX('Aides'!$H$4:$H$503,152),"yyyy-mm-dd"),""))=0,"","24-month cut-off: "&amp;IF(ISNUMBER(INDEX('Aides'!$H$4:$H$503,152)),TEXT(INDEX('Aides'!$H$4:$H$503,152),"yyyy-mm-dd"),"")&amp;". ")&amp;IF(LEN(IF(LEN(INDEX('Aides'!$U$4:$U$503,152))=0,"",INDEX('Aides'!$U$4:$U$503,152)))=0,"","Owner: "&amp;IF(LEN(INDEX('Aides'!$U$4:$U$503,152))=0,"",INDEX('Aides'!$U$4:$U$503,152))&amp;". ")&amp;IF(LEN(IF(LEN(INDEX('Aides'!$X$4:$X$503,152))=0,"",INDEX('Aides'!$X$4:$X$503,152)))=0,"",IF(LEN(INDEX('Aides'!$X$4:$X$503,152))=0,"",INDEX('Aides'!$X$4:$X$503,152))))</f>
        <v/>
      </c>
      <c r="I155">
        <f>IF(LEN(INDEX('Aides'!$W$4:$W$503,152))=0,"",INDEX('Aides'!$W$4:$W$503,152))</f>
        <v/>
      </c>
      <c r="J155">
        <f>IF(LEN(INDEX('Aides'!$V$4:$V$503,152))=0,"",INDEX('Aides'!$V$4:$V$503,152))</f>
        <v/>
      </c>
    </row>
    <row r="156">
      <c r="A156">
        <f>IF(AND(LEN('Aides'!A156)&gt;0,ISNUMBER('Aides'!I156)),1,0)</f>
        <v/>
      </c>
      <c r="B156">
        <f>B155+A156</f>
        <v/>
      </c>
      <c r="C156">
        <f>IF(153&gt;$B$1503,"",MATCH(153-0.5,$B$3:$B$1503,1))</f>
        <v/>
      </c>
      <c r="D156">
        <f>"CNA certification ("&amp;IF(LEN(INDEX('Aides'!$C$4:$C$503,153))=0,"",INDEX('Aides'!$C$4:$C$503,153))&amp;") – "&amp;IF(LEN(INDEX('Aides'!$A$4:$A$503,153))=0,"",INDEX('Aides'!$A$4:$A$503,153))</f>
        <v/>
      </c>
      <c r="E156">
        <f>IF(ISNUMBER(INDEX('Aides'!$I$4:$I$503,153)),TEXT(INDEX('Aides'!$I$4:$I$503,153),"yyyy-mm-dd"),"")</f>
        <v/>
      </c>
      <c r="F156">
        <f>"Certification"</f>
        <v/>
      </c>
      <c r="G156">
        <f>"High"</f>
        <v/>
      </c>
      <c r="H156">
        <f>TRIM(IF(LEN(IF(LEN(INDEX('Aides'!$D$4:$D$503,153))=0,"",INDEX('Aides'!$D$4:$D$503,153)))=0,"","Registry no.: "&amp;IF(LEN(INDEX('Aides'!$D$4:$D$503,153))=0,"",INDEX('Aides'!$D$4:$D$503,153))&amp;". ")&amp;IF(LEN(IF(ISNUMBER(INDEX('Aides'!$F$4:$F$503,153)),TEXT(INDEX('Aides'!$F$4:$F$503,153),"yyyy-mm-dd"),""))=0,"","Registry expiry: "&amp;IF(ISNUMBER(INDEX('Aides'!$F$4:$F$503,153)),TEXT(INDEX('Aides'!$F$4:$F$503,153),"yyyy-mm-dd"),"")&amp;". ")&amp;IF(LEN(IF(ISNUMBER(INDEX('Aides'!$G$4:$G$503,153)),TEXT(INDEX('Aides'!$G$4:$G$503,153),"yyyy-mm-dd"),""))=0,"","Last paid nursing work: "&amp;IF(ISNUMBER(INDEX('Aides'!$G$4:$G$503,153)),TEXT(INDEX('Aides'!$G$4:$G$503,153),"yyyy-mm-dd"),"")&amp;". ")&amp;IF(LEN(IF(ISNUMBER(INDEX('Aides'!$H$4:$H$503,153)),TEXT(INDEX('Aides'!$H$4:$H$503,153),"yyyy-mm-dd"),""))=0,"","24-month cut-off: "&amp;IF(ISNUMBER(INDEX('Aides'!$H$4:$H$503,153)),TEXT(INDEX('Aides'!$H$4:$H$503,153),"yyyy-mm-dd"),"")&amp;". ")&amp;IF(LEN(IF(LEN(INDEX('Aides'!$U$4:$U$503,153))=0,"",INDEX('Aides'!$U$4:$U$503,153)))=0,"","Owner: "&amp;IF(LEN(INDEX('Aides'!$U$4:$U$503,153))=0,"",INDEX('Aides'!$U$4:$U$503,153))&amp;". ")&amp;IF(LEN(IF(LEN(INDEX('Aides'!$X$4:$X$503,153))=0,"",INDEX('Aides'!$X$4:$X$503,153)))=0,"",IF(LEN(INDEX('Aides'!$X$4:$X$503,153))=0,"",INDEX('Aides'!$X$4:$X$503,153))))</f>
        <v/>
      </c>
      <c r="I156">
        <f>IF(LEN(INDEX('Aides'!$W$4:$W$503,153))=0,"",INDEX('Aides'!$W$4:$W$503,153))</f>
        <v/>
      </c>
      <c r="J156">
        <f>IF(LEN(INDEX('Aides'!$V$4:$V$503,153))=0,"",INDEX('Aides'!$V$4:$V$503,153))</f>
        <v/>
      </c>
    </row>
    <row r="157">
      <c r="A157">
        <f>IF(AND(LEN('Aides'!A157)&gt;0,ISNUMBER('Aides'!I157)),1,0)</f>
        <v/>
      </c>
      <c r="B157">
        <f>B156+A157</f>
        <v/>
      </c>
      <c r="C157">
        <f>IF(154&gt;$B$1503,"",MATCH(154-0.5,$B$3:$B$1503,1))</f>
        <v/>
      </c>
      <c r="D157">
        <f>"CNA certification ("&amp;IF(LEN(INDEX('Aides'!$C$4:$C$503,154))=0,"",INDEX('Aides'!$C$4:$C$503,154))&amp;") – "&amp;IF(LEN(INDEX('Aides'!$A$4:$A$503,154))=0,"",INDEX('Aides'!$A$4:$A$503,154))</f>
        <v/>
      </c>
      <c r="E157">
        <f>IF(ISNUMBER(INDEX('Aides'!$I$4:$I$503,154)),TEXT(INDEX('Aides'!$I$4:$I$503,154),"yyyy-mm-dd"),"")</f>
        <v/>
      </c>
      <c r="F157">
        <f>"Certification"</f>
        <v/>
      </c>
      <c r="G157">
        <f>"High"</f>
        <v/>
      </c>
      <c r="H157">
        <f>TRIM(IF(LEN(IF(LEN(INDEX('Aides'!$D$4:$D$503,154))=0,"",INDEX('Aides'!$D$4:$D$503,154)))=0,"","Registry no.: "&amp;IF(LEN(INDEX('Aides'!$D$4:$D$503,154))=0,"",INDEX('Aides'!$D$4:$D$503,154))&amp;". ")&amp;IF(LEN(IF(ISNUMBER(INDEX('Aides'!$F$4:$F$503,154)),TEXT(INDEX('Aides'!$F$4:$F$503,154),"yyyy-mm-dd"),""))=0,"","Registry expiry: "&amp;IF(ISNUMBER(INDEX('Aides'!$F$4:$F$503,154)),TEXT(INDEX('Aides'!$F$4:$F$503,154),"yyyy-mm-dd"),"")&amp;". ")&amp;IF(LEN(IF(ISNUMBER(INDEX('Aides'!$G$4:$G$503,154)),TEXT(INDEX('Aides'!$G$4:$G$503,154),"yyyy-mm-dd"),""))=0,"","Last paid nursing work: "&amp;IF(ISNUMBER(INDEX('Aides'!$G$4:$G$503,154)),TEXT(INDEX('Aides'!$G$4:$G$503,154),"yyyy-mm-dd"),"")&amp;". ")&amp;IF(LEN(IF(ISNUMBER(INDEX('Aides'!$H$4:$H$503,154)),TEXT(INDEX('Aides'!$H$4:$H$503,154),"yyyy-mm-dd"),""))=0,"","24-month cut-off: "&amp;IF(ISNUMBER(INDEX('Aides'!$H$4:$H$503,154)),TEXT(INDEX('Aides'!$H$4:$H$503,154),"yyyy-mm-dd"),"")&amp;". ")&amp;IF(LEN(IF(LEN(INDEX('Aides'!$U$4:$U$503,154))=0,"",INDEX('Aides'!$U$4:$U$503,154)))=0,"","Owner: "&amp;IF(LEN(INDEX('Aides'!$U$4:$U$503,154))=0,"",INDEX('Aides'!$U$4:$U$503,154))&amp;". ")&amp;IF(LEN(IF(LEN(INDEX('Aides'!$X$4:$X$503,154))=0,"",INDEX('Aides'!$X$4:$X$503,154)))=0,"",IF(LEN(INDEX('Aides'!$X$4:$X$503,154))=0,"",INDEX('Aides'!$X$4:$X$503,154))))</f>
        <v/>
      </c>
      <c r="I157">
        <f>IF(LEN(INDEX('Aides'!$W$4:$W$503,154))=0,"",INDEX('Aides'!$W$4:$W$503,154))</f>
        <v/>
      </c>
      <c r="J157">
        <f>IF(LEN(INDEX('Aides'!$V$4:$V$503,154))=0,"",INDEX('Aides'!$V$4:$V$503,154))</f>
        <v/>
      </c>
    </row>
    <row r="158">
      <c r="A158">
        <f>IF(AND(LEN('Aides'!A158)&gt;0,ISNUMBER('Aides'!I158)),1,0)</f>
        <v/>
      </c>
      <c r="B158">
        <f>B157+A158</f>
        <v/>
      </c>
      <c r="C158">
        <f>IF(155&gt;$B$1503,"",MATCH(155-0.5,$B$3:$B$1503,1))</f>
        <v/>
      </c>
      <c r="D158">
        <f>"CNA certification ("&amp;IF(LEN(INDEX('Aides'!$C$4:$C$503,155))=0,"",INDEX('Aides'!$C$4:$C$503,155))&amp;") – "&amp;IF(LEN(INDEX('Aides'!$A$4:$A$503,155))=0,"",INDEX('Aides'!$A$4:$A$503,155))</f>
        <v/>
      </c>
      <c r="E158">
        <f>IF(ISNUMBER(INDEX('Aides'!$I$4:$I$503,155)),TEXT(INDEX('Aides'!$I$4:$I$503,155),"yyyy-mm-dd"),"")</f>
        <v/>
      </c>
      <c r="F158">
        <f>"Certification"</f>
        <v/>
      </c>
      <c r="G158">
        <f>"High"</f>
        <v/>
      </c>
      <c r="H158">
        <f>TRIM(IF(LEN(IF(LEN(INDEX('Aides'!$D$4:$D$503,155))=0,"",INDEX('Aides'!$D$4:$D$503,155)))=0,"","Registry no.: "&amp;IF(LEN(INDEX('Aides'!$D$4:$D$503,155))=0,"",INDEX('Aides'!$D$4:$D$503,155))&amp;". ")&amp;IF(LEN(IF(ISNUMBER(INDEX('Aides'!$F$4:$F$503,155)),TEXT(INDEX('Aides'!$F$4:$F$503,155),"yyyy-mm-dd"),""))=0,"","Registry expiry: "&amp;IF(ISNUMBER(INDEX('Aides'!$F$4:$F$503,155)),TEXT(INDEX('Aides'!$F$4:$F$503,155),"yyyy-mm-dd"),"")&amp;". ")&amp;IF(LEN(IF(ISNUMBER(INDEX('Aides'!$G$4:$G$503,155)),TEXT(INDEX('Aides'!$G$4:$G$503,155),"yyyy-mm-dd"),""))=0,"","Last paid nursing work: "&amp;IF(ISNUMBER(INDEX('Aides'!$G$4:$G$503,155)),TEXT(INDEX('Aides'!$G$4:$G$503,155),"yyyy-mm-dd"),"")&amp;". ")&amp;IF(LEN(IF(ISNUMBER(INDEX('Aides'!$H$4:$H$503,155)),TEXT(INDEX('Aides'!$H$4:$H$503,155),"yyyy-mm-dd"),""))=0,"","24-month cut-off: "&amp;IF(ISNUMBER(INDEX('Aides'!$H$4:$H$503,155)),TEXT(INDEX('Aides'!$H$4:$H$503,155),"yyyy-mm-dd"),"")&amp;". ")&amp;IF(LEN(IF(LEN(INDEX('Aides'!$U$4:$U$503,155))=0,"",INDEX('Aides'!$U$4:$U$503,155)))=0,"","Owner: "&amp;IF(LEN(INDEX('Aides'!$U$4:$U$503,155))=0,"",INDEX('Aides'!$U$4:$U$503,155))&amp;". ")&amp;IF(LEN(IF(LEN(INDEX('Aides'!$X$4:$X$503,155))=0,"",INDEX('Aides'!$X$4:$X$503,155)))=0,"",IF(LEN(INDEX('Aides'!$X$4:$X$503,155))=0,"",INDEX('Aides'!$X$4:$X$503,155))))</f>
        <v/>
      </c>
      <c r="I158">
        <f>IF(LEN(INDEX('Aides'!$W$4:$W$503,155))=0,"",INDEX('Aides'!$W$4:$W$503,155))</f>
        <v/>
      </c>
      <c r="J158">
        <f>IF(LEN(INDEX('Aides'!$V$4:$V$503,155))=0,"",INDEX('Aides'!$V$4:$V$503,155))</f>
        <v/>
      </c>
    </row>
    <row r="159">
      <c r="A159">
        <f>IF(AND(LEN('Aides'!A159)&gt;0,ISNUMBER('Aides'!I159)),1,0)</f>
        <v/>
      </c>
      <c r="B159">
        <f>B158+A159</f>
        <v/>
      </c>
      <c r="C159">
        <f>IF(156&gt;$B$1503,"",MATCH(156-0.5,$B$3:$B$1503,1))</f>
        <v/>
      </c>
      <c r="D159">
        <f>"CNA certification ("&amp;IF(LEN(INDEX('Aides'!$C$4:$C$503,156))=0,"",INDEX('Aides'!$C$4:$C$503,156))&amp;") – "&amp;IF(LEN(INDEX('Aides'!$A$4:$A$503,156))=0,"",INDEX('Aides'!$A$4:$A$503,156))</f>
        <v/>
      </c>
      <c r="E159">
        <f>IF(ISNUMBER(INDEX('Aides'!$I$4:$I$503,156)),TEXT(INDEX('Aides'!$I$4:$I$503,156),"yyyy-mm-dd"),"")</f>
        <v/>
      </c>
      <c r="F159">
        <f>"Certification"</f>
        <v/>
      </c>
      <c r="G159">
        <f>"High"</f>
        <v/>
      </c>
      <c r="H159">
        <f>TRIM(IF(LEN(IF(LEN(INDEX('Aides'!$D$4:$D$503,156))=0,"",INDEX('Aides'!$D$4:$D$503,156)))=0,"","Registry no.: "&amp;IF(LEN(INDEX('Aides'!$D$4:$D$503,156))=0,"",INDEX('Aides'!$D$4:$D$503,156))&amp;". ")&amp;IF(LEN(IF(ISNUMBER(INDEX('Aides'!$F$4:$F$503,156)),TEXT(INDEX('Aides'!$F$4:$F$503,156),"yyyy-mm-dd"),""))=0,"","Registry expiry: "&amp;IF(ISNUMBER(INDEX('Aides'!$F$4:$F$503,156)),TEXT(INDEX('Aides'!$F$4:$F$503,156),"yyyy-mm-dd"),"")&amp;". ")&amp;IF(LEN(IF(ISNUMBER(INDEX('Aides'!$G$4:$G$503,156)),TEXT(INDEX('Aides'!$G$4:$G$503,156),"yyyy-mm-dd"),""))=0,"","Last paid nursing work: "&amp;IF(ISNUMBER(INDEX('Aides'!$G$4:$G$503,156)),TEXT(INDEX('Aides'!$G$4:$G$503,156),"yyyy-mm-dd"),"")&amp;". ")&amp;IF(LEN(IF(ISNUMBER(INDEX('Aides'!$H$4:$H$503,156)),TEXT(INDEX('Aides'!$H$4:$H$503,156),"yyyy-mm-dd"),""))=0,"","24-month cut-off: "&amp;IF(ISNUMBER(INDEX('Aides'!$H$4:$H$503,156)),TEXT(INDEX('Aides'!$H$4:$H$503,156),"yyyy-mm-dd"),"")&amp;". ")&amp;IF(LEN(IF(LEN(INDEX('Aides'!$U$4:$U$503,156))=0,"",INDEX('Aides'!$U$4:$U$503,156)))=0,"","Owner: "&amp;IF(LEN(INDEX('Aides'!$U$4:$U$503,156))=0,"",INDEX('Aides'!$U$4:$U$503,156))&amp;". ")&amp;IF(LEN(IF(LEN(INDEX('Aides'!$X$4:$X$503,156))=0,"",INDEX('Aides'!$X$4:$X$503,156)))=0,"",IF(LEN(INDEX('Aides'!$X$4:$X$503,156))=0,"",INDEX('Aides'!$X$4:$X$503,156))))</f>
        <v/>
      </c>
      <c r="I159">
        <f>IF(LEN(INDEX('Aides'!$W$4:$W$503,156))=0,"",INDEX('Aides'!$W$4:$W$503,156))</f>
        <v/>
      </c>
      <c r="J159">
        <f>IF(LEN(INDEX('Aides'!$V$4:$V$503,156))=0,"",INDEX('Aides'!$V$4:$V$503,156))</f>
        <v/>
      </c>
    </row>
    <row r="160">
      <c r="A160">
        <f>IF(AND(LEN('Aides'!A160)&gt;0,ISNUMBER('Aides'!I160)),1,0)</f>
        <v/>
      </c>
      <c r="B160">
        <f>B159+A160</f>
        <v/>
      </c>
      <c r="C160">
        <f>IF(157&gt;$B$1503,"",MATCH(157-0.5,$B$3:$B$1503,1))</f>
        <v/>
      </c>
      <c r="D160">
        <f>"CNA certification ("&amp;IF(LEN(INDEX('Aides'!$C$4:$C$503,157))=0,"",INDEX('Aides'!$C$4:$C$503,157))&amp;") – "&amp;IF(LEN(INDEX('Aides'!$A$4:$A$503,157))=0,"",INDEX('Aides'!$A$4:$A$503,157))</f>
        <v/>
      </c>
      <c r="E160">
        <f>IF(ISNUMBER(INDEX('Aides'!$I$4:$I$503,157)),TEXT(INDEX('Aides'!$I$4:$I$503,157),"yyyy-mm-dd"),"")</f>
        <v/>
      </c>
      <c r="F160">
        <f>"Certification"</f>
        <v/>
      </c>
      <c r="G160">
        <f>"High"</f>
        <v/>
      </c>
      <c r="H160">
        <f>TRIM(IF(LEN(IF(LEN(INDEX('Aides'!$D$4:$D$503,157))=0,"",INDEX('Aides'!$D$4:$D$503,157)))=0,"","Registry no.: "&amp;IF(LEN(INDEX('Aides'!$D$4:$D$503,157))=0,"",INDEX('Aides'!$D$4:$D$503,157))&amp;". ")&amp;IF(LEN(IF(ISNUMBER(INDEX('Aides'!$F$4:$F$503,157)),TEXT(INDEX('Aides'!$F$4:$F$503,157),"yyyy-mm-dd"),""))=0,"","Registry expiry: "&amp;IF(ISNUMBER(INDEX('Aides'!$F$4:$F$503,157)),TEXT(INDEX('Aides'!$F$4:$F$503,157),"yyyy-mm-dd"),"")&amp;". ")&amp;IF(LEN(IF(ISNUMBER(INDEX('Aides'!$G$4:$G$503,157)),TEXT(INDEX('Aides'!$G$4:$G$503,157),"yyyy-mm-dd"),""))=0,"","Last paid nursing work: "&amp;IF(ISNUMBER(INDEX('Aides'!$G$4:$G$503,157)),TEXT(INDEX('Aides'!$G$4:$G$503,157),"yyyy-mm-dd"),"")&amp;". ")&amp;IF(LEN(IF(ISNUMBER(INDEX('Aides'!$H$4:$H$503,157)),TEXT(INDEX('Aides'!$H$4:$H$503,157),"yyyy-mm-dd"),""))=0,"","24-month cut-off: "&amp;IF(ISNUMBER(INDEX('Aides'!$H$4:$H$503,157)),TEXT(INDEX('Aides'!$H$4:$H$503,157),"yyyy-mm-dd"),"")&amp;". ")&amp;IF(LEN(IF(LEN(INDEX('Aides'!$U$4:$U$503,157))=0,"",INDEX('Aides'!$U$4:$U$503,157)))=0,"","Owner: "&amp;IF(LEN(INDEX('Aides'!$U$4:$U$503,157))=0,"",INDEX('Aides'!$U$4:$U$503,157))&amp;". ")&amp;IF(LEN(IF(LEN(INDEX('Aides'!$X$4:$X$503,157))=0,"",INDEX('Aides'!$X$4:$X$503,157)))=0,"",IF(LEN(INDEX('Aides'!$X$4:$X$503,157))=0,"",INDEX('Aides'!$X$4:$X$503,157))))</f>
        <v/>
      </c>
      <c r="I160">
        <f>IF(LEN(INDEX('Aides'!$W$4:$W$503,157))=0,"",INDEX('Aides'!$W$4:$W$503,157))</f>
        <v/>
      </c>
      <c r="J160">
        <f>IF(LEN(INDEX('Aides'!$V$4:$V$503,157))=0,"",INDEX('Aides'!$V$4:$V$503,157))</f>
        <v/>
      </c>
    </row>
    <row r="161">
      <c r="A161">
        <f>IF(AND(LEN('Aides'!A161)&gt;0,ISNUMBER('Aides'!I161)),1,0)</f>
        <v/>
      </c>
      <c r="B161">
        <f>B160+A161</f>
        <v/>
      </c>
      <c r="C161">
        <f>IF(158&gt;$B$1503,"",MATCH(158-0.5,$B$3:$B$1503,1))</f>
        <v/>
      </c>
      <c r="D161">
        <f>"CNA certification ("&amp;IF(LEN(INDEX('Aides'!$C$4:$C$503,158))=0,"",INDEX('Aides'!$C$4:$C$503,158))&amp;") – "&amp;IF(LEN(INDEX('Aides'!$A$4:$A$503,158))=0,"",INDEX('Aides'!$A$4:$A$503,158))</f>
        <v/>
      </c>
      <c r="E161">
        <f>IF(ISNUMBER(INDEX('Aides'!$I$4:$I$503,158)),TEXT(INDEX('Aides'!$I$4:$I$503,158),"yyyy-mm-dd"),"")</f>
        <v/>
      </c>
      <c r="F161">
        <f>"Certification"</f>
        <v/>
      </c>
      <c r="G161">
        <f>"High"</f>
        <v/>
      </c>
      <c r="H161">
        <f>TRIM(IF(LEN(IF(LEN(INDEX('Aides'!$D$4:$D$503,158))=0,"",INDEX('Aides'!$D$4:$D$503,158)))=0,"","Registry no.: "&amp;IF(LEN(INDEX('Aides'!$D$4:$D$503,158))=0,"",INDEX('Aides'!$D$4:$D$503,158))&amp;". ")&amp;IF(LEN(IF(ISNUMBER(INDEX('Aides'!$F$4:$F$503,158)),TEXT(INDEX('Aides'!$F$4:$F$503,158),"yyyy-mm-dd"),""))=0,"","Registry expiry: "&amp;IF(ISNUMBER(INDEX('Aides'!$F$4:$F$503,158)),TEXT(INDEX('Aides'!$F$4:$F$503,158),"yyyy-mm-dd"),"")&amp;". ")&amp;IF(LEN(IF(ISNUMBER(INDEX('Aides'!$G$4:$G$503,158)),TEXT(INDEX('Aides'!$G$4:$G$503,158),"yyyy-mm-dd"),""))=0,"","Last paid nursing work: "&amp;IF(ISNUMBER(INDEX('Aides'!$G$4:$G$503,158)),TEXT(INDEX('Aides'!$G$4:$G$503,158),"yyyy-mm-dd"),"")&amp;". ")&amp;IF(LEN(IF(ISNUMBER(INDEX('Aides'!$H$4:$H$503,158)),TEXT(INDEX('Aides'!$H$4:$H$503,158),"yyyy-mm-dd"),""))=0,"","24-month cut-off: "&amp;IF(ISNUMBER(INDEX('Aides'!$H$4:$H$503,158)),TEXT(INDEX('Aides'!$H$4:$H$503,158),"yyyy-mm-dd"),"")&amp;". ")&amp;IF(LEN(IF(LEN(INDEX('Aides'!$U$4:$U$503,158))=0,"",INDEX('Aides'!$U$4:$U$503,158)))=0,"","Owner: "&amp;IF(LEN(INDEX('Aides'!$U$4:$U$503,158))=0,"",INDEX('Aides'!$U$4:$U$503,158))&amp;". ")&amp;IF(LEN(IF(LEN(INDEX('Aides'!$X$4:$X$503,158))=0,"",INDEX('Aides'!$X$4:$X$503,158)))=0,"",IF(LEN(INDEX('Aides'!$X$4:$X$503,158))=0,"",INDEX('Aides'!$X$4:$X$503,158))))</f>
        <v/>
      </c>
      <c r="I161">
        <f>IF(LEN(INDEX('Aides'!$W$4:$W$503,158))=0,"",INDEX('Aides'!$W$4:$W$503,158))</f>
        <v/>
      </c>
      <c r="J161">
        <f>IF(LEN(INDEX('Aides'!$V$4:$V$503,158))=0,"",INDEX('Aides'!$V$4:$V$503,158))</f>
        <v/>
      </c>
    </row>
    <row r="162">
      <c r="A162">
        <f>IF(AND(LEN('Aides'!A162)&gt;0,ISNUMBER('Aides'!I162)),1,0)</f>
        <v/>
      </c>
      <c r="B162">
        <f>B161+A162</f>
        <v/>
      </c>
      <c r="C162">
        <f>IF(159&gt;$B$1503,"",MATCH(159-0.5,$B$3:$B$1503,1))</f>
        <v/>
      </c>
      <c r="D162">
        <f>"CNA certification ("&amp;IF(LEN(INDEX('Aides'!$C$4:$C$503,159))=0,"",INDEX('Aides'!$C$4:$C$503,159))&amp;") – "&amp;IF(LEN(INDEX('Aides'!$A$4:$A$503,159))=0,"",INDEX('Aides'!$A$4:$A$503,159))</f>
        <v/>
      </c>
      <c r="E162">
        <f>IF(ISNUMBER(INDEX('Aides'!$I$4:$I$503,159)),TEXT(INDEX('Aides'!$I$4:$I$503,159),"yyyy-mm-dd"),"")</f>
        <v/>
      </c>
      <c r="F162">
        <f>"Certification"</f>
        <v/>
      </c>
      <c r="G162">
        <f>"High"</f>
        <v/>
      </c>
      <c r="H162">
        <f>TRIM(IF(LEN(IF(LEN(INDEX('Aides'!$D$4:$D$503,159))=0,"",INDEX('Aides'!$D$4:$D$503,159)))=0,"","Registry no.: "&amp;IF(LEN(INDEX('Aides'!$D$4:$D$503,159))=0,"",INDEX('Aides'!$D$4:$D$503,159))&amp;". ")&amp;IF(LEN(IF(ISNUMBER(INDEX('Aides'!$F$4:$F$503,159)),TEXT(INDEX('Aides'!$F$4:$F$503,159),"yyyy-mm-dd"),""))=0,"","Registry expiry: "&amp;IF(ISNUMBER(INDEX('Aides'!$F$4:$F$503,159)),TEXT(INDEX('Aides'!$F$4:$F$503,159),"yyyy-mm-dd"),"")&amp;". ")&amp;IF(LEN(IF(ISNUMBER(INDEX('Aides'!$G$4:$G$503,159)),TEXT(INDEX('Aides'!$G$4:$G$503,159),"yyyy-mm-dd"),""))=0,"","Last paid nursing work: "&amp;IF(ISNUMBER(INDEX('Aides'!$G$4:$G$503,159)),TEXT(INDEX('Aides'!$G$4:$G$503,159),"yyyy-mm-dd"),"")&amp;". ")&amp;IF(LEN(IF(ISNUMBER(INDEX('Aides'!$H$4:$H$503,159)),TEXT(INDEX('Aides'!$H$4:$H$503,159),"yyyy-mm-dd"),""))=0,"","24-month cut-off: "&amp;IF(ISNUMBER(INDEX('Aides'!$H$4:$H$503,159)),TEXT(INDEX('Aides'!$H$4:$H$503,159),"yyyy-mm-dd"),"")&amp;". ")&amp;IF(LEN(IF(LEN(INDEX('Aides'!$U$4:$U$503,159))=0,"",INDEX('Aides'!$U$4:$U$503,159)))=0,"","Owner: "&amp;IF(LEN(INDEX('Aides'!$U$4:$U$503,159))=0,"",INDEX('Aides'!$U$4:$U$503,159))&amp;". ")&amp;IF(LEN(IF(LEN(INDEX('Aides'!$X$4:$X$503,159))=0,"",INDEX('Aides'!$X$4:$X$503,159)))=0,"",IF(LEN(INDEX('Aides'!$X$4:$X$503,159))=0,"",INDEX('Aides'!$X$4:$X$503,159))))</f>
        <v/>
      </c>
      <c r="I162">
        <f>IF(LEN(INDEX('Aides'!$W$4:$W$503,159))=0,"",INDEX('Aides'!$W$4:$W$503,159))</f>
        <v/>
      </c>
      <c r="J162">
        <f>IF(LEN(INDEX('Aides'!$V$4:$V$503,159))=0,"",INDEX('Aides'!$V$4:$V$503,159))</f>
        <v/>
      </c>
    </row>
    <row r="163">
      <c r="A163">
        <f>IF(AND(LEN('Aides'!A163)&gt;0,ISNUMBER('Aides'!I163)),1,0)</f>
        <v/>
      </c>
      <c r="B163">
        <f>B162+A163</f>
        <v/>
      </c>
      <c r="C163">
        <f>IF(160&gt;$B$1503,"",MATCH(160-0.5,$B$3:$B$1503,1))</f>
        <v/>
      </c>
      <c r="D163">
        <f>"CNA certification ("&amp;IF(LEN(INDEX('Aides'!$C$4:$C$503,160))=0,"",INDEX('Aides'!$C$4:$C$503,160))&amp;") – "&amp;IF(LEN(INDEX('Aides'!$A$4:$A$503,160))=0,"",INDEX('Aides'!$A$4:$A$503,160))</f>
        <v/>
      </c>
      <c r="E163">
        <f>IF(ISNUMBER(INDEX('Aides'!$I$4:$I$503,160)),TEXT(INDEX('Aides'!$I$4:$I$503,160),"yyyy-mm-dd"),"")</f>
        <v/>
      </c>
      <c r="F163">
        <f>"Certification"</f>
        <v/>
      </c>
      <c r="G163">
        <f>"High"</f>
        <v/>
      </c>
      <c r="H163">
        <f>TRIM(IF(LEN(IF(LEN(INDEX('Aides'!$D$4:$D$503,160))=0,"",INDEX('Aides'!$D$4:$D$503,160)))=0,"","Registry no.: "&amp;IF(LEN(INDEX('Aides'!$D$4:$D$503,160))=0,"",INDEX('Aides'!$D$4:$D$503,160))&amp;". ")&amp;IF(LEN(IF(ISNUMBER(INDEX('Aides'!$F$4:$F$503,160)),TEXT(INDEX('Aides'!$F$4:$F$503,160),"yyyy-mm-dd"),""))=0,"","Registry expiry: "&amp;IF(ISNUMBER(INDEX('Aides'!$F$4:$F$503,160)),TEXT(INDEX('Aides'!$F$4:$F$503,160),"yyyy-mm-dd"),"")&amp;". ")&amp;IF(LEN(IF(ISNUMBER(INDEX('Aides'!$G$4:$G$503,160)),TEXT(INDEX('Aides'!$G$4:$G$503,160),"yyyy-mm-dd"),""))=0,"","Last paid nursing work: "&amp;IF(ISNUMBER(INDEX('Aides'!$G$4:$G$503,160)),TEXT(INDEX('Aides'!$G$4:$G$503,160),"yyyy-mm-dd"),"")&amp;". ")&amp;IF(LEN(IF(ISNUMBER(INDEX('Aides'!$H$4:$H$503,160)),TEXT(INDEX('Aides'!$H$4:$H$503,160),"yyyy-mm-dd"),""))=0,"","24-month cut-off: "&amp;IF(ISNUMBER(INDEX('Aides'!$H$4:$H$503,160)),TEXT(INDEX('Aides'!$H$4:$H$503,160),"yyyy-mm-dd"),"")&amp;". ")&amp;IF(LEN(IF(LEN(INDEX('Aides'!$U$4:$U$503,160))=0,"",INDEX('Aides'!$U$4:$U$503,160)))=0,"","Owner: "&amp;IF(LEN(INDEX('Aides'!$U$4:$U$503,160))=0,"",INDEX('Aides'!$U$4:$U$503,160))&amp;". ")&amp;IF(LEN(IF(LEN(INDEX('Aides'!$X$4:$X$503,160))=0,"",INDEX('Aides'!$X$4:$X$503,160)))=0,"",IF(LEN(INDEX('Aides'!$X$4:$X$503,160))=0,"",INDEX('Aides'!$X$4:$X$503,160))))</f>
        <v/>
      </c>
      <c r="I163">
        <f>IF(LEN(INDEX('Aides'!$W$4:$W$503,160))=0,"",INDEX('Aides'!$W$4:$W$503,160))</f>
        <v/>
      </c>
      <c r="J163">
        <f>IF(LEN(INDEX('Aides'!$V$4:$V$503,160))=0,"",INDEX('Aides'!$V$4:$V$503,160))</f>
        <v/>
      </c>
    </row>
    <row r="164">
      <c r="A164">
        <f>IF(AND(LEN('Aides'!A164)&gt;0,ISNUMBER('Aides'!I164)),1,0)</f>
        <v/>
      </c>
      <c r="B164">
        <f>B163+A164</f>
        <v/>
      </c>
      <c r="C164">
        <f>IF(161&gt;$B$1503,"",MATCH(161-0.5,$B$3:$B$1503,1))</f>
        <v/>
      </c>
      <c r="D164">
        <f>"CNA certification ("&amp;IF(LEN(INDEX('Aides'!$C$4:$C$503,161))=0,"",INDEX('Aides'!$C$4:$C$503,161))&amp;") – "&amp;IF(LEN(INDEX('Aides'!$A$4:$A$503,161))=0,"",INDEX('Aides'!$A$4:$A$503,161))</f>
        <v/>
      </c>
      <c r="E164">
        <f>IF(ISNUMBER(INDEX('Aides'!$I$4:$I$503,161)),TEXT(INDEX('Aides'!$I$4:$I$503,161),"yyyy-mm-dd"),"")</f>
        <v/>
      </c>
      <c r="F164">
        <f>"Certification"</f>
        <v/>
      </c>
      <c r="G164">
        <f>"High"</f>
        <v/>
      </c>
      <c r="H164">
        <f>TRIM(IF(LEN(IF(LEN(INDEX('Aides'!$D$4:$D$503,161))=0,"",INDEX('Aides'!$D$4:$D$503,161)))=0,"","Registry no.: "&amp;IF(LEN(INDEX('Aides'!$D$4:$D$503,161))=0,"",INDEX('Aides'!$D$4:$D$503,161))&amp;". ")&amp;IF(LEN(IF(ISNUMBER(INDEX('Aides'!$F$4:$F$503,161)),TEXT(INDEX('Aides'!$F$4:$F$503,161),"yyyy-mm-dd"),""))=0,"","Registry expiry: "&amp;IF(ISNUMBER(INDEX('Aides'!$F$4:$F$503,161)),TEXT(INDEX('Aides'!$F$4:$F$503,161),"yyyy-mm-dd"),"")&amp;". ")&amp;IF(LEN(IF(ISNUMBER(INDEX('Aides'!$G$4:$G$503,161)),TEXT(INDEX('Aides'!$G$4:$G$503,161),"yyyy-mm-dd"),""))=0,"","Last paid nursing work: "&amp;IF(ISNUMBER(INDEX('Aides'!$G$4:$G$503,161)),TEXT(INDEX('Aides'!$G$4:$G$503,161),"yyyy-mm-dd"),"")&amp;". ")&amp;IF(LEN(IF(ISNUMBER(INDEX('Aides'!$H$4:$H$503,161)),TEXT(INDEX('Aides'!$H$4:$H$503,161),"yyyy-mm-dd"),""))=0,"","24-month cut-off: "&amp;IF(ISNUMBER(INDEX('Aides'!$H$4:$H$503,161)),TEXT(INDEX('Aides'!$H$4:$H$503,161),"yyyy-mm-dd"),"")&amp;". ")&amp;IF(LEN(IF(LEN(INDEX('Aides'!$U$4:$U$503,161))=0,"",INDEX('Aides'!$U$4:$U$503,161)))=0,"","Owner: "&amp;IF(LEN(INDEX('Aides'!$U$4:$U$503,161))=0,"",INDEX('Aides'!$U$4:$U$503,161))&amp;". ")&amp;IF(LEN(IF(LEN(INDEX('Aides'!$X$4:$X$503,161))=0,"",INDEX('Aides'!$X$4:$X$503,161)))=0,"",IF(LEN(INDEX('Aides'!$X$4:$X$503,161))=0,"",INDEX('Aides'!$X$4:$X$503,161))))</f>
        <v/>
      </c>
      <c r="I164">
        <f>IF(LEN(INDEX('Aides'!$W$4:$W$503,161))=0,"",INDEX('Aides'!$W$4:$W$503,161))</f>
        <v/>
      </c>
      <c r="J164">
        <f>IF(LEN(INDEX('Aides'!$V$4:$V$503,161))=0,"",INDEX('Aides'!$V$4:$V$503,161))</f>
        <v/>
      </c>
    </row>
    <row r="165">
      <c r="A165">
        <f>IF(AND(LEN('Aides'!A165)&gt;0,ISNUMBER('Aides'!I165)),1,0)</f>
        <v/>
      </c>
      <c r="B165">
        <f>B164+A165</f>
        <v/>
      </c>
      <c r="C165">
        <f>IF(162&gt;$B$1503,"",MATCH(162-0.5,$B$3:$B$1503,1))</f>
        <v/>
      </c>
      <c r="D165">
        <f>"CNA certification ("&amp;IF(LEN(INDEX('Aides'!$C$4:$C$503,162))=0,"",INDEX('Aides'!$C$4:$C$503,162))&amp;") – "&amp;IF(LEN(INDEX('Aides'!$A$4:$A$503,162))=0,"",INDEX('Aides'!$A$4:$A$503,162))</f>
        <v/>
      </c>
      <c r="E165">
        <f>IF(ISNUMBER(INDEX('Aides'!$I$4:$I$503,162)),TEXT(INDEX('Aides'!$I$4:$I$503,162),"yyyy-mm-dd"),"")</f>
        <v/>
      </c>
      <c r="F165">
        <f>"Certification"</f>
        <v/>
      </c>
      <c r="G165">
        <f>"High"</f>
        <v/>
      </c>
      <c r="H165">
        <f>TRIM(IF(LEN(IF(LEN(INDEX('Aides'!$D$4:$D$503,162))=0,"",INDEX('Aides'!$D$4:$D$503,162)))=0,"","Registry no.: "&amp;IF(LEN(INDEX('Aides'!$D$4:$D$503,162))=0,"",INDEX('Aides'!$D$4:$D$503,162))&amp;". ")&amp;IF(LEN(IF(ISNUMBER(INDEX('Aides'!$F$4:$F$503,162)),TEXT(INDEX('Aides'!$F$4:$F$503,162),"yyyy-mm-dd"),""))=0,"","Registry expiry: "&amp;IF(ISNUMBER(INDEX('Aides'!$F$4:$F$503,162)),TEXT(INDEX('Aides'!$F$4:$F$503,162),"yyyy-mm-dd"),"")&amp;". ")&amp;IF(LEN(IF(ISNUMBER(INDEX('Aides'!$G$4:$G$503,162)),TEXT(INDEX('Aides'!$G$4:$G$503,162),"yyyy-mm-dd"),""))=0,"","Last paid nursing work: "&amp;IF(ISNUMBER(INDEX('Aides'!$G$4:$G$503,162)),TEXT(INDEX('Aides'!$G$4:$G$503,162),"yyyy-mm-dd"),"")&amp;". ")&amp;IF(LEN(IF(ISNUMBER(INDEX('Aides'!$H$4:$H$503,162)),TEXT(INDEX('Aides'!$H$4:$H$503,162),"yyyy-mm-dd"),""))=0,"","24-month cut-off: "&amp;IF(ISNUMBER(INDEX('Aides'!$H$4:$H$503,162)),TEXT(INDEX('Aides'!$H$4:$H$503,162),"yyyy-mm-dd"),"")&amp;". ")&amp;IF(LEN(IF(LEN(INDEX('Aides'!$U$4:$U$503,162))=0,"",INDEX('Aides'!$U$4:$U$503,162)))=0,"","Owner: "&amp;IF(LEN(INDEX('Aides'!$U$4:$U$503,162))=0,"",INDEX('Aides'!$U$4:$U$503,162))&amp;". ")&amp;IF(LEN(IF(LEN(INDEX('Aides'!$X$4:$X$503,162))=0,"",INDEX('Aides'!$X$4:$X$503,162)))=0,"",IF(LEN(INDEX('Aides'!$X$4:$X$503,162))=0,"",INDEX('Aides'!$X$4:$X$503,162))))</f>
        <v/>
      </c>
      <c r="I165">
        <f>IF(LEN(INDEX('Aides'!$W$4:$W$503,162))=0,"",INDEX('Aides'!$W$4:$W$503,162))</f>
        <v/>
      </c>
      <c r="J165">
        <f>IF(LEN(INDEX('Aides'!$V$4:$V$503,162))=0,"",INDEX('Aides'!$V$4:$V$503,162))</f>
        <v/>
      </c>
    </row>
    <row r="166">
      <c r="A166">
        <f>IF(AND(LEN('Aides'!A166)&gt;0,ISNUMBER('Aides'!I166)),1,0)</f>
        <v/>
      </c>
      <c r="B166">
        <f>B165+A166</f>
        <v/>
      </c>
      <c r="C166">
        <f>IF(163&gt;$B$1503,"",MATCH(163-0.5,$B$3:$B$1503,1))</f>
        <v/>
      </c>
      <c r="D166">
        <f>"CNA certification ("&amp;IF(LEN(INDEX('Aides'!$C$4:$C$503,163))=0,"",INDEX('Aides'!$C$4:$C$503,163))&amp;") – "&amp;IF(LEN(INDEX('Aides'!$A$4:$A$503,163))=0,"",INDEX('Aides'!$A$4:$A$503,163))</f>
        <v/>
      </c>
      <c r="E166">
        <f>IF(ISNUMBER(INDEX('Aides'!$I$4:$I$503,163)),TEXT(INDEX('Aides'!$I$4:$I$503,163),"yyyy-mm-dd"),"")</f>
        <v/>
      </c>
      <c r="F166">
        <f>"Certification"</f>
        <v/>
      </c>
      <c r="G166">
        <f>"High"</f>
        <v/>
      </c>
      <c r="H166">
        <f>TRIM(IF(LEN(IF(LEN(INDEX('Aides'!$D$4:$D$503,163))=0,"",INDEX('Aides'!$D$4:$D$503,163)))=0,"","Registry no.: "&amp;IF(LEN(INDEX('Aides'!$D$4:$D$503,163))=0,"",INDEX('Aides'!$D$4:$D$503,163))&amp;". ")&amp;IF(LEN(IF(ISNUMBER(INDEX('Aides'!$F$4:$F$503,163)),TEXT(INDEX('Aides'!$F$4:$F$503,163),"yyyy-mm-dd"),""))=0,"","Registry expiry: "&amp;IF(ISNUMBER(INDEX('Aides'!$F$4:$F$503,163)),TEXT(INDEX('Aides'!$F$4:$F$503,163),"yyyy-mm-dd"),"")&amp;". ")&amp;IF(LEN(IF(ISNUMBER(INDEX('Aides'!$G$4:$G$503,163)),TEXT(INDEX('Aides'!$G$4:$G$503,163),"yyyy-mm-dd"),""))=0,"","Last paid nursing work: "&amp;IF(ISNUMBER(INDEX('Aides'!$G$4:$G$503,163)),TEXT(INDEX('Aides'!$G$4:$G$503,163),"yyyy-mm-dd"),"")&amp;". ")&amp;IF(LEN(IF(ISNUMBER(INDEX('Aides'!$H$4:$H$503,163)),TEXT(INDEX('Aides'!$H$4:$H$503,163),"yyyy-mm-dd"),""))=0,"","24-month cut-off: "&amp;IF(ISNUMBER(INDEX('Aides'!$H$4:$H$503,163)),TEXT(INDEX('Aides'!$H$4:$H$503,163),"yyyy-mm-dd"),"")&amp;". ")&amp;IF(LEN(IF(LEN(INDEX('Aides'!$U$4:$U$503,163))=0,"",INDEX('Aides'!$U$4:$U$503,163)))=0,"","Owner: "&amp;IF(LEN(INDEX('Aides'!$U$4:$U$503,163))=0,"",INDEX('Aides'!$U$4:$U$503,163))&amp;". ")&amp;IF(LEN(IF(LEN(INDEX('Aides'!$X$4:$X$503,163))=0,"",INDEX('Aides'!$X$4:$X$503,163)))=0,"",IF(LEN(INDEX('Aides'!$X$4:$X$503,163))=0,"",INDEX('Aides'!$X$4:$X$503,163))))</f>
        <v/>
      </c>
      <c r="I166">
        <f>IF(LEN(INDEX('Aides'!$W$4:$W$503,163))=0,"",INDEX('Aides'!$W$4:$W$503,163))</f>
        <v/>
      </c>
      <c r="J166">
        <f>IF(LEN(INDEX('Aides'!$V$4:$V$503,163))=0,"",INDEX('Aides'!$V$4:$V$503,163))</f>
        <v/>
      </c>
    </row>
    <row r="167">
      <c r="A167">
        <f>IF(AND(LEN('Aides'!A167)&gt;0,ISNUMBER('Aides'!I167)),1,0)</f>
        <v/>
      </c>
      <c r="B167">
        <f>B166+A167</f>
        <v/>
      </c>
      <c r="C167">
        <f>IF(164&gt;$B$1503,"",MATCH(164-0.5,$B$3:$B$1503,1))</f>
        <v/>
      </c>
      <c r="D167">
        <f>"CNA certification ("&amp;IF(LEN(INDEX('Aides'!$C$4:$C$503,164))=0,"",INDEX('Aides'!$C$4:$C$503,164))&amp;") – "&amp;IF(LEN(INDEX('Aides'!$A$4:$A$503,164))=0,"",INDEX('Aides'!$A$4:$A$503,164))</f>
        <v/>
      </c>
      <c r="E167">
        <f>IF(ISNUMBER(INDEX('Aides'!$I$4:$I$503,164)),TEXT(INDEX('Aides'!$I$4:$I$503,164),"yyyy-mm-dd"),"")</f>
        <v/>
      </c>
      <c r="F167">
        <f>"Certification"</f>
        <v/>
      </c>
      <c r="G167">
        <f>"High"</f>
        <v/>
      </c>
      <c r="H167">
        <f>TRIM(IF(LEN(IF(LEN(INDEX('Aides'!$D$4:$D$503,164))=0,"",INDEX('Aides'!$D$4:$D$503,164)))=0,"","Registry no.: "&amp;IF(LEN(INDEX('Aides'!$D$4:$D$503,164))=0,"",INDEX('Aides'!$D$4:$D$503,164))&amp;". ")&amp;IF(LEN(IF(ISNUMBER(INDEX('Aides'!$F$4:$F$503,164)),TEXT(INDEX('Aides'!$F$4:$F$503,164),"yyyy-mm-dd"),""))=0,"","Registry expiry: "&amp;IF(ISNUMBER(INDEX('Aides'!$F$4:$F$503,164)),TEXT(INDEX('Aides'!$F$4:$F$503,164),"yyyy-mm-dd"),"")&amp;". ")&amp;IF(LEN(IF(ISNUMBER(INDEX('Aides'!$G$4:$G$503,164)),TEXT(INDEX('Aides'!$G$4:$G$503,164),"yyyy-mm-dd"),""))=0,"","Last paid nursing work: "&amp;IF(ISNUMBER(INDEX('Aides'!$G$4:$G$503,164)),TEXT(INDEX('Aides'!$G$4:$G$503,164),"yyyy-mm-dd"),"")&amp;". ")&amp;IF(LEN(IF(ISNUMBER(INDEX('Aides'!$H$4:$H$503,164)),TEXT(INDEX('Aides'!$H$4:$H$503,164),"yyyy-mm-dd"),""))=0,"","24-month cut-off: "&amp;IF(ISNUMBER(INDEX('Aides'!$H$4:$H$503,164)),TEXT(INDEX('Aides'!$H$4:$H$503,164),"yyyy-mm-dd"),"")&amp;". ")&amp;IF(LEN(IF(LEN(INDEX('Aides'!$U$4:$U$503,164))=0,"",INDEX('Aides'!$U$4:$U$503,164)))=0,"","Owner: "&amp;IF(LEN(INDEX('Aides'!$U$4:$U$503,164))=0,"",INDEX('Aides'!$U$4:$U$503,164))&amp;". ")&amp;IF(LEN(IF(LEN(INDEX('Aides'!$X$4:$X$503,164))=0,"",INDEX('Aides'!$X$4:$X$503,164)))=0,"",IF(LEN(INDEX('Aides'!$X$4:$X$503,164))=0,"",INDEX('Aides'!$X$4:$X$503,164))))</f>
        <v/>
      </c>
      <c r="I167">
        <f>IF(LEN(INDEX('Aides'!$W$4:$W$503,164))=0,"",INDEX('Aides'!$W$4:$W$503,164))</f>
        <v/>
      </c>
      <c r="J167">
        <f>IF(LEN(INDEX('Aides'!$V$4:$V$503,164))=0,"",INDEX('Aides'!$V$4:$V$503,164))</f>
        <v/>
      </c>
    </row>
    <row r="168">
      <c r="A168">
        <f>IF(AND(LEN('Aides'!A168)&gt;0,ISNUMBER('Aides'!I168)),1,0)</f>
        <v/>
      </c>
      <c r="B168">
        <f>B167+A168</f>
        <v/>
      </c>
      <c r="C168">
        <f>IF(165&gt;$B$1503,"",MATCH(165-0.5,$B$3:$B$1503,1))</f>
        <v/>
      </c>
      <c r="D168">
        <f>"CNA certification ("&amp;IF(LEN(INDEX('Aides'!$C$4:$C$503,165))=0,"",INDEX('Aides'!$C$4:$C$503,165))&amp;") – "&amp;IF(LEN(INDEX('Aides'!$A$4:$A$503,165))=0,"",INDEX('Aides'!$A$4:$A$503,165))</f>
        <v/>
      </c>
      <c r="E168">
        <f>IF(ISNUMBER(INDEX('Aides'!$I$4:$I$503,165)),TEXT(INDEX('Aides'!$I$4:$I$503,165),"yyyy-mm-dd"),"")</f>
        <v/>
      </c>
      <c r="F168">
        <f>"Certification"</f>
        <v/>
      </c>
      <c r="G168">
        <f>"High"</f>
        <v/>
      </c>
      <c r="H168">
        <f>TRIM(IF(LEN(IF(LEN(INDEX('Aides'!$D$4:$D$503,165))=0,"",INDEX('Aides'!$D$4:$D$503,165)))=0,"","Registry no.: "&amp;IF(LEN(INDEX('Aides'!$D$4:$D$503,165))=0,"",INDEX('Aides'!$D$4:$D$503,165))&amp;". ")&amp;IF(LEN(IF(ISNUMBER(INDEX('Aides'!$F$4:$F$503,165)),TEXT(INDEX('Aides'!$F$4:$F$503,165),"yyyy-mm-dd"),""))=0,"","Registry expiry: "&amp;IF(ISNUMBER(INDEX('Aides'!$F$4:$F$503,165)),TEXT(INDEX('Aides'!$F$4:$F$503,165),"yyyy-mm-dd"),"")&amp;". ")&amp;IF(LEN(IF(ISNUMBER(INDEX('Aides'!$G$4:$G$503,165)),TEXT(INDEX('Aides'!$G$4:$G$503,165),"yyyy-mm-dd"),""))=0,"","Last paid nursing work: "&amp;IF(ISNUMBER(INDEX('Aides'!$G$4:$G$503,165)),TEXT(INDEX('Aides'!$G$4:$G$503,165),"yyyy-mm-dd"),"")&amp;". ")&amp;IF(LEN(IF(ISNUMBER(INDEX('Aides'!$H$4:$H$503,165)),TEXT(INDEX('Aides'!$H$4:$H$503,165),"yyyy-mm-dd"),""))=0,"","24-month cut-off: "&amp;IF(ISNUMBER(INDEX('Aides'!$H$4:$H$503,165)),TEXT(INDEX('Aides'!$H$4:$H$503,165),"yyyy-mm-dd"),"")&amp;". ")&amp;IF(LEN(IF(LEN(INDEX('Aides'!$U$4:$U$503,165))=0,"",INDEX('Aides'!$U$4:$U$503,165)))=0,"","Owner: "&amp;IF(LEN(INDEX('Aides'!$U$4:$U$503,165))=0,"",INDEX('Aides'!$U$4:$U$503,165))&amp;". ")&amp;IF(LEN(IF(LEN(INDEX('Aides'!$X$4:$X$503,165))=0,"",INDEX('Aides'!$X$4:$X$503,165)))=0,"",IF(LEN(INDEX('Aides'!$X$4:$X$503,165))=0,"",INDEX('Aides'!$X$4:$X$503,165))))</f>
        <v/>
      </c>
      <c r="I168">
        <f>IF(LEN(INDEX('Aides'!$W$4:$W$503,165))=0,"",INDEX('Aides'!$W$4:$W$503,165))</f>
        <v/>
      </c>
      <c r="J168">
        <f>IF(LEN(INDEX('Aides'!$V$4:$V$503,165))=0,"",INDEX('Aides'!$V$4:$V$503,165))</f>
        <v/>
      </c>
    </row>
    <row r="169">
      <c r="A169">
        <f>IF(AND(LEN('Aides'!A169)&gt;0,ISNUMBER('Aides'!I169)),1,0)</f>
        <v/>
      </c>
      <c r="B169">
        <f>B168+A169</f>
        <v/>
      </c>
      <c r="C169">
        <f>IF(166&gt;$B$1503,"",MATCH(166-0.5,$B$3:$B$1503,1))</f>
        <v/>
      </c>
      <c r="D169">
        <f>"CNA certification ("&amp;IF(LEN(INDEX('Aides'!$C$4:$C$503,166))=0,"",INDEX('Aides'!$C$4:$C$503,166))&amp;") – "&amp;IF(LEN(INDEX('Aides'!$A$4:$A$503,166))=0,"",INDEX('Aides'!$A$4:$A$503,166))</f>
        <v/>
      </c>
      <c r="E169">
        <f>IF(ISNUMBER(INDEX('Aides'!$I$4:$I$503,166)),TEXT(INDEX('Aides'!$I$4:$I$503,166),"yyyy-mm-dd"),"")</f>
        <v/>
      </c>
      <c r="F169">
        <f>"Certification"</f>
        <v/>
      </c>
      <c r="G169">
        <f>"High"</f>
        <v/>
      </c>
      <c r="H169">
        <f>TRIM(IF(LEN(IF(LEN(INDEX('Aides'!$D$4:$D$503,166))=0,"",INDEX('Aides'!$D$4:$D$503,166)))=0,"","Registry no.: "&amp;IF(LEN(INDEX('Aides'!$D$4:$D$503,166))=0,"",INDEX('Aides'!$D$4:$D$503,166))&amp;". ")&amp;IF(LEN(IF(ISNUMBER(INDEX('Aides'!$F$4:$F$503,166)),TEXT(INDEX('Aides'!$F$4:$F$503,166),"yyyy-mm-dd"),""))=0,"","Registry expiry: "&amp;IF(ISNUMBER(INDEX('Aides'!$F$4:$F$503,166)),TEXT(INDEX('Aides'!$F$4:$F$503,166),"yyyy-mm-dd"),"")&amp;". ")&amp;IF(LEN(IF(ISNUMBER(INDEX('Aides'!$G$4:$G$503,166)),TEXT(INDEX('Aides'!$G$4:$G$503,166),"yyyy-mm-dd"),""))=0,"","Last paid nursing work: "&amp;IF(ISNUMBER(INDEX('Aides'!$G$4:$G$503,166)),TEXT(INDEX('Aides'!$G$4:$G$503,166),"yyyy-mm-dd"),"")&amp;". ")&amp;IF(LEN(IF(ISNUMBER(INDEX('Aides'!$H$4:$H$503,166)),TEXT(INDEX('Aides'!$H$4:$H$503,166),"yyyy-mm-dd"),""))=0,"","24-month cut-off: "&amp;IF(ISNUMBER(INDEX('Aides'!$H$4:$H$503,166)),TEXT(INDEX('Aides'!$H$4:$H$503,166),"yyyy-mm-dd"),"")&amp;". ")&amp;IF(LEN(IF(LEN(INDEX('Aides'!$U$4:$U$503,166))=0,"",INDEX('Aides'!$U$4:$U$503,166)))=0,"","Owner: "&amp;IF(LEN(INDEX('Aides'!$U$4:$U$503,166))=0,"",INDEX('Aides'!$U$4:$U$503,166))&amp;". ")&amp;IF(LEN(IF(LEN(INDEX('Aides'!$X$4:$X$503,166))=0,"",INDEX('Aides'!$X$4:$X$503,166)))=0,"",IF(LEN(INDEX('Aides'!$X$4:$X$503,166))=0,"",INDEX('Aides'!$X$4:$X$503,166))))</f>
        <v/>
      </c>
      <c r="I169">
        <f>IF(LEN(INDEX('Aides'!$W$4:$W$503,166))=0,"",INDEX('Aides'!$W$4:$W$503,166))</f>
        <v/>
      </c>
      <c r="J169">
        <f>IF(LEN(INDEX('Aides'!$V$4:$V$503,166))=0,"",INDEX('Aides'!$V$4:$V$503,166))</f>
        <v/>
      </c>
    </row>
    <row r="170">
      <c r="A170">
        <f>IF(AND(LEN('Aides'!A170)&gt;0,ISNUMBER('Aides'!I170)),1,0)</f>
        <v/>
      </c>
      <c r="B170">
        <f>B169+A170</f>
        <v/>
      </c>
      <c r="C170">
        <f>IF(167&gt;$B$1503,"",MATCH(167-0.5,$B$3:$B$1503,1))</f>
        <v/>
      </c>
      <c r="D170">
        <f>"CNA certification ("&amp;IF(LEN(INDEX('Aides'!$C$4:$C$503,167))=0,"",INDEX('Aides'!$C$4:$C$503,167))&amp;") – "&amp;IF(LEN(INDEX('Aides'!$A$4:$A$503,167))=0,"",INDEX('Aides'!$A$4:$A$503,167))</f>
        <v/>
      </c>
      <c r="E170">
        <f>IF(ISNUMBER(INDEX('Aides'!$I$4:$I$503,167)),TEXT(INDEX('Aides'!$I$4:$I$503,167),"yyyy-mm-dd"),"")</f>
        <v/>
      </c>
      <c r="F170">
        <f>"Certification"</f>
        <v/>
      </c>
      <c r="G170">
        <f>"High"</f>
        <v/>
      </c>
      <c r="H170">
        <f>TRIM(IF(LEN(IF(LEN(INDEX('Aides'!$D$4:$D$503,167))=0,"",INDEX('Aides'!$D$4:$D$503,167)))=0,"","Registry no.: "&amp;IF(LEN(INDEX('Aides'!$D$4:$D$503,167))=0,"",INDEX('Aides'!$D$4:$D$503,167))&amp;". ")&amp;IF(LEN(IF(ISNUMBER(INDEX('Aides'!$F$4:$F$503,167)),TEXT(INDEX('Aides'!$F$4:$F$503,167),"yyyy-mm-dd"),""))=0,"","Registry expiry: "&amp;IF(ISNUMBER(INDEX('Aides'!$F$4:$F$503,167)),TEXT(INDEX('Aides'!$F$4:$F$503,167),"yyyy-mm-dd"),"")&amp;". ")&amp;IF(LEN(IF(ISNUMBER(INDEX('Aides'!$G$4:$G$503,167)),TEXT(INDEX('Aides'!$G$4:$G$503,167),"yyyy-mm-dd"),""))=0,"","Last paid nursing work: "&amp;IF(ISNUMBER(INDEX('Aides'!$G$4:$G$503,167)),TEXT(INDEX('Aides'!$G$4:$G$503,167),"yyyy-mm-dd"),"")&amp;". ")&amp;IF(LEN(IF(ISNUMBER(INDEX('Aides'!$H$4:$H$503,167)),TEXT(INDEX('Aides'!$H$4:$H$503,167),"yyyy-mm-dd"),""))=0,"","24-month cut-off: "&amp;IF(ISNUMBER(INDEX('Aides'!$H$4:$H$503,167)),TEXT(INDEX('Aides'!$H$4:$H$503,167),"yyyy-mm-dd"),"")&amp;". ")&amp;IF(LEN(IF(LEN(INDEX('Aides'!$U$4:$U$503,167))=0,"",INDEX('Aides'!$U$4:$U$503,167)))=0,"","Owner: "&amp;IF(LEN(INDEX('Aides'!$U$4:$U$503,167))=0,"",INDEX('Aides'!$U$4:$U$503,167))&amp;". ")&amp;IF(LEN(IF(LEN(INDEX('Aides'!$X$4:$X$503,167))=0,"",INDEX('Aides'!$X$4:$X$503,167)))=0,"",IF(LEN(INDEX('Aides'!$X$4:$X$503,167))=0,"",INDEX('Aides'!$X$4:$X$503,167))))</f>
        <v/>
      </c>
      <c r="I170">
        <f>IF(LEN(INDEX('Aides'!$W$4:$W$503,167))=0,"",INDEX('Aides'!$W$4:$W$503,167))</f>
        <v/>
      </c>
      <c r="J170">
        <f>IF(LEN(INDEX('Aides'!$V$4:$V$503,167))=0,"",INDEX('Aides'!$V$4:$V$503,167))</f>
        <v/>
      </c>
    </row>
    <row r="171">
      <c r="A171">
        <f>IF(AND(LEN('Aides'!A171)&gt;0,ISNUMBER('Aides'!I171)),1,0)</f>
        <v/>
      </c>
      <c r="B171">
        <f>B170+A171</f>
        <v/>
      </c>
      <c r="C171">
        <f>IF(168&gt;$B$1503,"",MATCH(168-0.5,$B$3:$B$1503,1))</f>
        <v/>
      </c>
      <c r="D171">
        <f>"CNA certification ("&amp;IF(LEN(INDEX('Aides'!$C$4:$C$503,168))=0,"",INDEX('Aides'!$C$4:$C$503,168))&amp;") – "&amp;IF(LEN(INDEX('Aides'!$A$4:$A$503,168))=0,"",INDEX('Aides'!$A$4:$A$503,168))</f>
        <v/>
      </c>
      <c r="E171">
        <f>IF(ISNUMBER(INDEX('Aides'!$I$4:$I$503,168)),TEXT(INDEX('Aides'!$I$4:$I$503,168),"yyyy-mm-dd"),"")</f>
        <v/>
      </c>
      <c r="F171">
        <f>"Certification"</f>
        <v/>
      </c>
      <c r="G171">
        <f>"High"</f>
        <v/>
      </c>
      <c r="H171">
        <f>TRIM(IF(LEN(IF(LEN(INDEX('Aides'!$D$4:$D$503,168))=0,"",INDEX('Aides'!$D$4:$D$503,168)))=0,"","Registry no.: "&amp;IF(LEN(INDEX('Aides'!$D$4:$D$503,168))=0,"",INDEX('Aides'!$D$4:$D$503,168))&amp;". ")&amp;IF(LEN(IF(ISNUMBER(INDEX('Aides'!$F$4:$F$503,168)),TEXT(INDEX('Aides'!$F$4:$F$503,168),"yyyy-mm-dd"),""))=0,"","Registry expiry: "&amp;IF(ISNUMBER(INDEX('Aides'!$F$4:$F$503,168)),TEXT(INDEX('Aides'!$F$4:$F$503,168),"yyyy-mm-dd"),"")&amp;". ")&amp;IF(LEN(IF(ISNUMBER(INDEX('Aides'!$G$4:$G$503,168)),TEXT(INDEX('Aides'!$G$4:$G$503,168),"yyyy-mm-dd"),""))=0,"","Last paid nursing work: "&amp;IF(ISNUMBER(INDEX('Aides'!$G$4:$G$503,168)),TEXT(INDEX('Aides'!$G$4:$G$503,168),"yyyy-mm-dd"),"")&amp;". ")&amp;IF(LEN(IF(ISNUMBER(INDEX('Aides'!$H$4:$H$503,168)),TEXT(INDEX('Aides'!$H$4:$H$503,168),"yyyy-mm-dd"),""))=0,"","24-month cut-off: "&amp;IF(ISNUMBER(INDEX('Aides'!$H$4:$H$503,168)),TEXT(INDEX('Aides'!$H$4:$H$503,168),"yyyy-mm-dd"),"")&amp;". ")&amp;IF(LEN(IF(LEN(INDEX('Aides'!$U$4:$U$503,168))=0,"",INDEX('Aides'!$U$4:$U$503,168)))=0,"","Owner: "&amp;IF(LEN(INDEX('Aides'!$U$4:$U$503,168))=0,"",INDEX('Aides'!$U$4:$U$503,168))&amp;". ")&amp;IF(LEN(IF(LEN(INDEX('Aides'!$X$4:$X$503,168))=0,"",INDEX('Aides'!$X$4:$X$503,168)))=0,"",IF(LEN(INDEX('Aides'!$X$4:$X$503,168))=0,"",INDEX('Aides'!$X$4:$X$503,168))))</f>
        <v/>
      </c>
      <c r="I171">
        <f>IF(LEN(INDEX('Aides'!$W$4:$W$503,168))=0,"",INDEX('Aides'!$W$4:$W$503,168))</f>
        <v/>
      </c>
      <c r="J171">
        <f>IF(LEN(INDEX('Aides'!$V$4:$V$503,168))=0,"",INDEX('Aides'!$V$4:$V$503,168))</f>
        <v/>
      </c>
    </row>
    <row r="172">
      <c r="A172">
        <f>IF(AND(LEN('Aides'!A172)&gt;0,ISNUMBER('Aides'!I172)),1,0)</f>
        <v/>
      </c>
      <c r="B172">
        <f>B171+A172</f>
        <v/>
      </c>
      <c r="C172">
        <f>IF(169&gt;$B$1503,"",MATCH(169-0.5,$B$3:$B$1503,1))</f>
        <v/>
      </c>
      <c r="D172">
        <f>"CNA certification ("&amp;IF(LEN(INDEX('Aides'!$C$4:$C$503,169))=0,"",INDEX('Aides'!$C$4:$C$503,169))&amp;") – "&amp;IF(LEN(INDEX('Aides'!$A$4:$A$503,169))=0,"",INDEX('Aides'!$A$4:$A$503,169))</f>
        <v/>
      </c>
      <c r="E172">
        <f>IF(ISNUMBER(INDEX('Aides'!$I$4:$I$503,169)),TEXT(INDEX('Aides'!$I$4:$I$503,169),"yyyy-mm-dd"),"")</f>
        <v/>
      </c>
      <c r="F172">
        <f>"Certification"</f>
        <v/>
      </c>
      <c r="G172">
        <f>"High"</f>
        <v/>
      </c>
      <c r="H172">
        <f>TRIM(IF(LEN(IF(LEN(INDEX('Aides'!$D$4:$D$503,169))=0,"",INDEX('Aides'!$D$4:$D$503,169)))=0,"","Registry no.: "&amp;IF(LEN(INDEX('Aides'!$D$4:$D$503,169))=0,"",INDEX('Aides'!$D$4:$D$503,169))&amp;". ")&amp;IF(LEN(IF(ISNUMBER(INDEX('Aides'!$F$4:$F$503,169)),TEXT(INDEX('Aides'!$F$4:$F$503,169),"yyyy-mm-dd"),""))=0,"","Registry expiry: "&amp;IF(ISNUMBER(INDEX('Aides'!$F$4:$F$503,169)),TEXT(INDEX('Aides'!$F$4:$F$503,169),"yyyy-mm-dd"),"")&amp;". ")&amp;IF(LEN(IF(ISNUMBER(INDEX('Aides'!$G$4:$G$503,169)),TEXT(INDEX('Aides'!$G$4:$G$503,169),"yyyy-mm-dd"),""))=0,"","Last paid nursing work: "&amp;IF(ISNUMBER(INDEX('Aides'!$G$4:$G$503,169)),TEXT(INDEX('Aides'!$G$4:$G$503,169),"yyyy-mm-dd"),"")&amp;". ")&amp;IF(LEN(IF(ISNUMBER(INDEX('Aides'!$H$4:$H$503,169)),TEXT(INDEX('Aides'!$H$4:$H$503,169),"yyyy-mm-dd"),""))=0,"","24-month cut-off: "&amp;IF(ISNUMBER(INDEX('Aides'!$H$4:$H$503,169)),TEXT(INDEX('Aides'!$H$4:$H$503,169),"yyyy-mm-dd"),"")&amp;". ")&amp;IF(LEN(IF(LEN(INDEX('Aides'!$U$4:$U$503,169))=0,"",INDEX('Aides'!$U$4:$U$503,169)))=0,"","Owner: "&amp;IF(LEN(INDEX('Aides'!$U$4:$U$503,169))=0,"",INDEX('Aides'!$U$4:$U$503,169))&amp;". ")&amp;IF(LEN(IF(LEN(INDEX('Aides'!$X$4:$X$503,169))=0,"",INDEX('Aides'!$X$4:$X$503,169)))=0,"",IF(LEN(INDEX('Aides'!$X$4:$X$503,169))=0,"",INDEX('Aides'!$X$4:$X$503,169))))</f>
        <v/>
      </c>
      <c r="I172">
        <f>IF(LEN(INDEX('Aides'!$W$4:$W$503,169))=0,"",INDEX('Aides'!$W$4:$W$503,169))</f>
        <v/>
      </c>
      <c r="J172">
        <f>IF(LEN(INDEX('Aides'!$V$4:$V$503,169))=0,"",INDEX('Aides'!$V$4:$V$503,169))</f>
        <v/>
      </c>
    </row>
    <row r="173">
      <c r="A173">
        <f>IF(AND(LEN('Aides'!A173)&gt;0,ISNUMBER('Aides'!I173)),1,0)</f>
        <v/>
      </c>
      <c r="B173">
        <f>B172+A173</f>
        <v/>
      </c>
      <c r="C173">
        <f>IF(170&gt;$B$1503,"",MATCH(170-0.5,$B$3:$B$1503,1))</f>
        <v/>
      </c>
      <c r="D173">
        <f>"CNA certification ("&amp;IF(LEN(INDEX('Aides'!$C$4:$C$503,170))=0,"",INDEX('Aides'!$C$4:$C$503,170))&amp;") – "&amp;IF(LEN(INDEX('Aides'!$A$4:$A$503,170))=0,"",INDEX('Aides'!$A$4:$A$503,170))</f>
        <v/>
      </c>
      <c r="E173">
        <f>IF(ISNUMBER(INDEX('Aides'!$I$4:$I$503,170)),TEXT(INDEX('Aides'!$I$4:$I$503,170),"yyyy-mm-dd"),"")</f>
        <v/>
      </c>
      <c r="F173">
        <f>"Certification"</f>
        <v/>
      </c>
      <c r="G173">
        <f>"High"</f>
        <v/>
      </c>
      <c r="H173">
        <f>TRIM(IF(LEN(IF(LEN(INDEX('Aides'!$D$4:$D$503,170))=0,"",INDEX('Aides'!$D$4:$D$503,170)))=0,"","Registry no.: "&amp;IF(LEN(INDEX('Aides'!$D$4:$D$503,170))=0,"",INDEX('Aides'!$D$4:$D$503,170))&amp;". ")&amp;IF(LEN(IF(ISNUMBER(INDEX('Aides'!$F$4:$F$503,170)),TEXT(INDEX('Aides'!$F$4:$F$503,170),"yyyy-mm-dd"),""))=0,"","Registry expiry: "&amp;IF(ISNUMBER(INDEX('Aides'!$F$4:$F$503,170)),TEXT(INDEX('Aides'!$F$4:$F$503,170),"yyyy-mm-dd"),"")&amp;". ")&amp;IF(LEN(IF(ISNUMBER(INDEX('Aides'!$G$4:$G$503,170)),TEXT(INDEX('Aides'!$G$4:$G$503,170),"yyyy-mm-dd"),""))=0,"","Last paid nursing work: "&amp;IF(ISNUMBER(INDEX('Aides'!$G$4:$G$503,170)),TEXT(INDEX('Aides'!$G$4:$G$503,170),"yyyy-mm-dd"),"")&amp;". ")&amp;IF(LEN(IF(ISNUMBER(INDEX('Aides'!$H$4:$H$503,170)),TEXT(INDEX('Aides'!$H$4:$H$503,170),"yyyy-mm-dd"),""))=0,"","24-month cut-off: "&amp;IF(ISNUMBER(INDEX('Aides'!$H$4:$H$503,170)),TEXT(INDEX('Aides'!$H$4:$H$503,170),"yyyy-mm-dd"),"")&amp;". ")&amp;IF(LEN(IF(LEN(INDEX('Aides'!$U$4:$U$503,170))=0,"",INDEX('Aides'!$U$4:$U$503,170)))=0,"","Owner: "&amp;IF(LEN(INDEX('Aides'!$U$4:$U$503,170))=0,"",INDEX('Aides'!$U$4:$U$503,170))&amp;". ")&amp;IF(LEN(IF(LEN(INDEX('Aides'!$X$4:$X$503,170))=0,"",INDEX('Aides'!$X$4:$X$503,170)))=0,"",IF(LEN(INDEX('Aides'!$X$4:$X$503,170))=0,"",INDEX('Aides'!$X$4:$X$503,170))))</f>
        <v/>
      </c>
      <c r="I173">
        <f>IF(LEN(INDEX('Aides'!$W$4:$W$503,170))=0,"",INDEX('Aides'!$W$4:$W$503,170))</f>
        <v/>
      </c>
      <c r="J173">
        <f>IF(LEN(INDEX('Aides'!$V$4:$V$503,170))=0,"",INDEX('Aides'!$V$4:$V$503,170))</f>
        <v/>
      </c>
    </row>
    <row r="174">
      <c r="A174">
        <f>IF(AND(LEN('Aides'!A174)&gt;0,ISNUMBER('Aides'!I174)),1,0)</f>
        <v/>
      </c>
      <c r="B174">
        <f>B173+A174</f>
        <v/>
      </c>
      <c r="C174">
        <f>IF(171&gt;$B$1503,"",MATCH(171-0.5,$B$3:$B$1503,1))</f>
        <v/>
      </c>
      <c r="D174">
        <f>"CNA certification ("&amp;IF(LEN(INDEX('Aides'!$C$4:$C$503,171))=0,"",INDEX('Aides'!$C$4:$C$503,171))&amp;") – "&amp;IF(LEN(INDEX('Aides'!$A$4:$A$503,171))=0,"",INDEX('Aides'!$A$4:$A$503,171))</f>
        <v/>
      </c>
      <c r="E174">
        <f>IF(ISNUMBER(INDEX('Aides'!$I$4:$I$503,171)),TEXT(INDEX('Aides'!$I$4:$I$503,171),"yyyy-mm-dd"),"")</f>
        <v/>
      </c>
      <c r="F174">
        <f>"Certification"</f>
        <v/>
      </c>
      <c r="G174">
        <f>"High"</f>
        <v/>
      </c>
      <c r="H174">
        <f>TRIM(IF(LEN(IF(LEN(INDEX('Aides'!$D$4:$D$503,171))=0,"",INDEX('Aides'!$D$4:$D$503,171)))=0,"","Registry no.: "&amp;IF(LEN(INDEX('Aides'!$D$4:$D$503,171))=0,"",INDEX('Aides'!$D$4:$D$503,171))&amp;". ")&amp;IF(LEN(IF(ISNUMBER(INDEX('Aides'!$F$4:$F$503,171)),TEXT(INDEX('Aides'!$F$4:$F$503,171),"yyyy-mm-dd"),""))=0,"","Registry expiry: "&amp;IF(ISNUMBER(INDEX('Aides'!$F$4:$F$503,171)),TEXT(INDEX('Aides'!$F$4:$F$503,171),"yyyy-mm-dd"),"")&amp;". ")&amp;IF(LEN(IF(ISNUMBER(INDEX('Aides'!$G$4:$G$503,171)),TEXT(INDEX('Aides'!$G$4:$G$503,171),"yyyy-mm-dd"),""))=0,"","Last paid nursing work: "&amp;IF(ISNUMBER(INDEX('Aides'!$G$4:$G$503,171)),TEXT(INDEX('Aides'!$G$4:$G$503,171),"yyyy-mm-dd"),"")&amp;". ")&amp;IF(LEN(IF(ISNUMBER(INDEX('Aides'!$H$4:$H$503,171)),TEXT(INDEX('Aides'!$H$4:$H$503,171),"yyyy-mm-dd"),""))=0,"","24-month cut-off: "&amp;IF(ISNUMBER(INDEX('Aides'!$H$4:$H$503,171)),TEXT(INDEX('Aides'!$H$4:$H$503,171),"yyyy-mm-dd"),"")&amp;". ")&amp;IF(LEN(IF(LEN(INDEX('Aides'!$U$4:$U$503,171))=0,"",INDEX('Aides'!$U$4:$U$503,171)))=0,"","Owner: "&amp;IF(LEN(INDEX('Aides'!$U$4:$U$503,171))=0,"",INDEX('Aides'!$U$4:$U$503,171))&amp;". ")&amp;IF(LEN(IF(LEN(INDEX('Aides'!$X$4:$X$503,171))=0,"",INDEX('Aides'!$X$4:$X$503,171)))=0,"",IF(LEN(INDEX('Aides'!$X$4:$X$503,171))=0,"",INDEX('Aides'!$X$4:$X$503,171))))</f>
        <v/>
      </c>
      <c r="I174">
        <f>IF(LEN(INDEX('Aides'!$W$4:$W$503,171))=0,"",INDEX('Aides'!$W$4:$W$503,171))</f>
        <v/>
      </c>
      <c r="J174">
        <f>IF(LEN(INDEX('Aides'!$V$4:$V$503,171))=0,"",INDEX('Aides'!$V$4:$V$503,171))</f>
        <v/>
      </c>
    </row>
    <row r="175">
      <c r="A175">
        <f>IF(AND(LEN('Aides'!A175)&gt;0,ISNUMBER('Aides'!I175)),1,0)</f>
        <v/>
      </c>
      <c r="B175">
        <f>B174+A175</f>
        <v/>
      </c>
      <c r="C175">
        <f>IF(172&gt;$B$1503,"",MATCH(172-0.5,$B$3:$B$1503,1))</f>
        <v/>
      </c>
      <c r="D175">
        <f>"CNA certification ("&amp;IF(LEN(INDEX('Aides'!$C$4:$C$503,172))=0,"",INDEX('Aides'!$C$4:$C$503,172))&amp;") – "&amp;IF(LEN(INDEX('Aides'!$A$4:$A$503,172))=0,"",INDEX('Aides'!$A$4:$A$503,172))</f>
        <v/>
      </c>
      <c r="E175">
        <f>IF(ISNUMBER(INDEX('Aides'!$I$4:$I$503,172)),TEXT(INDEX('Aides'!$I$4:$I$503,172),"yyyy-mm-dd"),"")</f>
        <v/>
      </c>
      <c r="F175">
        <f>"Certification"</f>
        <v/>
      </c>
      <c r="G175">
        <f>"High"</f>
        <v/>
      </c>
      <c r="H175">
        <f>TRIM(IF(LEN(IF(LEN(INDEX('Aides'!$D$4:$D$503,172))=0,"",INDEX('Aides'!$D$4:$D$503,172)))=0,"","Registry no.: "&amp;IF(LEN(INDEX('Aides'!$D$4:$D$503,172))=0,"",INDEX('Aides'!$D$4:$D$503,172))&amp;". ")&amp;IF(LEN(IF(ISNUMBER(INDEX('Aides'!$F$4:$F$503,172)),TEXT(INDEX('Aides'!$F$4:$F$503,172),"yyyy-mm-dd"),""))=0,"","Registry expiry: "&amp;IF(ISNUMBER(INDEX('Aides'!$F$4:$F$503,172)),TEXT(INDEX('Aides'!$F$4:$F$503,172),"yyyy-mm-dd"),"")&amp;". ")&amp;IF(LEN(IF(ISNUMBER(INDEX('Aides'!$G$4:$G$503,172)),TEXT(INDEX('Aides'!$G$4:$G$503,172),"yyyy-mm-dd"),""))=0,"","Last paid nursing work: "&amp;IF(ISNUMBER(INDEX('Aides'!$G$4:$G$503,172)),TEXT(INDEX('Aides'!$G$4:$G$503,172),"yyyy-mm-dd"),"")&amp;". ")&amp;IF(LEN(IF(ISNUMBER(INDEX('Aides'!$H$4:$H$503,172)),TEXT(INDEX('Aides'!$H$4:$H$503,172),"yyyy-mm-dd"),""))=0,"","24-month cut-off: "&amp;IF(ISNUMBER(INDEX('Aides'!$H$4:$H$503,172)),TEXT(INDEX('Aides'!$H$4:$H$503,172),"yyyy-mm-dd"),"")&amp;". ")&amp;IF(LEN(IF(LEN(INDEX('Aides'!$U$4:$U$503,172))=0,"",INDEX('Aides'!$U$4:$U$503,172)))=0,"","Owner: "&amp;IF(LEN(INDEX('Aides'!$U$4:$U$503,172))=0,"",INDEX('Aides'!$U$4:$U$503,172))&amp;". ")&amp;IF(LEN(IF(LEN(INDEX('Aides'!$X$4:$X$503,172))=0,"",INDEX('Aides'!$X$4:$X$503,172)))=0,"",IF(LEN(INDEX('Aides'!$X$4:$X$503,172))=0,"",INDEX('Aides'!$X$4:$X$503,172))))</f>
        <v/>
      </c>
      <c r="I175">
        <f>IF(LEN(INDEX('Aides'!$W$4:$W$503,172))=0,"",INDEX('Aides'!$W$4:$W$503,172))</f>
        <v/>
      </c>
      <c r="J175">
        <f>IF(LEN(INDEX('Aides'!$V$4:$V$503,172))=0,"",INDEX('Aides'!$V$4:$V$503,172))</f>
        <v/>
      </c>
    </row>
    <row r="176">
      <c r="A176">
        <f>IF(AND(LEN('Aides'!A176)&gt;0,ISNUMBER('Aides'!I176)),1,0)</f>
        <v/>
      </c>
      <c r="B176">
        <f>B175+A176</f>
        <v/>
      </c>
      <c r="C176">
        <f>IF(173&gt;$B$1503,"",MATCH(173-0.5,$B$3:$B$1503,1))</f>
        <v/>
      </c>
      <c r="D176">
        <f>"CNA certification ("&amp;IF(LEN(INDEX('Aides'!$C$4:$C$503,173))=0,"",INDEX('Aides'!$C$4:$C$503,173))&amp;") – "&amp;IF(LEN(INDEX('Aides'!$A$4:$A$503,173))=0,"",INDEX('Aides'!$A$4:$A$503,173))</f>
        <v/>
      </c>
      <c r="E176">
        <f>IF(ISNUMBER(INDEX('Aides'!$I$4:$I$503,173)),TEXT(INDEX('Aides'!$I$4:$I$503,173),"yyyy-mm-dd"),"")</f>
        <v/>
      </c>
      <c r="F176">
        <f>"Certification"</f>
        <v/>
      </c>
      <c r="G176">
        <f>"High"</f>
        <v/>
      </c>
      <c r="H176">
        <f>TRIM(IF(LEN(IF(LEN(INDEX('Aides'!$D$4:$D$503,173))=0,"",INDEX('Aides'!$D$4:$D$503,173)))=0,"","Registry no.: "&amp;IF(LEN(INDEX('Aides'!$D$4:$D$503,173))=0,"",INDEX('Aides'!$D$4:$D$503,173))&amp;". ")&amp;IF(LEN(IF(ISNUMBER(INDEX('Aides'!$F$4:$F$503,173)),TEXT(INDEX('Aides'!$F$4:$F$503,173),"yyyy-mm-dd"),""))=0,"","Registry expiry: "&amp;IF(ISNUMBER(INDEX('Aides'!$F$4:$F$503,173)),TEXT(INDEX('Aides'!$F$4:$F$503,173),"yyyy-mm-dd"),"")&amp;". ")&amp;IF(LEN(IF(ISNUMBER(INDEX('Aides'!$G$4:$G$503,173)),TEXT(INDEX('Aides'!$G$4:$G$503,173),"yyyy-mm-dd"),""))=0,"","Last paid nursing work: "&amp;IF(ISNUMBER(INDEX('Aides'!$G$4:$G$503,173)),TEXT(INDEX('Aides'!$G$4:$G$503,173),"yyyy-mm-dd"),"")&amp;". ")&amp;IF(LEN(IF(ISNUMBER(INDEX('Aides'!$H$4:$H$503,173)),TEXT(INDEX('Aides'!$H$4:$H$503,173),"yyyy-mm-dd"),""))=0,"","24-month cut-off: "&amp;IF(ISNUMBER(INDEX('Aides'!$H$4:$H$503,173)),TEXT(INDEX('Aides'!$H$4:$H$503,173),"yyyy-mm-dd"),"")&amp;". ")&amp;IF(LEN(IF(LEN(INDEX('Aides'!$U$4:$U$503,173))=0,"",INDEX('Aides'!$U$4:$U$503,173)))=0,"","Owner: "&amp;IF(LEN(INDEX('Aides'!$U$4:$U$503,173))=0,"",INDEX('Aides'!$U$4:$U$503,173))&amp;". ")&amp;IF(LEN(IF(LEN(INDEX('Aides'!$X$4:$X$503,173))=0,"",INDEX('Aides'!$X$4:$X$503,173)))=0,"",IF(LEN(INDEX('Aides'!$X$4:$X$503,173))=0,"",INDEX('Aides'!$X$4:$X$503,173))))</f>
        <v/>
      </c>
      <c r="I176">
        <f>IF(LEN(INDEX('Aides'!$W$4:$W$503,173))=0,"",INDEX('Aides'!$W$4:$W$503,173))</f>
        <v/>
      </c>
      <c r="J176">
        <f>IF(LEN(INDEX('Aides'!$V$4:$V$503,173))=0,"",INDEX('Aides'!$V$4:$V$503,173))</f>
        <v/>
      </c>
    </row>
    <row r="177">
      <c r="A177">
        <f>IF(AND(LEN('Aides'!A177)&gt;0,ISNUMBER('Aides'!I177)),1,0)</f>
        <v/>
      </c>
      <c r="B177">
        <f>B176+A177</f>
        <v/>
      </c>
      <c r="C177">
        <f>IF(174&gt;$B$1503,"",MATCH(174-0.5,$B$3:$B$1503,1))</f>
        <v/>
      </c>
      <c r="D177">
        <f>"CNA certification ("&amp;IF(LEN(INDEX('Aides'!$C$4:$C$503,174))=0,"",INDEX('Aides'!$C$4:$C$503,174))&amp;") – "&amp;IF(LEN(INDEX('Aides'!$A$4:$A$503,174))=0,"",INDEX('Aides'!$A$4:$A$503,174))</f>
        <v/>
      </c>
      <c r="E177">
        <f>IF(ISNUMBER(INDEX('Aides'!$I$4:$I$503,174)),TEXT(INDEX('Aides'!$I$4:$I$503,174),"yyyy-mm-dd"),"")</f>
        <v/>
      </c>
      <c r="F177">
        <f>"Certification"</f>
        <v/>
      </c>
      <c r="G177">
        <f>"High"</f>
        <v/>
      </c>
      <c r="H177">
        <f>TRIM(IF(LEN(IF(LEN(INDEX('Aides'!$D$4:$D$503,174))=0,"",INDEX('Aides'!$D$4:$D$503,174)))=0,"","Registry no.: "&amp;IF(LEN(INDEX('Aides'!$D$4:$D$503,174))=0,"",INDEX('Aides'!$D$4:$D$503,174))&amp;". ")&amp;IF(LEN(IF(ISNUMBER(INDEX('Aides'!$F$4:$F$503,174)),TEXT(INDEX('Aides'!$F$4:$F$503,174),"yyyy-mm-dd"),""))=0,"","Registry expiry: "&amp;IF(ISNUMBER(INDEX('Aides'!$F$4:$F$503,174)),TEXT(INDEX('Aides'!$F$4:$F$503,174),"yyyy-mm-dd"),"")&amp;". ")&amp;IF(LEN(IF(ISNUMBER(INDEX('Aides'!$G$4:$G$503,174)),TEXT(INDEX('Aides'!$G$4:$G$503,174),"yyyy-mm-dd"),""))=0,"","Last paid nursing work: "&amp;IF(ISNUMBER(INDEX('Aides'!$G$4:$G$503,174)),TEXT(INDEX('Aides'!$G$4:$G$503,174),"yyyy-mm-dd"),"")&amp;". ")&amp;IF(LEN(IF(ISNUMBER(INDEX('Aides'!$H$4:$H$503,174)),TEXT(INDEX('Aides'!$H$4:$H$503,174),"yyyy-mm-dd"),""))=0,"","24-month cut-off: "&amp;IF(ISNUMBER(INDEX('Aides'!$H$4:$H$503,174)),TEXT(INDEX('Aides'!$H$4:$H$503,174),"yyyy-mm-dd"),"")&amp;". ")&amp;IF(LEN(IF(LEN(INDEX('Aides'!$U$4:$U$503,174))=0,"",INDEX('Aides'!$U$4:$U$503,174)))=0,"","Owner: "&amp;IF(LEN(INDEX('Aides'!$U$4:$U$503,174))=0,"",INDEX('Aides'!$U$4:$U$503,174))&amp;". ")&amp;IF(LEN(IF(LEN(INDEX('Aides'!$X$4:$X$503,174))=0,"",INDEX('Aides'!$X$4:$X$503,174)))=0,"",IF(LEN(INDEX('Aides'!$X$4:$X$503,174))=0,"",INDEX('Aides'!$X$4:$X$503,174))))</f>
        <v/>
      </c>
      <c r="I177">
        <f>IF(LEN(INDEX('Aides'!$W$4:$W$503,174))=0,"",INDEX('Aides'!$W$4:$W$503,174))</f>
        <v/>
      </c>
      <c r="J177">
        <f>IF(LEN(INDEX('Aides'!$V$4:$V$503,174))=0,"",INDEX('Aides'!$V$4:$V$503,174))</f>
        <v/>
      </c>
    </row>
    <row r="178">
      <c r="A178">
        <f>IF(AND(LEN('Aides'!A178)&gt;0,ISNUMBER('Aides'!I178)),1,0)</f>
        <v/>
      </c>
      <c r="B178">
        <f>B177+A178</f>
        <v/>
      </c>
      <c r="C178">
        <f>IF(175&gt;$B$1503,"",MATCH(175-0.5,$B$3:$B$1503,1))</f>
        <v/>
      </c>
      <c r="D178">
        <f>"CNA certification ("&amp;IF(LEN(INDEX('Aides'!$C$4:$C$503,175))=0,"",INDEX('Aides'!$C$4:$C$503,175))&amp;") – "&amp;IF(LEN(INDEX('Aides'!$A$4:$A$503,175))=0,"",INDEX('Aides'!$A$4:$A$503,175))</f>
        <v/>
      </c>
      <c r="E178">
        <f>IF(ISNUMBER(INDEX('Aides'!$I$4:$I$503,175)),TEXT(INDEX('Aides'!$I$4:$I$503,175),"yyyy-mm-dd"),"")</f>
        <v/>
      </c>
      <c r="F178">
        <f>"Certification"</f>
        <v/>
      </c>
      <c r="G178">
        <f>"High"</f>
        <v/>
      </c>
      <c r="H178">
        <f>TRIM(IF(LEN(IF(LEN(INDEX('Aides'!$D$4:$D$503,175))=0,"",INDEX('Aides'!$D$4:$D$503,175)))=0,"","Registry no.: "&amp;IF(LEN(INDEX('Aides'!$D$4:$D$503,175))=0,"",INDEX('Aides'!$D$4:$D$503,175))&amp;". ")&amp;IF(LEN(IF(ISNUMBER(INDEX('Aides'!$F$4:$F$503,175)),TEXT(INDEX('Aides'!$F$4:$F$503,175),"yyyy-mm-dd"),""))=0,"","Registry expiry: "&amp;IF(ISNUMBER(INDEX('Aides'!$F$4:$F$503,175)),TEXT(INDEX('Aides'!$F$4:$F$503,175),"yyyy-mm-dd"),"")&amp;". ")&amp;IF(LEN(IF(ISNUMBER(INDEX('Aides'!$G$4:$G$503,175)),TEXT(INDEX('Aides'!$G$4:$G$503,175),"yyyy-mm-dd"),""))=0,"","Last paid nursing work: "&amp;IF(ISNUMBER(INDEX('Aides'!$G$4:$G$503,175)),TEXT(INDEX('Aides'!$G$4:$G$503,175),"yyyy-mm-dd"),"")&amp;". ")&amp;IF(LEN(IF(ISNUMBER(INDEX('Aides'!$H$4:$H$503,175)),TEXT(INDEX('Aides'!$H$4:$H$503,175),"yyyy-mm-dd"),""))=0,"","24-month cut-off: "&amp;IF(ISNUMBER(INDEX('Aides'!$H$4:$H$503,175)),TEXT(INDEX('Aides'!$H$4:$H$503,175),"yyyy-mm-dd"),"")&amp;". ")&amp;IF(LEN(IF(LEN(INDEX('Aides'!$U$4:$U$503,175))=0,"",INDEX('Aides'!$U$4:$U$503,175)))=0,"","Owner: "&amp;IF(LEN(INDEX('Aides'!$U$4:$U$503,175))=0,"",INDEX('Aides'!$U$4:$U$503,175))&amp;". ")&amp;IF(LEN(IF(LEN(INDEX('Aides'!$X$4:$X$503,175))=0,"",INDEX('Aides'!$X$4:$X$503,175)))=0,"",IF(LEN(INDEX('Aides'!$X$4:$X$503,175))=0,"",INDEX('Aides'!$X$4:$X$503,175))))</f>
        <v/>
      </c>
      <c r="I178">
        <f>IF(LEN(INDEX('Aides'!$W$4:$W$503,175))=0,"",INDEX('Aides'!$W$4:$W$503,175))</f>
        <v/>
      </c>
      <c r="J178">
        <f>IF(LEN(INDEX('Aides'!$V$4:$V$503,175))=0,"",INDEX('Aides'!$V$4:$V$503,175))</f>
        <v/>
      </c>
    </row>
    <row r="179">
      <c r="A179">
        <f>IF(AND(LEN('Aides'!A179)&gt;0,ISNUMBER('Aides'!I179)),1,0)</f>
        <v/>
      </c>
      <c r="B179">
        <f>B178+A179</f>
        <v/>
      </c>
      <c r="C179">
        <f>IF(176&gt;$B$1503,"",MATCH(176-0.5,$B$3:$B$1503,1))</f>
        <v/>
      </c>
      <c r="D179">
        <f>"CNA certification ("&amp;IF(LEN(INDEX('Aides'!$C$4:$C$503,176))=0,"",INDEX('Aides'!$C$4:$C$503,176))&amp;") – "&amp;IF(LEN(INDEX('Aides'!$A$4:$A$503,176))=0,"",INDEX('Aides'!$A$4:$A$503,176))</f>
        <v/>
      </c>
      <c r="E179">
        <f>IF(ISNUMBER(INDEX('Aides'!$I$4:$I$503,176)),TEXT(INDEX('Aides'!$I$4:$I$503,176),"yyyy-mm-dd"),"")</f>
        <v/>
      </c>
      <c r="F179">
        <f>"Certification"</f>
        <v/>
      </c>
      <c r="G179">
        <f>"High"</f>
        <v/>
      </c>
      <c r="H179">
        <f>TRIM(IF(LEN(IF(LEN(INDEX('Aides'!$D$4:$D$503,176))=0,"",INDEX('Aides'!$D$4:$D$503,176)))=0,"","Registry no.: "&amp;IF(LEN(INDEX('Aides'!$D$4:$D$503,176))=0,"",INDEX('Aides'!$D$4:$D$503,176))&amp;". ")&amp;IF(LEN(IF(ISNUMBER(INDEX('Aides'!$F$4:$F$503,176)),TEXT(INDEX('Aides'!$F$4:$F$503,176),"yyyy-mm-dd"),""))=0,"","Registry expiry: "&amp;IF(ISNUMBER(INDEX('Aides'!$F$4:$F$503,176)),TEXT(INDEX('Aides'!$F$4:$F$503,176),"yyyy-mm-dd"),"")&amp;". ")&amp;IF(LEN(IF(ISNUMBER(INDEX('Aides'!$G$4:$G$503,176)),TEXT(INDEX('Aides'!$G$4:$G$503,176),"yyyy-mm-dd"),""))=0,"","Last paid nursing work: "&amp;IF(ISNUMBER(INDEX('Aides'!$G$4:$G$503,176)),TEXT(INDEX('Aides'!$G$4:$G$503,176),"yyyy-mm-dd"),"")&amp;". ")&amp;IF(LEN(IF(ISNUMBER(INDEX('Aides'!$H$4:$H$503,176)),TEXT(INDEX('Aides'!$H$4:$H$503,176),"yyyy-mm-dd"),""))=0,"","24-month cut-off: "&amp;IF(ISNUMBER(INDEX('Aides'!$H$4:$H$503,176)),TEXT(INDEX('Aides'!$H$4:$H$503,176),"yyyy-mm-dd"),"")&amp;". ")&amp;IF(LEN(IF(LEN(INDEX('Aides'!$U$4:$U$503,176))=0,"",INDEX('Aides'!$U$4:$U$503,176)))=0,"","Owner: "&amp;IF(LEN(INDEX('Aides'!$U$4:$U$503,176))=0,"",INDEX('Aides'!$U$4:$U$503,176))&amp;". ")&amp;IF(LEN(IF(LEN(INDEX('Aides'!$X$4:$X$503,176))=0,"",INDEX('Aides'!$X$4:$X$503,176)))=0,"",IF(LEN(INDEX('Aides'!$X$4:$X$503,176))=0,"",INDEX('Aides'!$X$4:$X$503,176))))</f>
        <v/>
      </c>
      <c r="I179">
        <f>IF(LEN(INDEX('Aides'!$W$4:$W$503,176))=0,"",INDEX('Aides'!$W$4:$W$503,176))</f>
        <v/>
      </c>
      <c r="J179">
        <f>IF(LEN(INDEX('Aides'!$V$4:$V$503,176))=0,"",INDEX('Aides'!$V$4:$V$503,176))</f>
        <v/>
      </c>
    </row>
    <row r="180">
      <c r="A180">
        <f>IF(AND(LEN('Aides'!A180)&gt;0,ISNUMBER('Aides'!I180)),1,0)</f>
        <v/>
      </c>
      <c r="B180">
        <f>B179+A180</f>
        <v/>
      </c>
      <c r="C180">
        <f>IF(177&gt;$B$1503,"",MATCH(177-0.5,$B$3:$B$1503,1))</f>
        <v/>
      </c>
      <c r="D180">
        <f>"CNA certification ("&amp;IF(LEN(INDEX('Aides'!$C$4:$C$503,177))=0,"",INDEX('Aides'!$C$4:$C$503,177))&amp;") – "&amp;IF(LEN(INDEX('Aides'!$A$4:$A$503,177))=0,"",INDEX('Aides'!$A$4:$A$503,177))</f>
        <v/>
      </c>
      <c r="E180">
        <f>IF(ISNUMBER(INDEX('Aides'!$I$4:$I$503,177)),TEXT(INDEX('Aides'!$I$4:$I$503,177),"yyyy-mm-dd"),"")</f>
        <v/>
      </c>
      <c r="F180">
        <f>"Certification"</f>
        <v/>
      </c>
      <c r="G180">
        <f>"High"</f>
        <v/>
      </c>
      <c r="H180">
        <f>TRIM(IF(LEN(IF(LEN(INDEX('Aides'!$D$4:$D$503,177))=0,"",INDEX('Aides'!$D$4:$D$503,177)))=0,"","Registry no.: "&amp;IF(LEN(INDEX('Aides'!$D$4:$D$503,177))=0,"",INDEX('Aides'!$D$4:$D$503,177))&amp;". ")&amp;IF(LEN(IF(ISNUMBER(INDEX('Aides'!$F$4:$F$503,177)),TEXT(INDEX('Aides'!$F$4:$F$503,177),"yyyy-mm-dd"),""))=0,"","Registry expiry: "&amp;IF(ISNUMBER(INDEX('Aides'!$F$4:$F$503,177)),TEXT(INDEX('Aides'!$F$4:$F$503,177),"yyyy-mm-dd"),"")&amp;". ")&amp;IF(LEN(IF(ISNUMBER(INDEX('Aides'!$G$4:$G$503,177)),TEXT(INDEX('Aides'!$G$4:$G$503,177),"yyyy-mm-dd"),""))=0,"","Last paid nursing work: "&amp;IF(ISNUMBER(INDEX('Aides'!$G$4:$G$503,177)),TEXT(INDEX('Aides'!$G$4:$G$503,177),"yyyy-mm-dd"),"")&amp;". ")&amp;IF(LEN(IF(ISNUMBER(INDEX('Aides'!$H$4:$H$503,177)),TEXT(INDEX('Aides'!$H$4:$H$503,177),"yyyy-mm-dd"),""))=0,"","24-month cut-off: "&amp;IF(ISNUMBER(INDEX('Aides'!$H$4:$H$503,177)),TEXT(INDEX('Aides'!$H$4:$H$503,177),"yyyy-mm-dd"),"")&amp;". ")&amp;IF(LEN(IF(LEN(INDEX('Aides'!$U$4:$U$503,177))=0,"",INDEX('Aides'!$U$4:$U$503,177)))=0,"","Owner: "&amp;IF(LEN(INDEX('Aides'!$U$4:$U$503,177))=0,"",INDEX('Aides'!$U$4:$U$503,177))&amp;". ")&amp;IF(LEN(IF(LEN(INDEX('Aides'!$X$4:$X$503,177))=0,"",INDEX('Aides'!$X$4:$X$503,177)))=0,"",IF(LEN(INDEX('Aides'!$X$4:$X$503,177))=0,"",INDEX('Aides'!$X$4:$X$503,177))))</f>
        <v/>
      </c>
      <c r="I180">
        <f>IF(LEN(INDEX('Aides'!$W$4:$W$503,177))=0,"",INDEX('Aides'!$W$4:$W$503,177))</f>
        <v/>
      </c>
      <c r="J180">
        <f>IF(LEN(INDEX('Aides'!$V$4:$V$503,177))=0,"",INDEX('Aides'!$V$4:$V$503,177))</f>
        <v/>
      </c>
    </row>
    <row r="181">
      <c r="A181">
        <f>IF(AND(LEN('Aides'!A181)&gt;0,ISNUMBER('Aides'!I181)),1,0)</f>
        <v/>
      </c>
      <c r="B181">
        <f>B180+A181</f>
        <v/>
      </c>
      <c r="C181">
        <f>IF(178&gt;$B$1503,"",MATCH(178-0.5,$B$3:$B$1503,1))</f>
        <v/>
      </c>
      <c r="D181">
        <f>"CNA certification ("&amp;IF(LEN(INDEX('Aides'!$C$4:$C$503,178))=0,"",INDEX('Aides'!$C$4:$C$503,178))&amp;") – "&amp;IF(LEN(INDEX('Aides'!$A$4:$A$503,178))=0,"",INDEX('Aides'!$A$4:$A$503,178))</f>
        <v/>
      </c>
      <c r="E181">
        <f>IF(ISNUMBER(INDEX('Aides'!$I$4:$I$503,178)),TEXT(INDEX('Aides'!$I$4:$I$503,178),"yyyy-mm-dd"),"")</f>
        <v/>
      </c>
      <c r="F181">
        <f>"Certification"</f>
        <v/>
      </c>
      <c r="G181">
        <f>"High"</f>
        <v/>
      </c>
      <c r="H181">
        <f>TRIM(IF(LEN(IF(LEN(INDEX('Aides'!$D$4:$D$503,178))=0,"",INDEX('Aides'!$D$4:$D$503,178)))=0,"","Registry no.: "&amp;IF(LEN(INDEX('Aides'!$D$4:$D$503,178))=0,"",INDEX('Aides'!$D$4:$D$503,178))&amp;". ")&amp;IF(LEN(IF(ISNUMBER(INDEX('Aides'!$F$4:$F$503,178)),TEXT(INDEX('Aides'!$F$4:$F$503,178),"yyyy-mm-dd"),""))=0,"","Registry expiry: "&amp;IF(ISNUMBER(INDEX('Aides'!$F$4:$F$503,178)),TEXT(INDEX('Aides'!$F$4:$F$503,178),"yyyy-mm-dd"),"")&amp;". ")&amp;IF(LEN(IF(ISNUMBER(INDEX('Aides'!$G$4:$G$503,178)),TEXT(INDEX('Aides'!$G$4:$G$503,178),"yyyy-mm-dd"),""))=0,"","Last paid nursing work: "&amp;IF(ISNUMBER(INDEX('Aides'!$G$4:$G$503,178)),TEXT(INDEX('Aides'!$G$4:$G$503,178),"yyyy-mm-dd"),"")&amp;". ")&amp;IF(LEN(IF(ISNUMBER(INDEX('Aides'!$H$4:$H$503,178)),TEXT(INDEX('Aides'!$H$4:$H$503,178),"yyyy-mm-dd"),""))=0,"","24-month cut-off: "&amp;IF(ISNUMBER(INDEX('Aides'!$H$4:$H$503,178)),TEXT(INDEX('Aides'!$H$4:$H$503,178),"yyyy-mm-dd"),"")&amp;". ")&amp;IF(LEN(IF(LEN(INDEX('Aides'!$U$4:$U$503,178))=0,"",INDEX('Aides'!$U$4:$U$503,178)))=0,"","Owner: "&amp;IF(LEN(INDEX('Aides'!$U$4:$U$503,178))=0,"",INDEX('Aides'!$U$4:$U$503,178))&amp;". ")&amp;IF(LEN(IF(LEN(INDEX('Aides'!$X$4:$X$503,178))=0,"",INDEX('Aides'!$X$4:$X$503,178)))=0,"",IF(LEN(INDEX('Aides'!$X$4:$X$503,178))=0,"",INDEX('Aides'!$X$4:$X$503,178))))</f>
        <v/>
      </c>
      <c r="I181">
        <f>IF(LEN(INDEX('Aides'!$W$4:$W$503,178))=0,"",INDEX('Aides'!$W$4:$W$503,178))</f>
        <v/>
      </c>
      <c r="J181">
        <f>IF(LEN(INDEX('Aides'!$V$4:$V$503,178))=0,"",INDEX('Aides'!$V$4:$V$503,178))</f>
        <v/>
      </c>
    </row>
    <row r="182">
      <c r="A182">
        <f>IF(AND(LEN('Aides'!A182)&gt;0,ISNUMBER('Aides'!I182)),1,0)</f>
        <v/>
      </c>
      <c r="B182">
        <f>B181+A182</f>
        <v/>
      </c>
      <c r="C182">
        <f>IF(179&gt;$B$1503,"",MATCH(179-0.5,$B$3:$B$1503,1))</f>
        <v/>
      </c>
      <c r="D182">
        <f>"CNA certification ("&amp;IF(LEN(INDEX('Aides'!$C$4:$C$503,179))=0,"",INDEX('Aides'!$C$4:$C$503,179))&amp;") – "&amp;IF(LEN(INDEX('Aides'!$A$4:$A$503,179))=0,"",INDEX('Aides'!$A$4:$A$503,179))</f>
        <v/>
      </c>
      <c r="E182">
        <f>IF(ISNUMBER(INDEX('Aides'!$I$4:$I$503,179)),TEXT(INDEX('Aides'!$I$4:$I$503,179),"yyyy-mm-dd"),"")</f>
        <v/>
      </c>
      <c r="F182">
        <f>"Certification"</f>
        <v/>
      </c>
      <c r="G182">
        <f>"High"</f>
        <v/>
      </c>
      <c r="H182">
        <f>TRIM(IF(LEN(IF(LEN(INDEX('Aides'!$D$4:$D$503,179))=0,"",INDEX('Aides'!$D$4:$D$503,179)))=0,"","Registry no.: "&amp;IF(LEN(INDEX('Aides'!$D$4:$D$503,179))=0,"",INDEX('Aides'!$D$4:$D$503,179))&amp;". ")&amp;IF(LEN(IF(ISNUMBER(INDEX('Aides'!$F$4:$F$503,179)),TEXT(INDEX('Aides'!$F$4:$F$503,179),"yyyy-mm-dd"),""))=0,"","Registry expiry: "&amp;IF(ISNUMBER(INDEX('Aides'!$F$4:$F$503,179)),TEXT(INDEX('Aides'!$F$4:$F$503,179),"yyyy-mm-dd"),"")&amp;". ")&amp;IF(LEN(IF(ISNUMBER(INDEX('Aides'!$G$4:$G$503,179)),TEXT(INDEX('Aides'!$G$4:$G$503,179),"yyyy-mm-dd"),""))=0,"","Last paid nursing work: "&amp;IF(ISNUMBER(INDEX('Aides'!$G$4:$G$503,179)),TEXT(INDEX('Aides'!$G$4:$G$503,179),"yyyy-mm-dd"),"")&amp;". ")&amp;IF(LEN(IF(ISNUMBER(INDEX('Aides'!$H$4:$H$503,179)),TEXT(INDEX('Aides'!$H$4:$H$503,179),"yyyy-mm-dd"),""))=0,"","24-month cut-off: "&amp;IF(ISNUMBER(INDEX('Aides'!$H$4:$H$503,179)),TEXT(INDEX('Aides'!$H$4:$H$503,179),"yyyy-mm-dd"),"")&amp;". ")&amp;IF(LEN(IF(LEN(INDEX('Aides'!$U$4:$U$503,179))=0,"",INDEX('Aides'!$U$4:$U$503,179)))=0,"","Owner: "&amp;IF(LEN(INDEX('Aides'!$U$4:$U$503,179))=0,"",INDEX('Aides'!$U$4:$U$503,179))&amp;". ")&amp;IF(LEN(IF(LEN(INDEX('Aides'!$X$4:$X$503,179))=0,"",INDEX('Aides'!$X$4:$X$503,179)))=0,"",IF(LEN(INDEX('Aides'!$X$4:$X$503,179))=0,"",INDEX('Aides'!$X$4:$X$503,179))))</f>
        <v/>
      </c>
      <c r="I182">
        <f>IF(LEN(INDEX('Aides'!$W$4:$W$503,179))=0,"",INDEX('Aides'!$W$4:$W$503,179))</f>
        <v/>
      </c>
      <c r="J182">
        <f>IF(LEN(INDEX('Aides'!$V$4:$V$503,179))=0,"",INDEX('Aides'!$V$4:$V$503,179))</f>
        <v/>
      </c>
    </row>
    <row r="183">
      <c r="A183">
        <f>IF(AND(LEN('Aides'!A183)&gt;0,ISNUMBER('Aides'!I183)),1,0)</f>
        <v/>
      </c>
      <c r="B183">
        <f>B182+A183</f>
        <v/>
      </c>
      <c r="C183">
        <f>IF(180&gt;$B$1503,"",MATCH(180-0.5,$B$3:$B$1503,1))</f>
        <v/>
      </c>
      <c r="D183">
        <f>"CNA certification ("&amp;IF(LEN(INDEX('Aides'!$C$4:$C$503,180))=0,"",INDEX('Aides'!$C$4:$C$503,180))&amp;") – "&amp;IF(LEN(INDEX('Aides'!$A$4:$A$503,180))=0,"",INDEX('Aides'!$A$4:$A$503,180))</f>
        <v/>
      </c>
      <c r="E183">
        <f>IF(ISNUMBER(INDEX('Aides'!$I$4:$I$503,180)),TEXT(INDEX('Aides'!$I$4:$I$503,180),"yyyy-mm-dd"),"")</f>
        <v/>
      </c>
      <c r="F183">
        <f>"Certification"</f>
        <v/>
      </c>
      <c r="G183">
        <f>"High"</f>
        <v/>
      </c>
      <c r="H183">
        <f>TRIM(IF(LEN(IF(LEN(INDEX('Aides'!$D$4:$D$503,180))=0,"",INDEX('Aides'!$D$4:$D$503,180)))=0,"","Registry no.: "&amp;IF(LEN(INDEX('Aides'!$D$4:$D$503,180))=0,"",INDEX('Aides'!$D$4:$D$503,180))&amp;". ")&amp;IF(LEN(IF(ISNUMBER(INDEX('Aides'!$F$4:$F$503,180)),TEXT(INDEX('Aides'!$F$4:$F$503,180),"yyyy-mm-dd"),""))=0,"","Registry expiry: "&amp;IF(ISNUMBER(INDEX('Aides'!$F$4:$F$503,180)),TEXT(INDEX('Aides'!$F$4:$F$503,180),"yyyy-mm-dd"),"")&amp;". ")&amp;IF(LEN(IF(ISNUMBER(INDEX('Aides'!$G$4:$G$503,180)),TEXT(INDEX('Aides'!$G$4:$G$503,180),"yyyy-mm-dd"),""))=0,"","Last paid nursing work: "&amp;IF(ISNUMBER(INDEX('Aides'!$G$4:$G$503,180)),TEXT(INDEX('Aides'!$G$4:$G$503,180),"yyyy-mm-dd"),"")&amp;". ")&amp;IF(LEN(IF(ISNUMBER(INDEX('Aides'!$H$4:$H$503,180)),TEXT(INDEX('Aides'!$H$4:$H$503,180),"yyyy-mm-dd"),""))=0,"","24-month cut-off: "&amp;IF(ISNUMBER(INDEX('Aides'!$H$4:$H$503,180)),TEXT(INDEX('Aides'!$H$4:$H$503,180),"yyyy-mm-dd"),"")&amp;". ")&amp;IF(LEN(IF(LEN(INDEX('Aides'!$U$4:$U$503,180))=0,"",INDEX('Aides'!$U$4:$U$503,180)))=0,"","Owner: "&amp;IF(LEN(INDEX('Aides'!$U$4:$U$503,180))=0,"",INDEX('Aides'!$U$4:$U$503,180))&amp;". ")&amp;IF(LEN(IF(LEN(INDEX('Aides'!$X$4:$X$503,180))=0,"",INDEX('Aides'!$X$4:$X$503,180)))=0,"",IF(LEN(INDEX('Aides'!$X$4:$X$503,180))=0,"",INDEX('Aides'!$X$4:$X$503,180))))</f>
        <v/>
      </c>
      <c r="I183">
        <f>IF(LEN(INDEX('Aides'!$W$4:$W$503,180))=0,"",INDEX('Aides'!$W$4:$W$503,180))</f>
        <v/>
      </c>
      <c r="J183">
        <f>IF(LEN(INDEX('Aides'!$V$4:$V$503,180))=0,"",INDEX('Aides'!$V$4:$V$503,180))</f>
        <v/>
      </c>
    </row>
    <row r="184">
      <c r="A184">
        <f>IF(AND(LEN('Aides'!A184)&gt;0,ISNUMBER('Aides'!I184)),1,0)</f>
        <v/>
      </c>
      <c r="B184">
        <f>B183+A184</f>
        <v/>
      </c>
      <c r="C184">
        <f>IF(181&gt;$B$1503,"",MATCH(181-0.5,$B$3:$B$1503,1))</f>
        <v/>
      </c>
      <c r="D184">
        <f>"CNA certification ("&amp;IF(LEN(INDEX('Aides'!$C$4:$C$503,181))=0,"",INDEX('Aides'!$C$4:$C$503,181))&amp;") – "&amp;IF(LEN(INDEX('Aides'!$A$4:$A$503,181))=0,"",INDEX('Aides'!$A$4:$A$503,181))</f>
        <v/>
      </c>
      <c r="E184">
        <f>IF(ISNUMBER(INDEX('Aides'!$I$4:$I$503,181)),TEXT(INDEX('Aides'!$I$4:$I$503,181),"yyyy-mm-dd"),"")</f>
        <v/>
      </c>
      <c r="F184">
        <f>"Certification"</f>
        <v/>
      </c>
      <c r="G184">
        <f>"High"</f>
        <v/>
      </c>
      <c r="H184">
        <f>TRIM(IF(LEN(IF(LEN(INDEX('Aides'!$D$4:$D$503,181))=0,"",INDEX('Aides'!$D$4:$D$503,181)))=0,"","Registry no.: "&amp;IF(LEN(INDEX('Aides'!$D$4:$D$503,181))=0,"",INDEX('Aides'!$D$4:$D$503,181))&amp;". ")&amp;IF(LEN(IF(ISNUMBER(INDEX('Aides'!$F$4:$F$503,181)),TEXT(INDEX('Aides'!$F$4:$F$503,181),"yyyy-mm-dd"),""))=0,"","Registry expiry: "&amp;IF(ISNUMBER(INDEX('Aides'!$F$4:$F$503,181)),TEXT(INDEX('Aides'!$F$4:$F$503,181),"yyyy-mm-dd"),"")&amp;". ")&amp;IF(LEN(IF(ISNUMBER(INDEX('Aides'!$G$4:$G$503,181)),TEXT(INDEX('Aides'!$G$4:$G$503,181),"yyyy-mm-dd"),""))=0,"","Last paid nursing work: "&amp;IF(ISNUMBER(INDEX('Aides'!$G$4:$G$503,181)),TEXT(INDEX('Aides'!$G$4:$G$503,181),"yyyy-mm-dd"),"")&amp;". ")&amp;IF(LEN(IF(ISNUMBER(INDEX('Aides'!$H$4:$H$503,181)),TEXT(INDEX('Aides'!$H$4:$H$503,181),"yyyy-mm-dd"),""))=0,"","24-month cut-off: "&amp;IF(ISNUMBER(INDEX('Aides'!$H$4:$H$503,181)),TEXT(INDEX('Aides'!$H$4:$H$503,181),"yyyy-mm-dd"),"")&amp;". ")&amp;IF(LEN(IF(LEN(INDEX('Aides'!$U$4:$U$503,181))=0,"",INDEX('Aides'!$U$4:$U$503,181)))=0,"","Owner: "&amp;IF(LEN(INDEX('Aides'!$U$4:$U$503,181))=0,"",INDEX('Aides'!$U$4:$U$503,181))&amp;". ")&amp;IF(LEN(IF(LEN(INDEX('Aides'!$X$4:$X$503,181))=0,"",INDEX('Aides'!$X$4:$X$503,181)))=0,"",IF(LEN(INDEX('Aides'!$X$4:$X$503,181))=0,"",INDEX('Aides'!$X$4:$X$503,181))))</f>
        <v/>
      </c>
      <c r="I184">
        <f>IF(LEN(INDEX('Aides'!$W$4:$W$503,181))=0,"",INDEX('Aides'!$W$4:$W$503,181))</f>
        <v/>
      </c>
      <c r="J184">
        <f>IF(LEN(INDEX('Aides'!$V$4:$V$503,181))=0,"",INDEX('Aides'!$V$4:$V$503,181))</f>
        <v/>
      </c>
    </row>
    <row r="185">
      <c r="A185">
        <f>IF(AND(LEN('Aides'!A185)&gt;0,ISNUMBER('Aides'!I185)),1,0)</f>
        <v/>
      </c>
      <c r="B185">
        <f>B184+A185</f>
        <v/>
      </c>
      <c r="C185">
        <f>IF(182&gt;$B$1503,"",MATCH(182-0.5,$B$3:$B$1503,1))</f>
        <v/>
      </c>
      <c r="D185">
        <f>"CNA certification ("&amp;IF(LEN(INDEX('Aides'!$C$4:$C$503,182))=0,"",INDEX('Aides'!$C$4:$C$503,182))&amp;") – "&amp;IF(LEN(INDEX('Aides'!$A$4:$A$503,182))=0,"",INDEX('Aides'!$A$4:$A$503,182))</f>
        <v/>
      </c>
      <c r="E185">
        <f>IF(ISNUMBER(INDEX('Aides'!$I$4:$I$503,182)),TEXT(INDEX('Aides'!$I$4:$I$503,182),"yyyy-mm-dd"),"")</f>
        <v/>
      </c>
      <c r="F185">
        <f>"Certification"</f>
        <v/>
      </c>
      <c r="G185">
        <f>"High"</f>
        <v/>
      </c>
      <c r="H185">
        <f>TRIM(IF(LEN(IF(LEN(INDEX('Aides'!$D$4:$D$503,182))=0,"",INDEX('Aides'!$D$4:$D$503,182)))=0,"","Registry no.: "&amp;IF(LEN(INDEX('Aides'!$D$4:$D$503,182))=0,"",INDEX('Aides'!$D$4:$D$503,182))&amp;". ")&amp;IF(LEN(IF(ISNUMBER(INDEX('Aides'!$F$4:$F$503,182)),TEXT(INDEX('Aides'!$F$4:$F$503,182),"yyyy-mm-dd"),""))=0,"","Registry expiry: "&amp;IF(ISNUMBER(INDEX('Aides'!$F$4:$F$503,182)),TEXT(INDEX('Aides'!$F$4:$F$503,182),"yyyy-mm-dd"),"")&amp;". ")&amp;IF(LEN(IF(ISNUMBER(INDEX('Aides'!$G$4:$G$503,182)),TEXT(INDEX('Aides'!$G$4:$G$503,182),"yyyy-mm-dd"),""))=0,"","Last paid nursing work: "&amp;IF(ISNUMBER(INDEX('Aides'!$G$4:$G$503,182)),TEXT(INDEX('Aides'!$G$4:$G$503,182),"yyyy-mm-dd"),"")&amp;". ")&amp;IF(LEN(IF(ISNUMBER(INDEX('Aides'!$H$4:$H$503,182)),TEXT(INDEX('Aides'!$H$4:$H$503,182),"yyyy-mm-dd"),""))=0,"","24-month cut-off: "&amp;IF(ISNUMBER(INDEX('Aides'!$H$4:$H$503,182)),TEXT(INDEX('Aides'!$H$4:$H$503,182),"yyyy-mm-dd"),"")&amp;". ")&amp;IF(LEN(IF(LEN(INDEX('Aides'!$U$4:$U$503,182))=0,"",INDEX('Aides'!$U$4:$U$503,182)))=0,"","Owner: "&amp;IF(LEN(INDEX('Aides'!$U$4:$U$503,182))=0,"",INDEX('Aides'!$U$4:$U$503,182))&amp;". ")&amp;IF(LEN(IF(LEN(INDEX('Aides'!$X$4:$X$503,182))=0,"",INDEX('Aides'!$X$4:$X$503,182)))=0,"",IF(LEN(INDEX('Aides'!$X$4:$X$503,182))=0,"",INDEX('Aides'!$X$4:$X$503,182))))</f>
        <v/>
      </c>
      <c r="I185">
        <f>IF(LEN(INDEX('Aides'!$W$4:$W$503,182))=0,"",INDEX('Aides'!$W$4:$W$503,182))</f>
        <v/>
      </c>
      <c r="J185">
        <f>IF(LEN(INDEX('Aides'!$V$4:$V$503,182))=0,"",INDEX('Aides'!$V$4:$V$503,182))</f>
        <v/>
      </c>
    </row>
    <row r="186">
      <c r="A186">
        <f>IF(AND(LEN('Aides'!A186)&gt;0,ISNUMBER('Aides'!I186)),1,0)</f>
        <v/>
      </c>
      <c r="B186">
        <f>B185+A186</f>
        <v/>
      </c>
      <c r="C186">
        <f>IF(183&gt;$B$1503,"",MATCH(183-0.5,$B$3:$B$1503,1))</f>
        <v/>
      </c>
      <c r="D186">
        <f>"CNA certification ("&amp;IF(LEN(INDEX('Aides'!$C$4:$C$503,183))=0,"",INDEX('Aides'!$C$4:$C$503,183))&amp;") – "&amp;IF(LEN(INDEX('Aides'!$A$4:$A$503,183))=0,"",INDEX('Aides'!$A$4:$A$503,183))</f>
        <v/>
      </c>
      <c r="E186">
        <f>IF(ISNUMBER(INDEX('Aides'!$I$4:$I$503,183)),TEXT(INDEX('Aides'!$I$4:$I$503,183),"yyyy-mm-dd"),"")</f>
        <v/>
      </c>
      <c r="F186">
        <f>"Certification"</f>
        <v/>
      </c>
      <c r="G186">
        <f>"High"</f>
        <v/>
      </c>
      <c r="H186">
        <f>TRIM(IF(LEN(IF(LEN(INDEX('Aides'!$D$4:$D$503,183))=0,"",INDEX('Aides'!$D$4:$D$503,183)))=0,"","Registry no.: "&amp;IF(LEN(INDEX('Aides'!$D$4:$D$503,183))=0,"",INDEX('Aides'!$D$4:$D$503,183))&amp;". ")&amp;IF(LEN(IF(ISNUMBER(INDEX('Aides'!$F$4:$F$503,183)),TEXT(INDEX('Aides'!$F$4:$F$503,183),"yyyy-mm-dd"),""))=0,"","Registry expiry: "&amp;IF(ISNUMBER(INDEX('Aides'!$F$4:$F$503,183)),TEXT(INDEX('Aides'!$F$4:$F$503,183),"yyyy-mm-dd"),"")&amp;". ")&amp;IF(LEN(IF(ISNUMBER(INDEX('Aides'!$G$4:$G$503,183)),TEXT(INDEX('Aides'!$G$4:$G$503,183),"yyyy-mm-dd"),""))=0,"","Last paid nursing work: "&amp;IF(ISNUMBER(INDEX('Aides'!$G$4:$G$503,183)),TEXT(INDEX('Aides'!$G$4:$G$503,183),"yyyy-mm-dd"),"")&amp;". ")&amp;IF(LEN(IF(ISNUMBER(INDEX('Aides'!$H$4:$H$503,183)),TEXT(INDEX('Aides'!$H$4:$H$503,183),"yyyy-mm-dd"),""))=0,"","24-month cut-off: "&amp;IF(ISNUMBER(INDEX('Aides'!$H$4:$H$503,183)),TEXT(INDEX('Aides'!$H$4:$H$503,183),"yyyy-mm-dd"),"")&amp;". ")&amp;IF(LEN(IF(LEN(INDEX('Aides'!$U$4:$U$503,183))=0,"",INDEX('Aides'!$U$4:$U$503,183)))=0,"","Owner: "&amp;IF(LEN(INDEX('Aides'!$U$4:$U$503,183))=0,"",INDEX('Aides'!$U$4:$U$503,183))&amp;". ")&amp;IF(LEN(IF(LEN(INDEX('Aides'!$X$4:$X$503,183))=0,"",INDEX('Aides'!$X$4:$X$503,183)))=0,"",IF(LEN(INDEX('Aides'!$X$4:$X$503,183))=0,"",INDEX('Aides'!$X$4:$X$503,183))))</f>
        <v/>
      </c>
      <c r="I186">
        <f>IF(LEN(INDEX('Aides'!$W$4:$W$503,183))=0,"",INDEX('Aides'!$W$4:$W$503,183))</f>
        <v/>
      </c>
      <c r="J186">
        <f>IF(LEN(INDEX('Aides'!$V$4:$V$503,183))=0,"",INDEX('Aides'!$V$4:$V$503,183))</f>
        <v/>
      </c>
    </row>
    <row r="187">
      <c r="A187">
        <f>IF(AND(LEN('Aides'!A187)&gt;0,ISNUMBER('Aides'!I187)),1,0)</f>
        <v/>
      </c>
      <c r="B187">
        <f>B186+A187</f>
        <v/>
      </c>
      <c r="C187">
        <f>IF(184&gt;$B$1503,"",MATCH(184-0.5,$B$3:$B$1503,1))</f>
        <v/>
      </c>
      <c r="D187">
        <f>"CNA certification ("&amp;IF(LEN(INDEX('Aides'!$C$4:$C$503,184))=0,"",INDEX('Aides'!$C$4:$C$503,184))&amp;") – "&amp;IF(LEN(INDEX('Aides'!$A$4:$A$503,184))=0,"",INDEX('Aides'!$A$4:$A$503,184))</f>
        <v/>
      </c>
      <c r="E187">
        <f>IF(ISNUMBER(INDEX('Aides'!$I$4:$I$503,184)),TEXT(INDEX('Aides'!$I$4:$I$503,184),"yyyy-mm-dd"),"")</f>
        <v/>
      </c>
      <c r="F187">
        <f>"Certification"</f>
        <v/>
      </c>
      <c r="G187">
        <f>"High"</f>
        <v/>
      </c>
      <c r="H187">
        <f>TRIM(IF(LEN(IF(LEN(INDEX('Aides'!$D$4:$D$503,184))=0,"",INDEX('Aides'!$D$4:$D$503,184)))=0,"","Registry no.: "&amp;IF(LEN(INDEX('Aides'!$D$4:$D$503,184))=0,"",INDEX('Aides'!$D$4:$D$503,184))&amp;". ")&amp;IF(LEN(IF(ISNUMBER(INDEX('Aides'!$F$4:$F$503,184)),TEXT(INDEX('Aides'!$F$4:$F$503,184),"yyyy-mm-dd"),""))=0,"","Registry expiry: "&amp;IF(ISNUMBER(INDEX('Aides'!$F$4:$F$503,184)),TEXT(INDEX('Aides'!$F$4:$F$503,184),"yyyy-mm-dd"),"")&amp;". ")&amp;IF(LEN(IF(ISNUMBER(INDEX('Aides'!$G$4:$G$503,184)),TEXT(INDEX('Aides'!$G$4:$G$503,184),"yyyy-mm-dd"),""))=0,"","Last paid nursing work: "&amp;IF(ISNUMBER(INDEX('Aides'!$G$4:$G$503,184)),TEXT(INDEX('Aides'!$G$4:$G$503,184),"yyyy-mm-dd"),"")&amp;". ")&amp;IF(LEN(IF(ISNUMBER(INDEX('Aides'!$H$4:$H$503,184)),TEXT(INDEX('Aides'!$H$4:$H$503,184),"yyyy-mm-dd"),""))=0,"","24-month cut-off: "&amp;IF(ISNUMBER(INDEX('Aides'!$H$4:$H$503,184)),TEXT(INDEX('Aides'!$H$4:$H$503,184),"yyyy-mm-dd"),"")&amp;". ")&amp;IF(LEN(IF(LEN(INDEX('Aides'!$U$4:$U$503,184))=0,"",INDEX('Aides'!$U$4:$U$503,184)))=0,"","Owner: "&amp;IF(LEN(INDEX('Aides'!$U$4:$U$503,184))=0,"",INDEX('Aides'!$U$4:$U$503,184))&amp;". ")&amp;IF(LEN(IF(LEN(INDEX('Aides'!$X$4:$X$503,184))=0,"",INDEX('Aides'!$X$4:$X$503,184)))=0,"",IF(LEN(INDEX('Aides'!$X$4:$X$503,184))=0,"",INDEX('Aides'!$X$4:$X$503,184))))</f>
        <v/>
      </c>
      <c r="I187">
        <f>IF(LEN(INDEX('Aides'!$W$4:$W$503,184))=0,"",INDEX('Aides'!$W$4:$W$503,184))</f>
        <v/>
      </c>
      <c r="J187">
        <f>IF(LEN(INDEX('Aides'!$V$4:$V$503,184))=0,"",INDEX('Aides'!$V$4:$V$503,184))</f>
        <v/>
      </c>
    </row>
    <row r="188">
      <c r="A188">
        <f>IF(AND(LEN('Aides'!A188)&gt;0,ISNUMBER('Aides'!I188)),1,0)</f>
        <v/>
      </c>
      <c r="B188">
        <f>B187+A188</f>
        <v/>
      </c>
      <c r="C188">
        <f>IF(185&gt;$B$1503,"",MATCH(185-0.5,$B$3:$B$1503,1))</f>
        <v/>
      </c>
      <c r="D188">
        <f>"CNA certification ("&amp;IF(LEN(INDEX('Aides'!$C$4:$C$503,185))=0,"",INDEX('Aides'!$C$4:$C$503,185))&amp;") – "&amp;IF(LEN(INDEX('Aides'!$A$4:$A$503,185))=0,"",INDEX('Aides'!$A$4:$A$503,185))</f>
        <v/>
      </c>
      <c r="E188">
        <f>IF(ISNUMBER(INDEX('Aides'!$I$4:$I$503,185)),TEXT(INDEX('Aides'!$I$4:$I$503,185),"yyyy-mm-dd"),"")</f>
        <v/>
      </c>
      <c r="F188">
        <f>"Certification"</f>
        <v/>
      </c>
      <c r="G188">
        <f>"High"</f>
        <v/>
      </c>
      <c r="H188">
        <f>TRIM(IF(LEN(IF(LEN(INDEX('Aides'!$D$4:$D$503,185))=0,"",INDEX('Aides'!$D$4:$D$503,185)))=0,"","Registry no.: "&amp;IF(LEN(INDEX('Aides'!$D$4:$D$503,185))=0,"",INDEX('Aides'!$D$4:$D$503,185))&amp;". ")&amp;IF(LEN(IF(ISNUMBER(INDEX('Aides'!$F$4:$F$503,185)),TEXT(INDEX('Aides'!$F$4:$F$503,185),"yyyy-mm-dd"),""))=0,"","Registry expiry: "&amp;IF(ISNUMBER(INDEX('Aides'!$F$4:$F$503,185)),TEXT(INDEX('Aides'!$F$4:$F$503,185),"yyyy-mm-dd"),"")&amp;". ")&amp;IF(LEN(IF(ISNUMBER(INDEX('Aides'!$G$4:$G$503,185)),TEXT(INDEX('Aides'!$G$4:$G$503,185),"yyyy-mm-dd"),""))=0,"","Last paid nursing work: "&amp;IF(ISNUMBER(INDEX('Aides'!$G$4:$G$503,185)),TEXT(INDEX('Aides'!$G$4:$G$503,185),"yyyy-mm-dd"),"")&amp;". ")&amp;IF(LEN(IF(ISNUMBER(INDEX('Aides'!$H$4:$H$503,185)),TEXT(INDEX('Aides'!$H$4:$H$503,185),"yyyy-mm-dd"),""))=0,"","24-month cut-off: "&amp;IF(ISNUMBER(INDEX('Aides'!$H$4:$H$503,185)),TEXT(INDEX('Aides'!$H$4:$H$503,185),"yyyy-mm-dd"),"")&amp;". ")&amp;IF(LEN(IF(LEN(INDEX('Aides'!$U$4:$U$503,185))=0,"",INDEX('Aides'!$U$4:$U$503,185)))=0,"","Owner: "&amp;IF(LEN(INDEX('Aides'!$U$4:$U$503,185))=0,"",INDEX('Aides'!$U$4:$U$503,185))&amp;". ")&amp;IF(LEN(IF(LEN(INDEX('Aides'!$X$4:$X$503,185))=0,"",INDEX('Aides'!$X$4:$X$503,185)))=0,"",IF(LEN(INDEX('Aides'!$X$4:$X$503,185))=0,"",INDEX('Aides'!$X$4:$X$503,185))))</f>
        <v/>
      </c>
      <c r="I188">
        <f>IF(LEN(INDEX('Aides'!$W$4:$W$503,185))=0,"",INDEX('Aides'!$W$4:$W$503,185))</f>
        <v/>
      </c>
      <c r="J188">
        <f>IF(LEN(INDEX('Aides'!$V$4:$V$503,185))=0,"",INDEX('Aides'!$V$4:$V$503,185))</f>
        <v/>
      </c>
    </row>
    <row r="189">
      <c r="A189">
        <f>IF(AND(LEN('Aides'!A189)&gt;0,ISNUMBER('Aides'!I189)),1,0)</f>
        <v/>
      </c>
      <c r="B189">
        <f>B188+A189</f>
        <v/>
      </c>
      <c r="C189">
        <f>IF(186&gt;$B$1503,"",MATCH(186-0.5,$B$3:$B$1503,1))</f>
        <v/>
      </c>
      <c r="D189">
        <f>"CNA certification ("&amp;IF(LEN(INDEX('Aides'!$C$4:$C$503,186))=0,"",INDEX('Aides'!$C$4:$C$503,186))&amp;") – "&amp;IF(LEN(INDEX('Aides'!$A$4:$A$503,186))=0,"",INDEX('Aides'!$A$4:$A$503,186))</f>
        <v/>
      </c>
      <c r="E189">
        <f>IF(ISNUMBER(INDEX('Aides'!$I$4:$I$503,186)),TEXT(INDEX('Aides'!$I$4:$I$503,186),"yyyy-mm-dd"),"")</f>
        <v/>
      </c>
      <c r="F189">
        <f>"Certification"</f>
        <v/>
      </c>
      <c r="G189">
        <f>"High"</f>
        <v/>
      </c>
      <c r="H189">
        <f>TRIM(IF(LEN(IF(LEN(INDEX('Aides'!$D$4:$D$503,186))=0,"",INDEX('Aides'!$D$4:$D$503,186)))=0,"","Registry no.: "&amp;IF(LEN(INDEX('Aides'!$D$4:$D$503,186))=0,"",INDEX('Aides'!$D$4:$D$503,186))&amp;". ")&amp;IF(LEN(IF(ISNUMBER(INDEX('Aides'!$F$4:$F$503,186)),TEXT(INDEX('Aides'!$F$4:$F$503,186),"yyyy-mm-dd"),""))=0,"","Registry expiry: "&amp;IF(ISNUMBER(INDEX('Aides'!$F$4:$F$503,186)),TEXT(INDEX('Aides'!$F$4:$F$503,186),"yyyy-mm-dd"),"")&amp;". ")&amp;IF(LEN(IF(ISNUMBER(INDEX('Aides'!$G$4:$G$503,186)),TEXT(INDEX('Aides'!$G$4:$G$503,186),"yyyy-mm-dd"),""))=0,"","Last paid nursing work: "&amp;IF(ISNUMBER(INDEX('Aides'!$G$4:$G$503,186)),TEXT(INDEX('Aides'!$G$4:$G$503,186),"yyyy-mm-dd"),"")&amp;". ")&amp;IF(LEN(IF(ISNUMBER(INDEX('Aides'!$H$4:$H$503,186)),TEXT(INDEX('Aides'!$H$4:$H$503,186),"yyyy-mm-dd"),""))=0,"","24-month cut-off: "&amp;IF(ISNUMBER(INDEX('Aides'!$H$4:$H$503,186)),TEXT(INDEX('Aides'!$H$4:$H$503,186),"yyyy-mm-dd"),"")&amp;". ")&amp;IF(LEN(IF(LEN(INDEX('Aides'!$U$4:$U$503,186))=0,"",INDEX('Aides'!$U$4:$U$503,186)))=0,"","Owner: "&amp;IF(LEN(INDEX('Aides'!$U$4:$U$503,186))=0,"",INDEX('Aides'!$U$4:$U$503,186))&amp;". ")&amp;IF(LEN(IF(LEN(INDEX('Aides'!$X$4:$X$503,186))=0,"",INDEX('Aides'!$X$4:$X$503,186)))=0,"",IF(LEN(INDEX('Aides'!$X$4:$X$503,186))=0,"",INDEX('Aides'!$X$4:$X$503,186))))</f>
        <v/>
      </c>
      <c r="I189">
        <f>IF(LEN(INDEX('Aides'!$W$4:$W$503,186))=0,"",INDEX('Aides'!$W$4:$W$503,186))</f>
        <v/>
      </c>
      <c r="J189">
        <f>IF(LEN(INDEX('Aides'!$V$4:$V$503,186))=0,"",INDEX('Aides'!$V$4:$V$503,186))</f>
        <v/>
      </c>
    </row>
    <row r="190">
      <c r="A190">
        <f>IF(AND(LEN('Aides'!A190)&gt;0,ISNUMBER('Aides'!I190)),1,0)</f>
        <v/>
      </c>
      <c r="B190">
        <f>B189+A190</f>
        <v/>
      </c>
      <c r="C190">
        <f>IF(187&gt;$B$1503,"",MATCH(187-0.5,$B$3:$B$1503,1))</f>
        <v/>
      </c>
      <c r="D190">
        <f>"CNA certification ("&amp;IF(LEN(INDEX('Aides'!$C$4:$C$503,187))=0,"",INDEX('Aides'!$C$4:$C$503,187))&amp;") – "&amp;IF(LEN(INDEX('Aides'!$A$4:$A$503,187))=0,"",INDEX('Aides'!$A$4:$A$503,187))</f>
        <v/>
      </c>
      <c r="E190">
        <f>IF(ISNUMBER(INDEX('Aides'!$I$4:$I$503,187)),TEXT(INDEX('Aides'!$I$4:$I$503,187),"yyyy-mm-dd"),"")</f>
        <v/>
      </c>
      <c r="F190">
        <f>"Certification"</f>
        <v/>
      </c>
      <c r="G190">
        <f>"High"</f>
        <v/>
      </c>
      <c r="H190">
        <f>TRIM(IF(LEN(IF(LEN(INDEX('Aides'!$D$4:$D$503,187))=0,"",INDEX('Aides'!$D$4:$D$503,187)))=0,"","Registry no.: "&amp;IF(LEN(INDEX('Aides'!$D$4:$D$503,187))=0,"",INDEX('Aides'!$D$4:$D$503,187))&amp;". ")&amp;IF(LEN(IF(ISNUMBER(INDEX('Aides'!$F$4:$F$503,187)),TEXT(INDEX('Aides'!$F$4:$F$503,187),"yyyy-mm-dd"),""))=0,"","Registry expiry: "&amp;IF(ISNUMBER(INDEX('Aides'!$F$4:$F$503,187)),TEXT(INDEX('Aides'!$F$4:$F$503,187),"yyyy-mm-dd"),"")&amp;". ")&amp;IF(LEN(IF(ISNUMBER(INDEX('Aides'!$G$4:$G$503,187)),TEXT(INDEX('Aides'!$G$4:$G$503,187),"yyyy-mm-dd"),""))=0,"","Last paid nursing work: "&amp;IF(ISNUMBER(INDEX('Aides'!$G$4:$G$503,187)),TEXT(INDEX('Aides'!$G$4:$G$503,187),"yyyy-mm-dd"),"")&amp;". ")&amp;IF(LEN(IF(ISNUMBER(INDEX('Aides'!$H$4:$H$503,187)),TEXT(INDEX('Aides'!$H$4:$H$503,187),"yyyy-mm-dd"),""))=0,"","24-month cut-off: "&amp;IF(ISNUMBER(INDEX('Aides'!$H$4:$H$503,187)),TEXT(INDEX('Aides'!$H$4:$H$503,187),"yyyy-mm-dd"),"")&amp;". ")&amp;IF(LEN(IF(LEN(INDEX('Aides'!$U$4:$U$503,187))=0,"",INDEX('Aides'!$U$4:$U$503,187)))=0,"","Owner: "&amp;IF(LEN(INDEX('Aides'!$U$4:$U$503,187))=0,"",INDEX('Aides'!$U$4:$U$503,187))&amp;". ")&amp;IF(LEN(IF(LEN(INDEX('Aides'!$X$4:$X$503,187))=0,"",INDEX('Aides'!$X$4:$X$503,187)))=0,"",IF(LEN(INDEX('Aides'!$X$4:$X$503,187))=0,"",INDEX('Aides'!$X$4:$X$503,187))))</f>
        <v/>
      </c>
      <c r="I190">
        <f>IF(LEN(INDEX('Aides'!$W$4:$W$503,187))=0,"",INDEX('Aides'!$W$4:$W$503,187))</f>
        <v/>
      </c>
      <c r="J190">
        <f>IF(LEN(INDEX('Aides'!$V$4:$V$503,187))=0,"",INDEX('Aides'!$V$4:$V$503,187))</f>
        <v/>
      </c>
    </row>
    <row r="191">
      <c r="A191">
        <f>IF(AND(LEN('Aides'!A191)&gt;0,ISNUMBER('Aides'!I191)),1,0)</f>
        <v/>
      </c>
      <c r="B191">
        <f>B190+A191</f>
        <v/>
      </c>
      <c r="C191">
        <f>IF(188&gt;$B$1503,"",MATCH(188-0.5,$B$3:$B$1503,1))</f>
        <v/>
      </c>
      <c r="D191">
        <f>"CNA certification ("&amp;IF(LEN(INDEX('Aides'!$C$4:$C$503,188))=0,"",INDEX('Aides'!$C$4:$C$503,188))&amp;") – "&amp;IF(LEN(INDEX('Aides'!$A$4:$A$503,188))=0,"",INDEX('Aides'!$A$4:$A$503,188))</f>
        <v/>
      </c>
      <c r="E191">
        <f>IF(ISNUMBER(INDEX('Aides'!$I$4:$I$503,188)),TEXT(INDEX('Aides'!$I$4:$I$503,188),"yyyy-mm-dd"),"")</f>
        <v/>
      </c>
      <c r="F191">
        <f>"Certification"</f>
        <v/>
      </c>
      <c r="G191">
        <f>"High"</f>
        <v/>
      </c>
      <c r="H191">
        <f>TRIM(IF(LEN(IF(LEN(INDEX('Aides'!$D$4:$D$503,188))=0,"",INDEX('Aides'!$D$4:$D$503,188)))=0,"","Registry no.: "&amp;IF(LEN(INDEX('Aides'!$D$4:$D$503,188))=0,"",INDEX('Aides'!$D$4:$D$503,188))&amp;". ")&amp;IF(LEN(IF(ISNUMBER(INDEX('Aides'!$F$4:$F$503,188)),TEXT(INDEX('Aides'!$F$4:$F$503,188),"yyyy-mm-dd"),""))=0,"","Registry expiry: "&amp;IF(ISNUMBER(INDEX('Aides'!$F$4:$F$503,188)),TEXT(INDEX('Aides'!$F$4:$F$503,188),"yyyy-mm-dd"),"")&amp;". ")&amp;IF(LEN(IF(ISNUMBER(INDEX('Aides'!$G$4:$G$503,188)),TEXT(INDEX('Aides'!$G$4:$G$503,188),"yyyy-mm-dd"),""))=0,"","Last paid nursing work: "&amp;IF(ISNUMBER(INDEX('Aides'!$G$4:$G$503,188)),TEXT(INDEX('Aides'!$G$4:$G$503,188),"yyyy-mm-dd"),"")&amp;". ")&amp;IF(LEN(IF(ISNUMBER(INDEX('Aides'!$H$4:$H$503,188)),TEXT(INDEX('Aides'!$H$4:$H$503,188),"yyyy-mm-dd"),""))=0,"","24-month cut-off: "&amp;IF(ISNUMBER(INDEX('Aides'!$H$4:$H$503,188)),TEXT(INDEX('Aides'!$H$4:$H$503,188),"yyyy-mm-dd"),"")&amp;". ")&amp;IF(LEN(IF(LEN(INDEX('Aides'!$U$4:$U$503,188))=0,"",INDEX('Aides'!$U$4:$U$503,188)))=0,"","Owner: "&amp;IF(LEN(INDEX('Aides'!$U$4:$U$503,188))=0,"",INDEX('Aides'!$U$4:$U$503,188))&amp;". ")&amp;IF(LEN(IF(LEN(INDEX('Aides'!$X$4:$X$503,188))=0,"",INDEX('Aides'!$X$4:$X$503,188)))=0,"",IF(LEN(INDEX('Aides'!$X$4:$X$503,188))=0,"",INDEX('Aides'!$X$4:$X$503,188))))</f>
        <v/>
      </c>
      <c r="I191">
        <f>IF(LEN(INDEX('Aides'!$W$4:$W$503,188))=0,"",INDEX('Aides'!$W$4:$W$503,188))</f>
        <v/>
      </c>
      <c r="J191">
        <f>IF(LEN(INDEX('Aides'!$V$4:$V$503,188))=0,"",INDEX('Aides'!$V$4:$V$503,188))</f>
        <v/>
      </c>
    </row>
    <row r="192">
      <c r="A192">
        <f>IF(AND(LEN('Aides'!A192)&gt;0,ISNUMBER('Aides'!I192)),1,0)</f>
        <v/>
      </c>
      <c r="B192">
        <f>B191+A192</f>
        <v/>
      </c>
      <c r="C192">
        <f>IF(189&gt;$B$1503,"",MATCH(189-0.5,$B$3:$B$1503,1))</f>
        <v/>
      </c>
      <c r="D192">
        <f>"CNA certification ("&amp;IF(LEN(INDEX('Aides'!$C$4:$C$503,189))=0,"",INDEX('Aides'!$C$4:$C$503,189))&amp;") – "&amp;IF(LEN(INDEX('Aides'!$A$4:$A$503,189))=0,"",INDEX('Aides'!$A$4:$A$503,189))</f>
        <v/>
      </c>
      <c r="E192">
        <f>IF(ISNUMBER(INDEX('Aides'!$I$4:$I$503,189)),TEXT(INDEX('Aides'!$I$4:$I$503,189),"yyyy-mm-dd"),"")</f>
        <v/>
      </c>
      <c r="F192">
        <f>"Certification"</f>
        <v/>
      </c>
      <c r="G192">
        <f>"High"</f>
        <v/>
      </c>
      <c r="H192">
        <f>TRIM(IF(LEN(IF(LEN(INDEX('Aides'!$D$4:$D$503,189))=0,"",INDEX('Aides'!$D$4:$D$503,189)))=0,"","Registry no.: "&amp;IF(LEN(INDEX('Aides'!$D$4:$D$503,189))=0,"",INDEX('Aides'!$D$4:$D$503,189))&amp;". ")&amp;IF(LEN(IF(ISNUMBER(INDEX('Aides'!$F$4:$F$503,189)),TEXT(INDEX('Aides'!$F$4:$F$503,189),"yyyy-mm-dd"),""))=0,"","Registry expiry: "&amp;IF(ISNUMBER(INDEX('Aides'!$F$4:$F$503,189)),TEXT(INDEX('Aides'!$F$4:$F$503,189),"yyyy-mm-dd"),"")&amp;". ")&amp;IF(LEN(IF(ISNUMBER(INDEX('Aides'!$G$4:$G$503,189)),TEXT(INDEX('Aides'!$G$4:$G$503,189),"yyyy-mm-dd"),""))=0,"","Last paid nursing work: "&amp;IF(ISNUMBER(INDEX('Aides'!$G$4:$G$503,189)),TEXT(INDEX('Aides'!$G$4:$G$503,189),"yyyy-mm-dd"),"")&amp;". ")&amp;IF(LEN(IF(ISNUMBER(INDEX('Aides'!$H$4:$H$503,189)),TEXT(INDEX('Aides'!$H$4:$H$503,189),"yyyy-mm-dd"),""))=0,"","24-month cut-off: "&amp;IF(ISNUMBER(INDEX('Aides'!$H$4:$H$503,189)),TEXT(INDEX('Aides'!$H$4:$H$503,189),"yyyy-mm-dd"),"")&amp;". ")&amp;IF(LEN(IF(LEN(INDEX('Aides'!$U$4:$U$503,189))=0,"",INDEX('Aides'!$U$4:$U$503,189)))=0,"","Owner: "&amp;IF(LEN(INDEX('Aides'!$U$4:$U$503,189))=0,"",INDEX('Aides'!$U$4:$U$503,189))&amp;". ")&amp;IF(LEN(IF(LEN(INDEX('Aides'!$X$4:$X$503,189))=0,"",INDEX('Aides'!$X$4:$X$503,189)))=0,"",IF(LEN(INDEX('Aides'!$X$4:$X$503,189))=0,"",INDEX('Aides'!$X$4:$X$503,189))))</f>
        <v/>
      </c>
      <c r="I192">
        <f>IF(LEN(INDEX('Aides'!$W$4:$W$503,189))=0,"",INDEX('Aides'!$W$4:$W$503,189))</f>
        <v/>
      </c>
      <c r="J192">
        <f>IF(LEN(INDEX('Aides'!$V$4:$V$503,189))=0,"",INDEX('Aides'!$V$4:$V$503,189))</f>
        <v/>
      </c>
    </row>
    <row r="193">
      <c r="A193">
        <f>IF(AND(LEN('Aides'!A193)&gt;0,ISNUMBER('Aides'!I193)),1,0)</f>
        <v/>
      </c>
      <c r="B193">
        <f>B192+A193</f>
        <v/>
      </c>
      <c r="C193">
        <f>IF(190&gt;$B$1503,"",MATCH(190-0.5,$B$3:$B$1503,1))</f>
        <v/>
      </c>
      <c r="D193">
        <f>"CNA certification ("&amp;IF(LEN(INDEX('Aides'!$C$4:$C$503,190))=0,"",INDEX('Aides'!$C$4:$C$503,190))&amp;") – "&amp;IF(LEN(INDEX('Aides'!$A$4:$A$503,190))=0,"",INDEX('Aides'!$A$4:$A$503,190))</f>
        <v/>
      </c>
      <c r="E193">
        <f>IF(ISNUMBER(INDEX('Aides'!$I$4:$I$503,190)),TEXT(INDEX('Aides'!$I$4:$I$503,190),"yyyy-mm-dd"),"")</f>
        <v/>
      </c>
      <c r="F193">
        <f>"Certification"</f>
        <v/>
      </c>
      <c r="G193">
        <f>"High"</f>
        <v/>
      </c>
      <c r="H193">
        <f>TRIM(IF(LEN(IF(LEN(INDEX('Aides'!$D$4:$D$503,190))=0,"",INDEX('Aides'!$D$4:$D$503,190)))=0,"","Registry no.: "&amp;IF(LEN(INDEX('Aides'!$D$4:$D$503,190))=0,"",INDEX('Aides'!$D$4:$D$503,190))&amp;". ")&amp;IF(LEN(IF(ISNUMBER(INDEX('Aides'!$F$4:$F$503,190)),TEXT(INDEX('Aides'!$F$4:$F$503,190),"yyyy-mm-dd"),""))=0,"","Registry expiry: "&amp;IF(ISNUMBER(INDEX('Aides'!$F$4:$F$503,190)),TEXT(INDEX('Aides'!$F$4:$F$503,190),"yyyy-mm-dd"),"")&amp;". ")&amp;IF(LEN(IF(ISNUMBER(INDEX('Aides'!$G$4:$G$503,190)),TEXT(INDEX('Aides'!$G$4:$G$503,190),"yyyy-mm-dd"),""))=0,"","Last paid nursing work: "&amp;IF(ISNUMBER(INDEX('Aides'!$G$4:$G$503,190)),TEXT(INDEX('Aides'!$G$4:$G$503,190),"yyyy-mm-dd"),"")&amp;". ")&amp;IF(LEN(IF(ISNUMBER(INDEX('Aides'!$H$4:$H$503,190)),TEXT(INDEX('Aides'!$H$4:$H$503,190),"yyyy-mm-dd"),""))=0,"","24-month cut-off: "&amp;IF(ISNUMBER(INDEX('Aides'!$H$4:$H$503,190)),TEXT(INDEX('Aides'!$H$4:$H$503,190),"yyyy-mm-dd"),"")&amp;". ")&amp;IF(LEN(IF(LEN(INDEX('Aides'!$U$4:$U$503,190))=0,"",INDEX('Aides'!$U$4:$U$503,190)))=0,"","Owner: "&amp;IF(LEN(INDEX('Aides'!$U$4:$U$503,190))=0,"",INDEX('Aides'!$U$4:$U$503,190))&amp;". ")&amp;IF(LEN(IF(LEN(INDEX('Aides'!$X$4:$X$503,190))=0,"",INDEX('Aides'!$X$4:$X$503,190)))=0,"",IF(LEN(INDEX('Aides'!$X$4:$X$503,190))=0,"",INDEX('Aides'!$X$4:$X$503,190))))</f>
        <v/>
      </c>
      <c r="I193">
        <f>IF(LEN(INDEX('Aides'!$W$4:$W$503,190))=0,"",INDEX('Aides'!$W$4:$W$503,190))</f>
        <v/>
      </c>
      <c r="J193">
        <f>IF(LEN(INDEX('Aides'!$V$4:$V$503,190))=0,"",INDEX('Aides'!$V$4:$V$503,190))</f>
        <v/>
      </c>
    </row>
    <row r="194">
      <c r="A194">
        <f>IF(AND(LEN('Aides'!A194)&gt;0,ISNUMBER('Aides'!I194)),1,0)</f>
        <v/>
      </c>
      <c r="B194">
        <f>B193+A194</f>
        <v/>
      </c>
      <c r="C194">
        <f>IF(191&gt;$B$1503,"",MATCH(191-0.5,$B$3:$B$1503,1))</f>
        <v/>
      </c>
      <c r="D194">
        <f>"CNA certification ("&amp;IF(LEN(INDEX('Aides'!$C$4:$C$503,191))=0,"",INDEX('Aides'!$C$4:$C$503,191))&amp;") – "&amp;IF(LEN(INDEX('Aides'!$A$4:$A$503,191))=0,"",INDEX('Aides'!$A$4:$A$503,191))</f>
        <v/>
      </c>
      <c r="E194">
        <f>IF(ISNUMBER(INDEX('Aides'!$I$4:$I$503,191)),TEXT(INDEX('Aides'!$I$4:$I$503,191),"yyyy-mm-dd"),"")</f>
        <v/>
      </c>
      <c r="F194">
        <f>"Certification"</f>
        <v/>
      </c>
      <c r="G194">
        <f>"High"</f>
        <v/>
      </c>
      <c r="H194">
        <f>TRIM(IF(LEN(IF(LEN(INDEX('Aides'!$D$4:$D$503,191))=0,"",INDEX('Aides'!$D$4:$D$503,191)))=0,"","Registry no.: "&amp;IF(LEN(INDEX('Aides'!$D$4:$D$503,191))=0,"",INDEX('Aides'!$D$4:$D$503,191))&amp;". ")&amp;IF(LEN(IF(ISNUMBER(INDEX('Aides'!$F$4:$F$503,191)),TEXT(INDEX('Aides'!$F$4:$F$503,191),"yyyy-mm-dd"),""))=0,"","Registry expiry: "&amp;IF(ISNUMBER(INDEX('Aides'!$F$4:$F$503,191)),TEXT(INDEX('Aides'!$F$4:$F$503,191),"yyyy-mm-dd"),"")&amp;". ")&amp;IF(LEN(IF(ISNUMBER(INDEX('Aides'!$G$4:$G$503,191)),TEXT(INDEX('Aides'!$G$4:$G$503,191),"yyyy-mm-dd"),""))=0,"","Last paid nursing work: "&amp;IF(ISNUMBER(INDEX('Aides'!$G$4:$G$503,191)),TEXT(INDEX('Aides'!$G$4:$G$503,191),"yyyy-mm-dd"),"")&amp;". ")&amp;IF(LEN(IF(ISNUMBER(INDEX('Aides'!$H$4:$H$503,191)),TEXT(INDEX('Aides'!$H$4:$H$503,191),"yyyy-mm-dd"),""))=0,"","24-month cut-off: "&amp;IF(ISNUMBER(INDEX('Aides'!$H$4:$H$503,191)),TEXT(INDEX('Aides'!$H$4:$H$503,191),"yyyy-mm-dd"),"")&amp;". ")&amp;IF(LEN(IF(LEN(INDEX('Aides'!$U$4:$U$503,191))=0,"",INDEX('Aides'!$U$4:$U$503,191)))=0,"","Owner: "&amp;IF(LEN(INDEX('Aides'!$U$4:$U$503,191))=0,"",INDEX('Aides'!$U$4:$U$503,191))&amp;". ")&amp;IF(LEN(IF(LEN(INDEX('Aides'!$X$4:$X$503,191))=0,"",INDEX('Aides'!$X$4:$X$503,191)))=0,"",IF(LEN(INDEX('Aides'!$X$4:$X$503,191))=0,"",INDEX('Aides'!$X$4:$X$503,191))))</f>
        <v/>
      </c>
      <c r="I194">
        <f>IF(LEN(INDEX('Aides'!$W$4:$W$503,191))=0,"",INDEX('Aides'!$W$4:$W$503,191))</f>
        <v/>
      </c>
      <c r="J194">
        <f>IF(LEN(INDEX('Aides'!$V$4:$V$503,191))=0,"",INDEX('Aides'!$V$4:$V$503,191))</f>
        <v/>
      </c>
    </row>
    <row r="195">
      <c r="A195">
        <f>IF(AND(LEN('Aides'!A195)&gt;0,ISNUMBER('Aides'!I195)),1,0)</f>
        <v/>
      </c>
      <c r="B195">
        <f>B194+A195</f>
        <v/>
      </c>
      <c r="C195">
        <f>IF(192&gt;$B$1503,"",MATCH(192-0.5,$B$3:$B$1503,1))</f>
        <v/>
      </c>
      <c r="D195">
        <f>"CNA certification ("&amp;IF(LEN(INDEX('Aides'!$C$4:$C$503,192))=0,"",INDEX('Aides'!$C$4:$C$503,192))&amp;") – "&amp;IF(LEN(INDEX('Aides'!$A$4:$A$503,192))=0,"",INDEX('Aides'!$A$4:$A$503,192))</f>
        <v/>
      </c>
      <c r="E195">
        <f>IF(ISNUMBER(INDEX('Aides'!$I$4:$I$503,192)),TEXT(INDEX('Aides'!$I$4:$I$503,192),"yyyy-mm-dd"),"")</f>
        <v/>
      </c>
      <c r="F195">
        <f>"Certification"</f>
        <v/>
      </c>
      <c r="G195">
        <f>"High"</f>
        <v/>
      </c>
      <c r="H195">
        <f>TRIM(IF(LEN(IF(LEN(INDEX('Aides'!$D$4:$D$503,192))=0,"",INDEX('Aides'!$D$4:$D$503,192)))=0,"","Registry no.: "&amp;IF(LEN(INDEX('Aides'!$D$4:$D$503,192))=0,"",INDEX('Aides'!$D$4:$D$503,192))&amp;". ")&amp;IF(LEN(IF(ISNUMBER(INDEX('Aides'!$F$4:$F$503,192)),TEXT(INDEX('Aides'!$F$4:$F$503,192),"yyyy-mm-dd"),""))=0,"","Registry expiry: "&amp;IF(ISNUMBER(INDEX('Aides'!$F$4:$F$503,192)),TEXT(INDEX('Aides'!$F$4:$F$503,192),"yyyy-mm-dd"),"")&amp;". ")&amp;IF(LEN(IF(ISNUMBER(INDEX('Aides'!$G$4:$G$503,192)),TEXT(INDEX('Aides'!$G$4:$G$503,192),"yyyy-mm-dd"),""))=0,"","Last paid nursing work: "&amp;IF(ISNUMBER(INDEX('Aides'!$G$4:$G$503,192)),TEXT(INDEX('Aides'!$G$4:$G$503,192),"yyyy-mm-dd"),"")&amp;". ")&amp;IF(LEN(IF(ISNUMBER(INDEX('Aides'!$H$4:$H$503,192)),TEXT(INDEX('Aides'!$H$4:$H$503,192),"yyyy-mm-dd"),""))=0,"","24-month cut-off: "&amp;IF(ISNUMBER(INDEX('Aides'!$H$4:$H$503,192)),TEXT(INDEX('Aides'!$H$4:$H$503,192),"yyyy-mm-dd"),"")&amp;". ")&amp;IF(LEN(IF(LEN(INDEX('Aides'!$U$4:$U$503,192))=0,"",INDEX('Aides'!$U$4:$U$503,192)))=0,"","Owner: "&amp;IF(LEN(INDEX('Aides'!$U$4:$U$503,192))=0,"",INDEX('Aides'!$U$4:$U$503,192))&amp;". ")&amp;IF(LEN(IF(LEN(INDEX('Aides'!$X$4:$X$503,192))=0,"",INDEX('Aides'!$X$4:$X$503,192)))=0,"",IF(LEN(INDEX('Aides'!$X$4:$X$503,192))=0,"",INDEX('Aides'!$X$4:$X$503,192))))</f>
        <v/>
      </c>
      <c r="I195">
        <f>IF(LEN(INDEX('Aides'!$W$4:$W$503,192))=0,"",INDEX('Aides'!$W$4:$W$503,192))</f>
        <v/>
      </c>
      <c r="J195">
        <f>IF(LEN(INDEX('Aides'!$V$4:$V$503,192))=0,"",INDEX('Aides'!$V$4:$V$503,192))</f>
        <v/>
      </c>
    </row>
    <row r="196">
      <c r="A196">
        <f>IF(AND(LEN('Aides'!A196)&gt;0,ISNUMBER('Aides'!I196)),1,0)</f>
        <v/>
      </c>
      <c r="B196">
        <f>B195+A196</f>
        <v/>
      </c>
      <c r="C196">
        <f>IF(193&gt;$B$1503,"",MATCH(193-0.5,$B$3:$B$1503,1))</f>
        <v/>
      </c>
      <c r="D196">
        <f>"CNA certification ("&amp;IF(LEN(INDEX('Aides'!$C$4:$C$503,193))=0,"",INDEX('Aides'!$C$4:$C$503,193))&amp;") – "&amp;IF(LEN(INDEX('Aides'!$A$4:$A$503,193))=0,"",INDEX('Aides'!$A$4:$A$503,193))</f>
        <v/>
      </c>
      <c r="E196">
        <f>IF(ISNUMBER(INDEX('Aides'!$I$4:$I$503,193)),TEXT(INDEX('Aides'!$I$4:$I$503,193),"yyyy-mm-dd"),"")</f>
        <v/>
      </c>
      <c r="F196">
        <f>"Certification"</f>
        <v/>
      </c>
      <c r="G196">
        <f>"High"</f>
        <v/>
      </c>
      <c r="H196">
        <f>TRIM(IF(LEN(IF(LEN(INDEX('Aides'!$D$4:$D$503,193))=0,"",INDEX('Aides'!$D$4:$D$503,193)))=0,"","Registry no.: "&amp;IF(LEN(INDEX('Aides'!$D$4:$D$503,193))=0,"",INDEX('Aides'!$D$4:$D$503,193))&amp;". ")&amp;IF(LEN(IF(ISNUMBER(INDEX('Aides'!$F$4:$F$503,193)),TEXT(INDEX('Aides'!$F$4:$F$503,193),"yyyy-mm-dd"),""))=0,"","Registry expiry: "&amp;IF(ISNUMBER(INDEX('Aides'!$F$4:$F$503,193)),TEXT(INDEX('Aides'!$F$4:$F$503,193),"yyyy-mm-dd"),"")&amp;". ")&amp;IF(LEN(IF(ISNUMBER(INDEX('Aides'!$G$4:$G$503,193)),TEXT(INDEX('Aides'!$G$4:$G$503,193),"yyyy-mm-dd"),""))=0,"","Last paid nursing work: "&amp;IF(ISNUMBER(INDEX('Aides'!$G$4:$G$503,193)),TEXT(INDEX('Aides'!$G$4:$G$503,193),"yyyy-mm-dd"),"")&amp;". ")&amp;IF(LEN(IF(ISNUMBER(INDEX('Aides'!$H$4:$H$503,193)),TEXT(INDEX('Aides'!$H$4:$H$503,193),"yyyy-mm-dd"),""))=0,"","24-month cut-off: "&amp;IF(ISNUMBER(INDEX('Aides'!$H$4:$H$503,193)),TEXT(INDEX('Aides'!$H$4:$H$503,193),"yyyy-mm-dd"),"")&amp;". ")&amp;IF(LEN(IF(LEN(INDEX('Aides'!$U$4:$U$503,193))=0,"",INDEX('Aides'!$U$4:$U$503,193)))=0,"","Owner: "&amp;IF(LEN(INDEX('Aides'!$U$4:$U$503,193))=0,"",INDEX('Aides'!$U$4:$U$503,193))&amp;". ")&amp;IF(LEN(IF(LEN(INDEX('Aides'!$X$4:$X$503,193))=0,"",INDEX('Aides'!$X$4:$X$503,193)))=0,"",IF(LEN(INDEX('Aides'!$X$4:$X$503,193))=0,"",INDEX('Aides'!$X$4:$X$503,193))))</f>
        <v/>
      </c>
      <c r="I196">
        <f>IF(LEN(INDEX('Aides'!$W$4:$W$503,193))=0,"",INDEX('Aides'!$W$4:$W$503,193))</f>
        <v/>
      </c>
      <c r="J196">
        <f>IF(LEN(INDEX('Aides'!$V$4:$V$503,193))=0,"",INDEX('Aides'!$V$4:$V$503,193))</f>
        <v/>
      </c>
    </row>
    <row r="197">
      <c r="A197">
        <f>IF(AND(LEN('Aides'!A197)&gt;0,ISNUMBER('Aides'!I197)),1,0)</f>
        <v/>
      </c>
      <c r="B197">
        <f>B196+A197</f>
        <v/>
      </c>
      <c r="C197">
        <f>IF(194&gt;$B$1503,"",MATCH(194-0.5,$B$3:$B$1503,1))</f>
        <v/>
      </c>
      <c r="D197">
        <f>"CNA certification ("&amp;IF(LEN(INDEX('Aides'!$C$4:$C$503,194))=0,"",INDEX('Aides'!$C$4:$C$503,194))&amp;") – "&amp;IF(LEN(INDEX('Aides'!$A$4:$A$503,194))=0,"",INDEX('Aides'!$A$4:$A$503,194))</f>
        <v/>
      </c>
      <c r="E197">
        <f>IF(ISNUMBER(INDEX('Aides'!$I$4:$I$503,194)),TEXT(INDEX('Aides'!$I$4:$I$503,194),"yyyy-mm-dd"),"")</f>
        <v/>
      </c>
      <c r="F197">
        <f>"Certification"</f>
        <v/>
      </c>
      <c r="G197">
        <f>"High"</f>
        <v/>
      </c>
      <c r="H197">
        <f>TRIM(IF(LEN(IF(LEN(INDEX('Aides'!$D$4:$D$503,194))=0,"",INDEX('Aides'!$D$4:$D$503,194)))=0,"","Registry no.: "&amp;IF(LEN(INDEX('Aides'!$D$4:$D$503,194))=0,"",INDEX('Aides'!$D$4:$D$503,194))&amp;". ")&amp;IF(LEN(IF(ISNUMBER(INDEX('Aides'!$F$4:$F$503,194)),TEXT(INDEX('Aides'!$F$4:$F$503,194),"yyyy-mm-dd"),""))=0,"","Registry expiry: "&amp;IF(ISNUMBER(INDEX('Aides'!$F$4:$F$503,194)),TEXT(INDEX('Aides'!$F$4:$F$503,194),"yyyy-mm-dd"),"")&amp;". ")&amp;IF(LEN(IF(ISNUMBER(INDEX('Aides'!$G$4:$G$503,194)),TEXT(INDEX('Aides'!$G$4:$G$503,194),"yyyy-mm-dd"),""))=0,"","Last paid nursing work: "&amp;IF(ISNUMBER(INDEX('Aides'!$G$4:$G$503,194)),TEXT(INDEX('Aides'!$G$4:$G$503,194),"yyyy-mm-dd"),"")&amp;". ")&amp;IF(LEN(IF(ISNUMBER(INDEX('Aides'!$H$4:$H$503,194)),TEXT(INDEX('Aides'!$H$4:$H$503,194),"yyyy-mm-dd"),""))=0,"","24-month cut-off: "&amp;IF(ISNUMBER(INDEX('Aides'!$H$4:$H$503,194)),TEXT(INDEX('Aides'!$H$4:$H$503,194),"yyyy-mm-dd"),"")&amp;". ")&amp;IF(LEN(IF(LEN(INDEX('Aides'!$U$4:$U$503,194))=0,"",INDEX('Aides'!$U$4:$U$503,194)))=0,"","Owner: "&amp;IF(LEN(INDEX('Aides'!$U$4:$U$503,194))=0,"",INDEX('Aides'!$U$4:$U$503,194))&amp;". ")&amp;IF(LEN(IF(LEN(INDEX('Aides'!$X$4:$X$503,194))=0,"",INDEX('Aides'!$X$4:$X$503,194)))=0,"",IF(LEN(INDEX('Aides'!$X$4:$X$503,194))=0,"",INDEX('Aides'!$X$4:$X$503,194))))</f>
        <v/>
      </c>
      <c r="I197">
        <f>IF(LEN(INDEX('Aides'!$W$4:$W$503,194))=0,"",INDEX('Aides'!$W$4:$W$503,194))</f>
        <v/>
      </c>
      <c r="J197">
        <f>IF(LEN(INDEX('Aides'!$V$4:$V$503,194))=0,"",INDEX('Aides'!$V$4:$V$503,194))</f>
        <v/>
      </c>
    </row>
    <row r="198">
      <c r="A198">
        <f>IF(AND(LEN('Aides'!A198)&gt;0,ISNUMBER('Aides'!I198)),1,0)</f>
        <v/>
      </c>
      <c r="B198">
        <f>B197+A198</f>
        <v/>
      </c>
      <c r="C198">
        <f>IF(195&gt;$B$1503,"",MATCH(195-0.5,$B$3:$B$1503,1))</f>
        <v/>
      </c>
      <c r="D198">
        <f>"CNA certification ("&amp;IF(LEN(INDEX('Aides'!$C$4:$C$503,195))=0,"",INDEX('Aides'!$C$4:$C$503,195))&amp;") – "&amp;IF(LEN(INDEX('Aides'!$A$4:$A$503,195))=0,"",INDEX('Aides'!$A$4:$A$503,195))</f>
        <v/>
      </c>
      <c r="E198">
        <f>IF(ISNUMBER(INDEX('Aides'!$I$4:$I$503,195)),TEXT(INDEX('Aides'!$I$4:$I$503,195),"yyyy-mm-dd"),"")</f>
        <v/>
      </c>
      <c r="F198">
        <f>"Certification"</f>
        <v/>
      </c>
      <c r="G198">
        <f>"High"</f>
        <v/>
      </c>
      <c r="H198">
        <f>TRIM(IF(LEN(IF(LEN(INDEX('Aides'!$D$4:$D$503,195))=0,"",INDEX('Aides'!$D$4:$D$503,195)))=0,"","Registry no.: "&amp;IF(LEN(INDEX('Aides'!$D$4:$D$503,195))=0,"",INDEX('Aides'!$D$4:$D$503,195))&amp;". ")&amp;IF(LEN(IF(ISNUMBER(INDEX('Aides'!$F$4:$F$503,195)),TEXT(INDEX('Aides'!$F$4:$F$503,195),"yyyy-mm-dd"),""))=0,"","Registry expiry: "&amp;IF(ISNUMBER(INDEX('Aides'!$F$4:$F$503,195)),TEXT(INDEX('Aides'!$F$4:$F$503,195),"yyyy-mm-dd"),"")&amp;". ")&amp;IF(LEN(IF(ISNUMBER(INDEX('Aides'!$G$4:$G$503,195)),TEXT(INDEX('Aides'!$G$4:$G$503,195),"yyyy-mm-dd"),""))=0,"","Last paid nursing work: "&amp;IF(ISNUMBER(INDEX('Aides'!$G$4:$G$503,195)),TEXT(INDEX('Aides'!$G$4:$G$503,195),"yyyy-mm-dd"),"")&amp;". ")&amp;IF(LEN(IF(ISNUMBER(INDEX('Aides'!$H$4:$H$503,195)),TEXT(INDEX('Aides'!$H$4:$H$503,195),"yyyy-mm-dd"),""))=0,"","24-month cut-off: "&amp;IF(ISNUMBER(INDEX('Aides'!$H$4:$H$503,195)),TEXT(INDEX('Aides'!$H$4:$H$503,195),"yyyy-mm-dd"),"")&amp;". ")&amp;IF(LEN(IF(LEN(INDEX('Aides'!$U$4:$U$503,195))=0,"",INDEX('Aides'!$U$4:$U$503,195)))=0,"","Owner: "&amp;IF(LEN(INDEX('Aides'!$U$4:$U$503,195))=0,"",INDEX('Aides'!$U$4:$U$503,195))&amp;". ")&amp;IF(LEN(IF(LEN(INDEX('Aides'!$X$4:$X$503,195))=0,"",INDEX('Aides'!$X$4:$X$503,195)))=0,"",IF(LEN(INDEX('Aides'!$X$4:$X$503,195))=0,"",INDEX('Aides'!$X$4:$X$503,195))))</f>
        <v/>
      </c>
      <c r="I198">
        <f>IF(LEN(INDEX('Aides'!$W$4:$W$503,195))=0,"",INDEX('Aides'!$W$4:$W$503,195))</f>
        <v/>
      </c>
      <c r="J198">
        <f>IF(LEN(INDEX('Aides'!$V$4:$V$503,195))=0,"",INDEX('Aides'!$V$4:$V$503,195))</f>
        <v/>
      </c>
    </row>
    <row r="199">
      <c r="A199">
        <f>IF(AND(LEN('Aides'!A199)&gt;0,ISNUMBER('Aides'!I199)),1,0)</f>
        <v/>
      </c>
      <c r="B199">
        <f>B198+A199</f>
        <v/>
      </c>
      <c r="C199">
        <f>IF(196&gt;$B$1503,"",MATCH(196-0.5,$B$3:$B$1503,1))</f>
        <v/>
      </c>
      <c r="D199">
        <f>"CNA certification ("&amp;IF(LEN(INDEX('Aides'!$C$4:$C$503,196))=0,"",INDEX('Aides'!$C$4:$C$503,196))&amp;") – "&amp;IF(LEN(INDEX('Aides'!$A$4:$A$503,196))=0,"",INDEX('Aides'!$A$4:$A$503,196))</f>
        <v/>
      </c>
      <c r="E199">
        <f>IF(ISNUMBER(INDEX('Aides'!$I$4:$I$503,196)),TEXT(INDEX('Aides'!$I$4:$I$503,196),"yyyy-mm-dd"),"")</f>
        <v/>
      </c>
      <c r="F199">
        <f>"Certification"</f>
        <v/>
      </c>
      <c r="G199">
        <f>"High"</f>
        <v/>
      </c>
      <c r="H199">
        <f>TRIM(IF(LEN(IF(LEN(INDEX('Aides'!$D$4:$D$503,196))=0,"",INDEX('Aides'!$D$4:$D$503,196)))=0,"","Registry no.: "&amp;IF(LEN(INDEX('Aides'!$D$4:$D$503,196))=0,"",INDEX('Aides'!$D$4:$D$503,196))&amp;". ")&amp;IF(LEN(IF(ISNUMBER(INDEX('Aides'!$F$4:$F$503,196)),TEXT(INDEX('Aides'!$F$4:$F$503,196),"yyyy-mm-dd"),""))=0,"","Registry expiry: "&amp;IF(ISNUMBER(INDEX('Aides'!$F$4:$F$503,196)),TEXT(INDEX('Aides'!$F$4:$F$503,196),"yyyy-mm-dd"),"")&amp;". ")&amp;IF(LEN(IF(ISNUMBER(INDEX('Aides'!$G$4:$G$503,196)),TEXT(INDEX('Aides'!$G$4:$G$503,196),"yyyy-mm-dd"),""))=0,"","Last paid nursing work: "&amp;IF(ISNUMBER(INDEX('Aides'!$G$4:$G$503,196)),TEXT(INDEX('Aides'!$G$4:$G$503,196),"yyyy-mm-dd"),"")&amp;". ")&amp;IF(LEN(IF(ISNUMBER(INDEX('Aides'!$H$4:$H$503,196)),TEXT(INDEX('Aides'!$H$4:$H$503,196),"yyyy-mm-dd"),""))=0,"","24-month cut-off: "&amp;IF(ISNUMBER(INDEX('Aides'!$H$4:$H$503,196)),TEXT(INDEX('Aides'!$H$4:$H$503,196),"yyyy-mm-dd"),"")&amp;". ")&amp;IF(LEN(IF(LEN(INDEX('Aides'!$U$4:$U$503,196))=0,"",INDEX('Aides'!$U$4:$U$503,196)))=0,"","Owner: "&amp;IF(LEN(INDEX('Aides'!$U$4:$U$503,196))=0,"",INDEX('Aides'!$U$4:$U$503,196))&amp;". ")&amp;IF(LEN(IF(LEN(INDEX('Aides'!$X$4:$X$503,196))=0,"",INDEX('Aides'!$X$4:$X$503,196)))=0,"",IF(LEN(INDEX('Aides'!$X$4:$X$503,196))=0,"",INDEX('Aides'!$X$4:$X$503,196))))</f>
        <v/>
      </c>
      <c r="I199">
        <f>IF(LEN(INDEX('Aides'!$W$4:$W$503,196))=0,"",INDEX('Aides'!$W$4:$W$503,196))</f>
        <v/>
      </c>
      <c r="J199">
        <f>IF(LEN(INDEX('Aides'!$V$4:$V$503,196))=0,"",INDEX('Aides'!$V$4:$V$503,196))</f>
        <v/>
      </c>
    </row>
    <row r="200">
      <c r="A200">
        <f>IF(AND(LEN('Aides'!A200)&gt;0,ISNUMBER('Aides'!I200)),1,0)</f>
        <v/>
      </c>
      <c r="B200">
        <f>B199+A200</f>
        <v/>
      </c>
      <c r="C200">
        <f>IF(197&gt;$B$1503,"",MATCH(197-0.5,$B$3:$B$1503,1))</f>
        <v/>
      </c>
      <c r="D200">
        <f>"CNA certification ("&amp;IF(LEN(INDEX('Aides'!$C$4:$C$503,197))=0,"",INDEX('Aides'!$C$4:$C$503,197))&amp;") – "&amp;IF(LEN(INDEX('Aides'!$A$4:$A$503,197))=0,"",INDEX('Aides'!$A$4:$A$503,197))</f>
        <v/>
      </c>
      <c r="E200">
        <f>IF(ISNUMBER(INDEX('Aides'!$I$4:$I$503,197)),TEXT(INDEX('Aides'!$I$4:$I$503,197),"yyyy-mm-dd"),"")</f>
        <v/>
      </c>
      <c r="F200">
        <f>"Certification"</f>
        <v/>
      </c>
      <c r="G200">
        <f>"High"</f>
        <v/>
      </c>
      <c r="H200">
        <f>TRIM(IF(LEN(IF(LEN(INDEX('Aides'!$D$4:$D$503,197))=0,"",INDEX('Aides'!$D$4:$D$503,197)))=0,"","Registry no.: "&amp;IF(LEN(INDEX('Aides'!$D$4:$D$503,197))=0,"",INDEX('Aides'!$D$4:$D$503,197))&amp;". ")&amp;IF(LEN(IF(ISNUMBER(INDEX('Aides'!$F$4:$F$503,197)),TEXT(INDEX('Aides'!$F$4:$F$503,197),"yyyy-mm-dd"),""))=0,"","Registry expiry: "&amp;IF(ISNUMBER(INDEX('Aides'!$F$4:$F$503,197)),TEXT(INDEX('Aides'!$F$4:$F$503,197),"yyyy-mm-dd"),"")&amp;". ")&amp;IF(LEN(IF(ISNUMBER(INDEX('Aides'!$G$4:$G$503,197)),TEXT(INDEX('Aides'!$G$4:$G$503,197),"yyyy-mm-dd"),""))=0,"","Last paid nursing work: "&amp;IF(ISNUMBER(INDEX('Aides'!$G$4:$G$503,197)),TEXT(INDEX('Aides'!$G$4:$G$503,197),"yyyy-mm-dd"),"")&amp;". ")&amp;IF(LEN(IF(ISNUMBER(INDEX('Aides'!$H$4:$H$503,197)),TEXT(INDEX('Aides'!$H$4:$H$503,197),"yyyy-mm-dd"),""))=0,"","24-month cut-off: "&amp;IF(ISNUMBER(INDEX('Aides'!$H$4:$H$503,197)),TEXT(INDEX('Aides'!$H$4:$H$503,197),"yyyy-mm-dd"),"")&amp;". ")&amp;IF(LEN(IF(LEN(INDEX('Aides'!$U$4:$U$503,197))=0,"",INDEX('Aides'!$U$4:$U$503,197)))=0,"","Owner: "&amp;IF(LEN(INDEX('Aides'!$U$4:$U$503,197))=0,"",INDEX('Aides'!$U$4:$U$503,197))&amp;". ")&amp;IF(LEN(IF(LEN(INDEX('Aides'!$X$4:$X$503,197))=0,"",INDEX('Aides'!$X$4:$X$503,197)))=0,"",IF(LEN(INDEX('Aides'!$X$4:$X$503,197))=0,"",INDEX('Aides'!$X$4:$X$503,197))))</f>
        <v/>
      </c>
      <c r="I200">
        <f>IF(LEN(INDEX('Aides'!$W$4:$W$503,197))=0,"",INDEX('Aides'!$W$4:$W$503,197))</f>
        <v/>
      </c>
      <c r="J200">
        <f>IF(LEN(INDEX('Aides'!$V$4:$V$503,197))=0,"",INDEX('Aides'!$V$4:$V$503,197))</f>
        <v/>
      </c>
    </row>
    <row r="201">
      <c r="A201">
        <f>IF(AND(LEN('Aides'!A201)&gt;0,ISNUMBER('Aides'!I201)),1,0)</f>
        <v/>
      </c>
      <c r="B201">
        <f>B200+A201</f>
        <v/>
      </c>
      <c r="C201">
        <f>IF(198&gt;$B$1503,"",MATCH(198-0.5,$B$3:$B$1503,1))</f>
        <v/>
      </c>
      <c r="D201">
        <f>"CNA certification ("&amp;IF(LEN(INDEX('Aides'!$C$4:$C$503,198))=0,"",INDEX('Aides'!$C$4:$C$503,198))&amp;") – "&amp;IF(LEN(INDEX('Aides'!$A$4:$A$503,198))=0,"",INDEX('Aides'!$A$4:$A$503,198))</f>
        <v/>
      </c>
      <c r="E201">
        <f>IF(ISNUMBER(INDEX('Aides'!$I$4:$I$503,198)),TEXT(INDEX('Aides'!$I$4:$I$503,198),"yyyy-mm-dd"),"")</f>
        <v/>
      </c>
      <c r="F201">
        <f>"Certification"</f>
        <v/>
      </c>
      <c r="G201">
        <f>"High"</f>
        <v/>
      </c>
      <c r="H201">
        <f>TRIM(IF(LEN(IF(LEN(INDEX('Aides'!$D$4:$D$503,198))=0,"",INDEX('Aides'!$D$4:$D$503,198)))=0,"","Registry no.: "&amp;IF(LEN(INDEX('Aides'!$D$4:$D$503,198))=0,"",INDEX('Aides'!$D$4:$D$503,198))&amp;". ")&amp;IF(LEN(IF(ISNUMBER(INDEX('Aides'!$F$4:$F$503,198)),TEXT(INDEX('Aides'!$F$4:$F$503,198),"yyyy-mm-dd"),""))=0,"","Registry expiry: "&amp;IF(ISNUMBER(INDEX('Aides'!$F$4:$F$503,198)),TEXT(INDEX('Aides'!$F$4:$F$503,198),"yyyy-mm-dd"),"")&amp;". ")&amp;IF(LEN(IF(ISNUMBER(INDEX('Aides'!$G$4:$G$503,198)),TEXT(INDEX('Aides'!$G$4:$G$503,198),"yyyy-mm-dd"),""))=0,"","Last paid nursing work: "&amp;IF(ISNUMBER(INDEX('Aides'!$G$4:$G$503,198)),TEXT(INDEX('Aides'!$G$4:$G$503,198),"yyyy-mm-dd"),"")&amp;". ")&amp;IF(LEN(IF(ISNUMBER(INDEX('Aides'!$H$4:$H$503,198)),TEXT(INDEX('Aides'!$H$4:$H$503,198),"yyyy-mm-dd"),""))=0,"","24-month cut-off: "&amp;IF(ISNUMBER(INDEX('Aides'!$H$4:$H$503,198)),TEXT(INDEX('Aides'!$H$4:$H$503,198),"yyyy-mm-dd"),"")&amp;". ")&amp;IF(LEN(IF(LEN(INDEX('Aides'!$U$4:$U$503,198))=0,"",INDEX('Aides'!$U$4:$U$503,198)))=0,"","Owner: "&amp;IF(LEN(INDEX('Aides'!$U$4:$U$503,198))=0,"",INDEX('Aides'!$U$4:$U$503,198))&amp;". ")&amp;IF(LEN(IF(LEN(INDEX('Aides'!$X$4:$X$503,198))=0,"",INDEX('Aides'!$X$4:$X$503,198)))=0,"",IF(LEN(INDEX('Aides'!$X$4:$X$503,198))=0,"",INDEX('Aides'!$X$4:$X$503,198))))</f>
        <v/>
      </c>
      <c r="I201">
        <f>IF(LEN(INDEX('Aides'!$W$4:$W$503,198))=0,"",INDEX('Aides'!$W$4:$W$503,198))</f>
        <v/>
      </c>
      <c r="J201">
        <f>IF(LEN(INDEX('Aides'!$V$4:$V$503,198))=0,"",INDEX('Aides'!$V$4:$V$503,198))</f>
        <v/>
      </c>
    </row>
    <row r="202">
      <c r="A202">
        <f>IF(AND(LEN('Aides'!A202)&gt;0,ISNUMBER('Aides'!I202)),1,0)</f>
        <v/>
      </c>
      <c r="B202">
        <f>B201+A202</f>
        <v/>
      </c>
      <c r="C202">
        <f>IF(199&gt;$B$1503,"",MATCH(199-0.5,$B$3:$B$1503,1))</f>
        <v/>
      </c>
      <c r="D202">
        <f>"CNA certification ("&amp;IF(LEN(INDEX('Aides'!$C$4:$C$503,199))=0,"",INDEX('Aides'!$C$4:$C$503,199))&amp;") – "&amp;IF(LEN(INDEX('Aides'!$A$4:$A$503,199))=0,"",INDEX('Aides'!$A$4:$A$503,199))</f>
        <v/>
      </c>
      <c r="E202">
        <f>IF(ISNUMBER(INDEX('Aides'!$I$4:$I$503,199)),TEXT(INDEX('Aides'!$I$4:$I$503,199),"yyyy-mm-dd"),"")</f>
        <v/>
      </c>
      <c r="F202">
        <f>"Certification"</f>
        <v/>
      </c>
      <c r="G202">
        <f>"High"</f>
        <v/>
      </c>
      <c r="H202">
        <f>TRIM(IF(LEN(IF(LEN(INDEX('Aides'!$D$4:$D$503,199))=0,"",INDEX('Aides'!$D$4:$D$503,199)))=0,"","Registry no.: "&amp;IF(LEN(INDEX('Aides'!$D$4:$D$503,199))=0,"",INDEX('Aides'!$D$4:$D$503,199))&amp;". ")&amp;IF(LEN(IF(ISNUMBER(INDEX('Aides'!$F$4:$F$503,199)),TEXT(INDEX('Aides'!$F$4:$F$503,199),"yyyy-mm-dd"),""))=0,"","Registry expiry: "&amp;IF(ISNUMBER(INDEX('Aides'!$F$4:$F$503,199)),TEXT(INDEX('Aides'!$F$4:$F$503,199),"yyyy-mm-dd"),"")&amp;". ")&amp;IF(LEN(IF(ISNUMBER(INDEX('Aides'!$G$4:$G$503,199)),TEXT(INDEX('Aides'!$G$4:$G$503,199),"yyyy-mm-dd"),""))=0,"","Last paid nursing work: "&amp;IF(ISNUMBER(INDEX('Aides'!$G$4:$G$503,199)),TEXT(INDEX('Aides'!$G$4:$G$503,199),"yyyy-mm-dd"),"")&amp;". ")&amp;IF(LEN(IF(ISNUMBER(INDEX('Aides'!$H$4:$H$503,199)),TEXT(INDEX('Aides'!$H$4:$H$503,199),"yyyy-mm-dd"),""))=0,"","24-month cut-off: "&amp;IF(ISNUMBER(INDEX('Aides'!$H$4:$H$503,199)),TEXT(INDEX('Aides'!$H$4:$H$503,199),"yyyy-mm-dd"),"")&amp;". ")&amp;IF(LEN(IF(LEN(INDEX('Aides'!$U$4:$U$503,199))=0,"",INDEX('Aides'!$U$4:$U$503,199)))=0,"","Owner: "&amp;IF(LEN(INDEX('Aides'!$U$4:$U$503,199))=0,"",INDEX('Aides'!$U$4:$U$503,199))&amp;". ")&amp;IF(LEN(IF(LEN(INDEX('Aides'!$X$4:$X$503,199))=0,"",INDEX('Aides'!$X$4:$X$503,199)))=0,"",IF(LEN(INDEX('Aides'!$X$4:$X$503,199))=0,"",INDEX('Aides'!$X$4:$X$503,199))))</f>
        <v/>
      </c>
      <c r="I202">
        <f>IF(LEN(INDEX('Aides'!$W$4:$W$503,199))=0,"",INDEX('Aides'!$W$4:$W$503,199))</f>
        <v/>
      </c>
      <c r="J202">
        <f>IF(LEN(INDEX('Aides'!$V$4:$V$503,199))=0,"",INDEX('Aides'!$V$4:$V$503,199))</f>
        <v/>
      </c>
    </row>
    <row r="203">
      <c r="A203">
        <f>IF(AND(LEN('Aides'!A203)&gt;0,ISNUMBER('Aides'!I203)),1,0)</f>
        <v/>
      </c>
      <c r="B203">
        <f>B202+A203</f>
        <v/>
      </c>
      <c r="C203">
        <f>IF(200&gt;$B$1503,"",MATCH(200-0.5,$B$3:$B$1503,1))</f>
        <v/>
      </c>
      <c r="D203">
        <f>"CNA certification ("&amp;IF(LEN(INDEX('Aides'!$C$4:$C$503,200))=0,"",INDEX('Aides'!$C$4:$C$503,200))&amp;") – "&amp;IF(LEN(INDEX('Aides'!$A$4:$A$503,200))=0,"",INDEX('Aides'!$A$4:$A$503,200))</f>
        <v/>
      </c>
      <c r="E203">
        <f>IF(ISNUMBER(INDEX('Aides'!$I$4:$I$503,200)),TEXT(INDEX('Aides'!$I$4:$I$503,200),"yyyy-mm-dd"),"")</f>
        <v/>
      </c>
      <c r="F203">
        <f>"Certification"</f>
        <v/>
      </c>
      <c r="G203">
        <f>"High"</f>
        <v/>
      </c>
      <c r="H203">
        <f>TRIM(IF(LEN(IF(LEN(INDEX('Aides'!$D$4:$D$503,200))=0,"",INDEX('Aides'!$D$4:$D$503,200)))=0,"","Registry no.: "&amp;IF(LEN(INDEX('Aides'!$D$4:$D$503,200))=0,"",INDEX('Aides'!$D$4:$D$503,200))&amp;". ")&amp;IF(LEN(IF(ISNUMBER(INDEX('Aides'!$F$4:$F$503,200)),TEXT(INDEX('Aides'!$F$4:$F$503,200),"yyyy-mm-dd"),""))=0,"","Registry expiry: "&amp;IF(ISNUMBER(INDEX('Aides'!$F$4:$F$503,200)),TEXT(INDEX('Aides'!$F$4:$F$503,200),"yyyy-mm-dd"),"")&amp;". ")&amp;IF(LEN(IF(ISNUMBER(INDEX('Aides'!$G$4:$G$503,200)),TEXT(INDEX('Aides'!$G$4:$G$503,200),"yyyy-mm-dd"),""))=0,"","Last paid nursing work: "&amp;IF(ISNUMBER(INDEX('Aides'!$G$4:$G$503,200)),TEXT(INDEX('Aides'!$G$4:$G$503,200),"yyyy-mm-dd"),"")&amp;". ")&amp;IF(LEN(IF(ISNUMBER(INDEX('Aides'!$H$4:$H$503,200)),TEXT(INDEX('Aides'!$H$4:$H$503,200),"yyyy-mm-dd"),""))=0,"","24-month cut-off: "&amp;IF(ISNUMBER(INDEX('Aides'!$H$4:$H$503,200)),TEXT(INDEX('Aides'!$H$4:$H$503,200),"yyyy-mm-dd"),"")&amp;". ")&amp;IF(LEN(IF(LEN(INDEX('Aides'!$U$4:$U$503,200))=0,"",INDEX('Aides'!$U$4:$U$503,200)))=0,"","Owner: "&amp;IF(LEN(INDEX('Aides'!$U$4:$U$503,200))=0,"",INDEX('Aides'!$U$4:$U$503,200))&amp;". ")&amp;IF(LEN(IF(LEN(INDEX('Aides'!$X$4:$X$503,200))=0,"",INDEX('Aides'!$X$4:$X$503,200)))=0,"",IF(LEN(INDEX('Aides'!$X$4:$X$503,200))=0,"",INDEX('Aides'!$X$4:$X$503,200))))</f>
        <v/>
      </c>
      <c r="I203">
        <f>IF(LEN(INDEX('Aides'!$W$4:$W$503,200))=0,"",INDEX('Aides'!$W$4:$W$503,200))</f>
        <v/>
      </c>
      <c r="J203">
        <f>IF(LEN(INDEX('Aides'!$V$4:$V$503,200))=0,"",INDEX('Aides'!$V$4:$V$503,200))</f>
        <v/>
      </c>
    </row>
    <row r="204">
      <c r="A204">
        <f>IF(AND(LEN('Aides'!A204)&gt;0,ISNUMBER('Aides'!I204)),1,0)</f>
        <v/>
      </c>
      <c r="B204">
        <f>B203+A204</f>
        <v/>
      </c>
      <c r="C204">
        <f>IF(201&gt;$B$1503,"",MATCH(201-0.5,$B$3:$B$1503,1))</f>
        <v/>
      </c>
      <c r="D204">
        <f>"CNA certification ("&amp;IF(LEN(INDEX('Aides'!$C$4:$C$503,201))=0,"",INDEX('Aides'!$C$4:$C$503,201))&amp;") – "&amp;IF(LEN(INDEX('Aides'!$A$4:$A$503,201))=0,"",INDEX('Aides'!$A$4:$A$503,201))</f>
        <v/>
      </c>
      <c r="E204">
        <f>IF(ISNUMBER(INDEX('Aides'!$I$4:$I$503,201)),TEXT(INDEX('Aides'!$I$4:$I$503,201),"yyyy-mm-dd"),"")</f>
        <v/>
      </c>
      <c r="F204">
        <f>"Certification"</f>
        <v/>
      </c>
      <c r="G204">
        <f>"High"</f>
        <v/>
      </c>
      <c r="H204">
        <f>TRIM(IF(LEN(IF(LEN(INDEX('Aides'!$D$4:$D$503,201))=0,"",INDEX('Aides'!$D$4:$D$503,201)))=0,"","Registry no.: "&amp;IF(LEN(INDEX('Aides'!$D$4:$D$503,201))=0,"",INDEX('Aides'!$D$4:$D$503,201))&amp;". ")&amp;IF(LEN(IF(ISNUMBER(INDEX('Aides'!$F$4:$F$503,201)),TEXT(INDEX('Aides'!$F$4:$F$503,201),"yyyy-mm-dd"),""))=0,"","Registry expiry: "&amp;IF(ISNUMBER(INDEX('Aides'!$F$4:$F$503,201)),TEXT(INDEX('Aides'!$F$4:$F$503,201),"yyyy-mm-dd"),"")&amp;". ")&amp;IF(LEN(IF(ISNUMBER(INDEX('Aides'!$G$4:$G$503,201)),TEXT(INDEX('Aides'!$G$4:$G$503,201),"yyyy-mm-dd"),""))=0,"","Last paid nursing work: "&amp;IF(ISNUMBER(INDEX('Aides'!$G$4:$G$503,201)),TEXT(INDEX('Aides'!$G$4:$G$503,201),"yyyy-mm-dd"),"")&amp;". ")&amp;IF(LEN(IF(ISNUMBER(INDEX('Aides'!$H$4:$H$503,201)),TEXT(INDEX('Aides'!$H$4:$H$503,201),"yyyy-mm-dd"),""))=0,"","24-month cut-off: "&amp;IF(ISNUMBER(INDEX('Aides'!$H$4:$H$503,201)),TEXT(INDEX('Aides'!$H$4:$H$503,201),"yyyy-mm-dd"),"")&amp;". ")&amp;IF(LEN(IF(LEN(INDEX('Aides'!$U$4:$U$503,201))=0,"",INDEX('Aides'!$U$4:$U$503,201)))=0,"","Owner: "&amp;IF(LEN(INDEX('Aides'!$U$4:$U$503,201))=0,"",INDEX('Aides'!$U$4:$U$503,201))&amp;". ")&amp;IF(LEN(IF(LEN(INDEX('Aides'!$X$4:$X$503,201))=0,"",INDEX('Aides'!$X$4:$X$503,201)))=0,"",IF(LEN(INDEX('Aides'!$X$4:$X$503,201))=0,"",INDEX('Aides'!$X$4:$X$503,201))))</f>
        <v/>
      </c>
      <c r="I204">
        <f>IF(LEN(INDEX('Aides'!$W$4:$W$503,201))=0,"",INDEX('Aides'!$W$4:$W$503,201))</f>
        <v/>
      </c>
      <c r="J204">
        <f>IF(LEN(INDEX('Aides'!$V$4:$V$503,201))=0,"",INDEX('Aides'!$V$4:$V$503,201))</f>
        <v/>
      </c>
    </row>
    <row r="205">
      <c r="A205">
        <f>IF(AND(LEN('Aides'!A205)&gt;0,ISNUMBER('Aides'!I205)),1,0)</f>
        <v/>
      </c>
      <c r="B205">
        <f>B204+A205</f>
        <v/>
      </c>
      <c r="C205">
        <f>IF(202&gt;$B$1503,"",MATCH(202-0.5,$B$3:$B$1503,1))</f>
        <v/>
      </c>
      <c r="D205">
        <f>"CNA certification ("&amp;IF(LEN(INDEX('Aides'!$C$4:$C$503,202))=0,"",INDEX('Aides'!$C$4:$C$503,202))&amp;") – "&amp;IF(LEN(INDEX('Aides'!$A$4:$A$503,202))=0,"",INDEX('Aides'!$A$4:$A$503,202))</f>
        <v/>
      </c>
      <c r="E205">
        <f>IF(ISNUMBER(INDEX('Aides'!$I$4:$I$503,202)),TEXT(INDEX('Aides'!$I$4:$I$503,202),"yyyy-mm-dd"),"")</f>
        <v/>
      </c>
      <c r="F205">
        <f>"Certification"</f>
        <v/>
      </c>
      <c r="G205">
        <f>"High"</f>
        <v/>
      </c>
      <c r="H205">
        <f>TRIM(IF(LEN(IF(LEN(INDEX('Aides'!$D$4:$D$503,202))=0,"",INDEX('Aides'!$D$4:$D$503,202)))=0,"","Registry no.: "&amp;IF(LEN(INDEX('Aides'!$D$4:$D$503,202))=0,"",INDEX('Aides'!$D$4:$D$503,202))&amp;". ")&amp;IF(LEN(IF(ISNUMBER(INDEX('Aides'!$F$4:$F$503,202)),TEXT(INDEX('Aides'!$F$4:$F$503,202),"yyyy-mm-dd"),""))=0,"","Registry expiry: "&amp;IF(ISNUMBER(INDEX('Aides'!$F$4:$F$503,202)),TEXT(INDEX('Aides'!$F$4:$F$503,202),"yyyy-mm-dd"),"")&amp;". ")&amp;IF(LEN(IF(ISNUMBER(INDEX('Aides'!$G$4:$G$503,202)),TEXT(INDEX('Aides'!$G$4:$G$503,202),"yyyy-mm-dd"),""))=0,"","Last paid nursing work: "&amp;IF(ISNUMBER(INDEX('Aides'!$G$4:$G$503,202)),TEXT(INDEX('Aides'!$G$4:$G$503,202),"yyyy-mm-dd"),"")&amp;". ")&amp;IF(LEN(IF(ISNUMBER(INDEX('Aides'!$H$4:$H$503,202)),TEXT(INDEX('Aides'!$H$4:$H$503,202),"yyyy-mm-dd"),""))=0,"","24-month cut-off: "&amp;IF(ISNUMBER(INDEX('Aides'!$H$4:$H$503,202)),TEXT(INDEX('Aides'!$H$4:$H$503,202),"yyyy-mm-dd"),"")&amp;". ")&amp;IF(LEN(IF(LEN(INDEX('Aides'!$U$4:$U$503,202))=0,"",INDEX('Aides'!$U$4:$U$503,202)))=0,"","Owner: "&amp;IF(LEN(INDEX('Aides'!$U$4:$U$503,202))=0,"",INDEX('Aides'!$U$4:$U$503,202))&amp;". ")&amp;IF(LEN(IF(LEN(INDEX('Aides'!$X$4:$X$503,202))=0,"",INDEX('Aides'!$X$4:$X$503,202)))=0,"",IF(LEN(INDEX('Aides'!$X$4:$X$503,202))=0,"",INDEX('Aides'!$X$4:$X$503,202))))</f>
        <v/>
      </c>
      <c r="I205">
        <f>IF(LEN(INDEX('Aides'!$W$4:$W$503,202))=0,"",INDEX('Aides'!$W$4:$W$503,202))</f>
        <v/>
      </c>
      <c r="J205">
        <f>IF(LEN(INDEX('Aides'!$V$4:$V$503,202))=0,"",INDEX('Aides'!$V$4:$V$503,202))</f>
        <v/>
      </c>
    </row>
    <row r="206">
      <c r="A206">
        <f>IF(AND(LEN('Aides'!A206)&gt;0,ISNUMBER('Aides'!I206)),1,0)</f>
        <v/>
      </c>
      <c r="B206">
        <f>B205+A206</f>
        <v/>
      </c>
      <c r="C206">
        <f>IF(203&gt;$B$1503,"",MATCH(203-0.5,$B$3:$B$1503,1))</f>
        <v/>
      </c>
      <c r="D206">
        <f>"CNA certification ("&amp;IF(LEN(INDEX('Aides'!$C$4:$C$503,203))=0,"",INDEX('Aides'!$C$4:$C$503,203))&amp;") – "&amp;IF(LEN(INDEX('Aides'!$A$4:$A$503,203))=0,"",INDEX('Aides'!$A$4:$A$503,203))</f>
        <v/>
      </c>
      <c r="E206">
        <f>IF(ISNUMBER(INDEX('Aides'!$I$4:$I$503,203)),TEXT(INDEX('Aides'!$I$4:$I$503,203),"yyyy-mm-dd"),"")</f>
        <v/>
      </c>
      <c r="F206">
        <f>"Certification"</f>
        <v/>
      </c>
      <c r="G206">
        <f>"High"</f>
        <v/>
      </c>
      <c r="H206">
        <f>TRIM(IF(LEN(IF(LEN(INDEX('Aides'!$D$4:$D$503,203))=0,"",INDEX('Aides'!$D$4:$D$503,203)))=0,"","Registry no.: "&amp;IF(LEN(INDEX('Aides'!$D$4:$D$503,203))=0,"",INDEX('Aides'!$D$4:$D$503,203))&amp;". ")&amp;IF(LEN(IF(ISNUMBER(INDEX('Aides'!$F$4:$F$503,203)),TEXT(INDEX('Aides'!$F$4:$F$503,203),"yyyy-mm-dd"),""))=0,"","Registry expiry: "&amp;IF(ISNUMBER(INDEX('Aides'!$F$4:$F$503,203)),TEXT(INDEX('Aides'!$F$4:$F$503,203),"yyyy-mm-dd"),"")&amp;". ")&amp;IF(LEN(IF(ISNUMBER(INDEX('Aides'!$G$4:$G$503,203)),TEXT(INDEX('Aides'!$G$4:$G$503,203),"yyyy-mm-dd"),""))=0,"","Last paid nursing work: "&amp;IF(ISNUMBER(INDEX('Aides'!$G$4:$G$503,203)),TEXT(INDEX('Aides'!$G$4:$G$503,203),"yyyy-mm-dd"),"")&amp;". ")&amp;IF(LEN(IF(ISNUMBER(INDEX('Aides'!$H$4:$H$503,203)),TEXT(INDEX('Aides'!$H$4:$H$503,203),"yyyy-mm-dd"),""))=0,"","24-month cut-off: "&amp;IF(ISNUMBER(INDEX('Aides'!$H$4:$H$503,203)),TEXT(INDEX('Aides'!$H$4:$H$503,203),"yyyy-mm-dd"),"")&amp;". ")&amp;IF(LEN(IF(LEN(INDEX('Aides'!$U$4:$U$503,203))=0,"",INDEX('Aides'!$U$4:$U$503,203)))=0,"","Owner: "&amp;IF(LEN(INDEX('Aides'!$U$4:$U$503,203))=0,"",INDEX('Aides'!$U$4:$U$503,203))&amp;". ")&amp;IF(LEN(IF(LEN(INDEX('Aides'!$X$4:$X$503,203))=0,"",INDEX('Aides'!$X$4:$X$503,203)))=0,"",IF(LEN(INDEX('Aides'!$X$4:$X$503,203))=0,"",INDEX('Aides'!$X$4:$X$503,203))))</f>
        <v/>
      </c>
      <c r="I206">
        <f>IF(LEN(INDEX('Aides'!$W$4:$W$503,203))=0,"",INDEX('Aides'!$W$4:$W$503,203))</f>
        <v/>
      </c>
      <c r="J206">
        <f>IF(LEN(INDEX('Aides'!$V$4:$V$503,203))=0,"",INDEX('Aides'!$V$4:$V$503,203))</f>
        <v/>
      </c>
    </row>
    <row r="207">
      <c r="A207">
        <f>IF(AND(LEN('Aides'!A207)&gt;0,ISNUMBER('Aides'!I207)),1,0)</f>
        <v/>
      </c>
      <c r="B207">
        <f>B206+A207</f>
        <v/>
      </c>
      <c r="C207">
        <f>IF(204&gt;$B$1503,"",MATCH(204-0.5,$B$3:$B$1503,1))</f>
        <v/>
      </c>
      <c r="D207">
        <f>"CNA certification ("&amp;IF(LEN(INDEX('Aides'!$C$4:$C$503,204))=0,"",INDEX('Aides'!$C$4:$C$503,204))&amp;") – "&amp;IF(LEN(INDEX('Aides'!$A$4:$A$503,204))=0,"",INDEX('Aides'!$A$4:$A$503,204))</f>
        <v/>
      </c>
      <c r="E207">
        <f>IF(ISNUMBER(INDEX('Aides'!$I$4:$I$503,204)),TEXT(INDEX('Aides'!$I$4:$I$503,204),"yyyy-mm-dd"),"")</f>
        <v/>
      </c>
      <c r="F207">
        <f>"Certification"</f>
        <v/>
      </c>
      <c r="G207">
        <f>"High"</f>
        <v/>
      </c>
      <c r="H207">
        <f>TRIM(IF(LEN(IF(LEN(INDEX('Aides'!$D$4:$D$503,204))=0,"",INDEX('Aides'!$D$4:$D$503,204)))=0,"","Registry no.: "&amp;IF(LEN(INDEX('Aides'!$D$4:$D$503,204))=0,"",INDEX('Aides'!$D$4:$D$503,204))&amp;". ")&amp;IF(LEN(IF(ISNUMBER(INDEX('Aides'!$F$4:$F$503,204)),TEXT(INDEX('Aides'!$F$4:$F$503,204),"yyyy-mm-dd"),""))=0,"","Registry expiry: "&amp;IF(ISNUMBER(INDEX('Aides'!$F$4:$F$503,204)),TEXT(INDEX('Aides'!$F$4:$F$503,204),"yyyy-mm-dd"),"")&amp;". ")&amp;IF(LEN(IF(ISNUMBER(INDEX('Aides'!$G$4:$G$503,204)),TEXT(INDEX('Aides'!$G$4:$G$503,204),"yyyy-mm-dd"),""))=0,"","Last paid nursing work: "&amp;IF(ISNUMBER(INDEX('Aides'!$G$4:$G$503,204)),TEXT(INDEX('Aides'!$G$4:$G$503,204),"yyyy-mm-dd"),"")&amp;". ")&amp;IF(LEN(IF(ISNUMBER(INDEX('Aides'!$H$4:$H$503,204)),TEXT(INDEX('Aides'!$H$4:$H$503,204),"yyyy-mm-dd"),""))=0,"","24-month cut-off: "&amp;IF(ISNUMBER(INDEX('Aides'!$H$4:$H$503,204)),TEXT(INDEX('Aides'!$H$4:$H$503,204),"yyyy-mm-dd"),"")&amp;". ")&amp;IF(LEN(IF(LEN(INDEX('Aides'!$U$4:$U$503,204))=0,"",INDEX('Aides'!$U$4:$U$503,204)))=0,"","Owner: "&amp;IF(LEN(INDEX('Aides'!$U$4:$U$503,204))=0,"",INDEX('Aides'!$U$4:$U$503,204))&amp;". ")&amp;IF(LEN(IF(LEN(INDEX('Aides'!$X$4:$X$503,204))=0,"",INDEX('Aides'!$X$4:$X$503,204)))=0,"",IF(LEN(INDEX('Aides'!$X$4:$X$503,204))=0,"",INDEX('Aides'!$X$4:$X$503,204))))</f>
        <v/>
      </c>
      <c r="I207">
        <f>IF(LEN(INDEX('Aides'!$W$4:$W$503,204))=0,"",INDEX('Aides'!$W$4:$W$503,204))</f>
        <v/>
      </c>
      <c r="J207">
        <f>IF(LEN(INDEX('Aides'!$V$4:$V$503,204))=0,"",INDEX('Aides'!$V$4:$V$503,204))</f>
        <v/>
      </c>
    </row>
    <row r="208">
      <c r="A208">
        <f>IF(AND(LEN('Aides'!A208)&gt;0,ISNUMBER('Aides'!I208)),1,0)</f>
        <v/>
      </c>
      <c r="B208">
        <f>B207+A208</f>
        <v/>
      </c>
      <c r="C208">
        <f>IF(205&gt;$B$1503,"",MATCH(205-0.5,$B$3:$B$1503,1))</f>
        <v/>
      </c>
      <c r="D208">
        <f>"CNA certification ("&amp;IF(LEN(INDEX('Aides'!$C$4:$C$503,205))=0,"",INDEX('Aides'!$C$4:$C$503,205))&amp;") – "&amp;IF(LEN(INDEX('Aides'!$A$4:$A$503,205))=0,"",INDEX('Aides'!$A$4:$A$503,205))</f>
        <v/>
      </c>
      <c r="E208">
        <f>IF(ISNUMBER(INDEX('Aides'!$I$4:$I$503,205)),TEXT(INDEX('Aides'!$I$4:$I$503,205),"yyyy-mm-dd"),"")</f>
        <v/>
      </c>
      <c r="F208">
        <f>"Certification"</f>
        <v/>
      </c>
      <c r="G208">
        <f>"High"</f>
        <v/>
      </c>
      <c r="H208">
        <f>TRIM(IF(LEN(IF(LEN(INDEX('Aides'!$D$4:$D$503,205))=0,"",INDEX('Aides'!$D$4:$D$503,205)))=0,"","Registry no.: "&amp;IF(LEN(INDEX('Aides'!$D$4:$D$503,205))=0,"",INDEX('Aides'!$D$4:$D$503,205))&amp;". ")&amp;IF(LEN(IF(ISNUMBER(INDEX('Aides'!$F$4:$F$503,205)),TEXT(INDEX('Aides'!$F$4:$F$503,205),"yyyy-mm-dd"),""))=0,"","Registry expiry: "&amp;IF(ISNUMBER(INDEX('Aides'!$F$4:$F$503,205)),TEXT(INDEX('Aides'!$F$4:$F$503,205),"yyyy-mm-dd"),"")&amp;". ")&amp;IF(LEN(IF(ISNUMBER(INDEX('Aides'!$G$4:$G$503,205)),TEXT(INDEX('Aides'!$G$4:$G$503,205),"yyyy-mm-dd"),""))=0,"","Last paid nursing work: "&amp;IF(ISNUMBER(INDEX('Aides'!$G$4:$G$503,205)),TEXT(INDEX('Aides'!$G$4:$G$503,205),"yyyy-mm-dd"),"")&amp;". ")&amp;IF(LEN(IF(ISNUMBER(INDEX('Aides'!$H$4:$H$503,205)),TEXT(INDEX('Aides'!$H$4:$H$503,205),"yyyy-mm-dd"),""))=0,"","24-month cut-off: "&amp;IF(ISNUMBER(INDEX('Aides'!$H$4:$H$503,205)),TEXT(INDEX('Aides'!$H$4:$H$503,205),"yyyy-mm-dd"),"")&amp;". ")&amp;IF(LEN(IF(LEN(INDEX('Aides'!$U$4:$U$503,205))=0,"",INDEX('Aides'!$U$4:$U$503,205)))=0,"","Owner: "&amp;IF(LEN(INDEX('Aides'!$U$4:$U$503,205))=0,"",INDEX('Aides'!$U$4:$U$503,205))&amp;". ")&amp;IF(LEN(IF(LEN(INDEX('Aides'!$X$4:$X$503,205))=0,"",INDEX('Aides'!$X$4:$X$503,205)))=0,"",IF(LEN(INDEX('Aides'!$X$4:$X$503,205))=0,"",INDEX('Aides'!$X$4:$X$503,205))))</f>
        <v/>
      </c>
      <c r="I208">
        <f>IF(LEN(INDEX('Aides'!$W$4:$W$503,205))=0,"",INDEX('Aides'!$W$4:$W$503,205))</f>
        <v/>
      </c>
      <c r="J208">
        <f>IF(LEN(INDEX('Aides'!$V$4:$V$503,205))=0,"",INDEX('Aides'!$V$4:$V$503,205))</f>
        <v/>
      </c>
    </row>
    <row r="209">
      <c r="A209">
        <f>IF(AND(LEN('Aides'!A209)&gt;0,ISNUMBER('Aides'!I209)),1,0)</f>
        <v/>
      </c>
      <c r="B209">
        <f>B208+A209</f>
        <v/>
      </c>
      <c r="C209">
        <f>IF(206&gt;$B$1503,"",MATCH(206-0.5,$B$3:$B$1503,1))</f>
        <v/>
      </c>
      <c r="D209">
        <f>"CNA certification ("&amp;IF(LEN(INDEX('Aides'!$C$4:$C$503,206))=0,"",INDEX('Aides'!$C$4:$C$503,206))&amp;") – "&amp;IF(LEN(INDEX('Aides'!$A$4:$A$503,206))=0,"",INDEX('Aides'!$A$4:$A$503,206))</f>
        <v/>
      </c>
      <c r="E209">
        <f>IF(ISNUMBER(INDEX('Aides'!$I$4:$I$503,206)),TEXT(INDEX('Aides'!$I$4:$I$503,206),"yyyy-mm-dd"),"")</f>
        <v/>
      </c>
      <c r="F209">
        <f>"Certification"</f>
        <v/>
      </c>
      <c r="G209">
        <f>"High"</f>
        <v/>
      </c>
      <c r="H209">
        <f>TRIM(IF(LEN(IF(LEN(INDEX('Aides'!$D$4:$D$503,206))=0,"",INDEX('Aides'!$D$4:$D$503,206)))=0,"","Registry no.: "&amp;IF(LEN(INDEX('Aides'!$D$4:$D$503,206))=0,"",INDEX('Aides'!$D$4:$D$503,206))&amp;". ")&amp;IF(LEN(IF(ISNUMBER(INDEX('Aides'!$F$4:$F$503,206)),TEXT(INDEX('Aides'!$F$4:$F$503,206),"yyyy-mm-dd"),""))=0,"","Registry expiry: "&amp;IF(ISNUMBER(INDEX('Aides'!$F$4:$F$503,206)),TEXT(INDEX('Aides'!$F$4:$F$503,206),"yyyy-mm-dd"),"")&amp;". ")&amp;IF(LEN(IF(ISNUMBER(INDEX('Aides'!$G$4:$G$503,206)),TEXT(INDEX('Aides'!$G$4:$G$503,206),"yyyy-mm-dd"),""))=0,"","Last paid nursing work: "&amp;IF(ISNUMBER(INDEX('Aides'!$G$4:$G$503,206)),TEXT(INDEX('Aides'!$G$4:$G$503,206),"yyyy-mm-dd"),"")&amp;". ")&amp;IF(LEN(IF(ISNUMBER(INDEX('Aides'!$H$4:$H$503,206)),TEXT(INDEX('Aides'!$H$4:$H$503,206),"yyyy-mm-dd"),""))=0,"","24-month cut-off: "&amp;IF(ISNUMBER(INDEX('Aides'!$H$4:$H$503,206)),TEXT(INDEX('Aides'!$H$4:$H$503,206),"yyyy-mm-dd"),"")&amp;". ")&amp;IF(LEN(IF(LEN(INDEX('Aides'!$U$4:$U$503,206))=0,"",INDEX('Aides'!$U$4:$U$503,206)))=0,"","Owner: "&amp;IF(LEN(INDEX('Aides'!$U$4:$U$503,206))=0,"",INDEX('Aides'!$U$4:$U$503,206))&amp;". ")&amp;IF(LEN(IF(LEN(INDEX('Aides'!$X$4:$X$503,206))=0,"",INDEX('Aides'!$X$4:$X$503,206)))=0,"",IF(LEN(INDEX('Aides'!$X$4:$X$503,206))=0,"",INDEX('Aides'!$X$4:$X$503,206))))</f>
        <v/>
      </c>
      <c r="I209">
        <f>IF(LEN(INDEX('Aides'!$W$4:$W$503,206))=0,"",INDEX('Aides'!$W$4:$W$503,206))</f>
        <v/>
      </c>
      <c r="J209">
        <f>IF(LEN(INDEX('Aides'!$V$4:$V$503,206))=0,"",INDEX('Aides'!$V$4:$V$503,206))</f>
        <v/>
      </c>
    </row>
    <row r="210">
      <c r="A210">
        <f>IF(AND(LEN('Aides'!A210)&gt;0,ISNUMBER('Aides'!I210)),1,0)</f>
        <v/>
      </c>
      <c r="B210">
        <f>B209+A210</f>
        <v/>
      </c>
      <c r="C210">
        <f>IF(207&gt;$B$1503,"",MATCH(207-0.5,$B$3:$B$1503,1))</f>
        <v/>
      </c>
      <c r="D210">
        <f>"CNA certification ("&amp;IF(LEN(INDEX('Aides'!$C$4:$C$503,207))=0,"",INDEX('Aides'!$C$4:$C$503,207))&amp;") – "&amp;IF(LEN(INDEX('Aides'!$A$4:$A$503,207))=0,"",INDEX('Aides'!$A$4:$A$503,207))</f>
        <v/>
      </c>
      <c r="E210">
        <f>IF(ISNUMBER(INDEX('Aides'!$I$4:$I$503,207)),TEXT(INDEX('Aides'!$I$4:$I$503,207),"yyyy-mm-dd"),"")</f>
        <v/>
      </c>
      <c r="F210">
        <f>"Certification"</f>
        <v/>
      </c>
      <c r="G210">
        <f>"High"</f>
        <v/>
      </c>
      <c r="H210">
        <f>TRIM(IF(LEN(IF(LEN(INDEX('Aides'!$D$4:$D$503,207))=0,"",INDEX('Aides'!$D$4:$D$503,207)))=0,"","Registry no.: "&amp;IF(LEN(INDEX('Aides'!$D$4:$D$503,207))=0,"",INDEX('Aides'!$D$4:$D$503,207))&amp;". ")&amp;IF(LEN(IF(ISNUMBER(INDEX('Aides'!$F$4:$F$503,207)),TEXT(INDEX('Aides'!$F$4:$F$503,207),"yyyy-mm-dd"),""))=0,"","Registry expiry: "&amp;IF(ISNUMBER(INDEX('Aides'!$F$4:$F$503,207)),TEXT(INDEX('Aides'!$F$4:$F$503,207),"yyyy-mm-dd"),"")&amp;". ")&amp;IF(LEN(IF(ISNUMBER(INDEX('Aides'!$G$4:$G$503,207)),TEXT(INDEX('Aides'!$G$4:$G$503,207),"yyyy-mm-dd"),""))=0,"","Last paid nursing work: "&amp;IF(ISNUMBER(INDEX('Aides'!$G$4:$G$503,207)),TEXT(INDEX('Aides'!$G$4:$G$503,207),"yyyy-mm-dd"),"")&amp;". ")&amp;IF(LEN(IF(ISNUMBER(INDEX('Aides'!$H$4:$H$503,207)),TEXT(INDEX('Aides'!$H$4:$H$503,207),"yyyy-mm-dd"),""))=0,"","24-month cut-off: "&amp;IF(ISNUMBER(INDEX('Aides'!$H$4:$H$503,207)),TEXT(INDEX('Aides'!$H$4:$H$503,207),"yyyy-mm-dd"),"")&amp;". ")&amp;IF(LEN(IF(LEN(INDEX('Aides'!$U$4:$U$503,207))=0,"",INDEX('Aides'!$U$4:$U$503,207)))=0,"","Owner: "&amp;IF(LEN(INDEX('Aides'!$U$4:$U$503,207))=0,"",INDEX('Aides'!$U$4:$U$503,207))&amp;". ")&amp;IF(LEN(IF(LEN(INDEX('Aides'!$X$4:$X$503,207))=0,"",INDEX('Aides'!$X$4:$X$503,207)))=0,"",IF(LEN(INDEX('Aides'!$X$4:$X$503,207))=0,"",INDEX('Aides'!$X$4:$X$503,207))))</f>
        <v/>
      </c>
      <c r="I210">
        <f>IF(LEN(INDEX('Aides'!$W$4:$W$503,207))=0,"",INDEX('Aides'!$W$4:$W$503,207))</f>
        <v/>
      </c>
      <c r="J210">
        <f>IF(LEN(INDEX('Aides'!$V$4:$V$503,207))=0,"",INDEX('Aides'!$V$4:$V$503,207))</f>
        <v/>
      </c>
    </row>
    <row r="211">
      <c r="A211">
        <f>IF(AND(LEN('Aides'!A211)&gt;0,ISNUMBER('Aides'!I211)),1,0)</f>
        <v/>
      </c>
      <c r="B211">
        <f>B210+A211</f>
        <v/>
      </c>
      <c r="C211">
        <f>IF(208&gt;$B$1503,"",MATCH(208-0.5,$B$3:$B$1503,1))</f>
        <v/>
      </c>
      <c r="D211">
        <f>"CNA certification ("&amp;IF(LEN(INDEX('Aides'!$C$4:$C$503,208))=0,"",INDEX('Aides'!$C$4:$C$503,208))&amp;") – "&amp;IF(LEN(INDEX('Aides'!$A$4:$A$503,208))=0,"",INDEX('Aides'!$A$4:$A$503,208))</f>
        <v/>
      </c>
      <c r="E211">
        <f>IF(ISNUMBER(INDEX('Aides'!$I$4:$I$503,208)),TEXT(INDEX('Aides'!$I$4:$I$503,208),"yyyy-mm-dd"),"")</f>
        <v/>
      </c>
      <c r="F211">
        <f>"Certification"</f>
        <v/>
      </c>
      <c r="G211">
        <f>"High"</f>
        <v/>
      </c>
      <c r="H211">
        <f>TRIM(IF(LEN(IF(LEN(INDEX('Aides'!$D$4:$D$503,208))=0,"",INDEX('Aides'!$D$4:$D$503,208)))=0,"","Registry no.: "&amp;IF(LEN(INDEX('Aides'!$D$4:$D$503,208))=0,"",INDEX('Aides'!$D$4:$D$503,208))&amp;". ")&amp;IF(LEN(IF(ISNUMBER(INDEX('Aides'!$F$4:$F$503,208)),TEXT(INDEX('Aides'!$F$4:$F$503,208),"yyyy-mm-dd"),""))=0,"","Registry expiry: "&amp;IF(ISNUMBER(INDEX('Aides'!$F$4:$F$503,208)),TEXT(INDEX('Aides'!$F$4:$F$503,208),"yyyy-mm-dd"),"")&amp;". ")&amp;IF(LEN(IF(ISNUMBER(INDEX('Aides'!$G$4:$G$503,208)),TEXT(INDEX('Aides'!$G$4:$G$503,208),"yyyy-mm-dd"),""))=0,"","Last paid nursing work: "&amp;IF(ISNUMBER(INDEX('Aides'!$G$4:$G$503,208)),TEXT(INDEX('Aides'!$G$4:$G$503,208),"yyyy-mm-dd"),"")&amp;". ")&amp;IF(LEN(IF(ISNUMBER(INDEX('Aides'!$H$4:$H$503,208)),TEXT(INDEX('Aides'!$H$4:$H$503,208),"yyyy-mm-dd"),""))=0,"","24-month cut-off: "&amp;IF(ISNUMBER(INDEX('Aides'!$H$4:$H$503,208)),TEXT(INDEX('Aides'!$H$4:$H$503,208),"yyyy-mm-dd"),"")&amp;". ")&amp;IF(LEN(IF(LEN(INDEX('Aides'!$U$4:$U$503,208))=0,"",INDEX('Aides'!$U$4:$U$503,208)))=0,"","Owner: "&amp;IF(LEN(INDEX('Aides'!$U$4:$U$503,208))=0,"",INDEX('Aides'!$U$4:$U$503,208))&amp;". ")&amp;IF(LEN(IF(LEN(INDEX('Aides'!$X$4:$X$503,208))=0,"",INDEX('Aides'!$X$4:$X$503,208)))=0,"",IF(LEN(INDEX('Aides'!$X$4:$X$503,208))=0,"",INDEX('Aides'!$X$4:$X$503,208))))</f>
        <v/>
      </c>
      <c r="I211">
        <f>IF(LEN(INDEX('Aides'!$W$4:$W$503,208))=0,"",INDEX('Aides'!$W$4:$W$503,208))</f>
        <v/>
      </c>
      <c r="J211">
        <f>IF(LEN(INDEX('Aides'!$V$4:$V$503,208))=0,"",INDEX('Aides'!$V$4:$V$503,208))</f>
        <v/>
      </c>
    </row>
    <row r="212">
      <c r="A212">
        <f>IF(AND(LEN('Aides'!A212)&gt;0,ISNUMBER('Aides'!I212)),1,0)</f>
        <v/>
      </c>
      <c r="B212">
        <f>B211+A212</f>
        <v/>
      </c>
      <c r="C212">
        <f>IF(209&gt;$B$1503,"",MATCH(209-0.5,$B$3:$B$1503,1))</f>
        <v/>
      </c>
      <c r="D212">
        <f>"CNA certification ("&amp;IF(LEN(INDEX('Aides'!$C$4:$C$503,209))=0,"",INDEX('Aides'!$C$4:$C$503,209))&amp;") – "&amp;IF(LEN(INDEX('Aides'!$A$4:$A$503,209))=0,"",INDEX('Aides'!$A$4:$A$503,209))</f>
        <v/>
      </c>
      <c r="E212">
        <f>IF(ISNUMBER(INDEX('Aides'!$I$4:$I$503,209)),TEXT(INDEX('Aides'!$I$4:$I$503,209),"yyyy-mm-dd"),"")</f>
        <v/>
      </c>
      <c r="F212">
        <f>"Certification"</f>
        <v/>
      </c>
      <c r="G212">
        <f>"High"</f>
        <v/>
      </c>
      <c r="H212">
        <f>TRIM(IF(LEN(IF(LEN(INDEX('Aides'!$D$4:$D$503,209))=0,"",INDEX('Aides'!$D$4:$D$503,209)))=0,"","Registry no.: "&amp;IF(LEN(INDEX('Aides'!$D$4:$D$503,209))=0,"",INDEX('Aides'!$D$4:$D$503,209))&amp;". ")&amp;IF(LEN(IF(ISNUMBER(INDEX('Aides'!$F$4:$F$503,209)),TEXT(INDEX('Aides'!$F$4:$F$503,209),"yyyy-mm-dd"),""))=0,"","Registry expiry: "&amp;IF(ISNUMBER(INDEX('Aides'!$F$4:$F$503,209)),TEXT(INDEX('Aides'!$F$4:$F$503,209),"yyyy-mm-dd"),"")&amp;". ")&amp;IF(LEN(IF(ISNUMBER(INDEX('Aides'!$G$4:$G$503,209)),TEXT(INDEX('Aides'!$G$4:$G$503,209),"yyyy-mm-dd"),""))=0,"","Last paid nursing work: "&amp;IF(ISNUMBER(INDEX('Aides'!$G$4:$G$503,209)),TEXT(INDEX('Aides'!$G$4:$G$503,209),"yyyy-mm-dd"),"")&amp;". ")&amp;IF(LEN(IF(ISNUMBER(INDEX('Aides'!$H$4:$H$503,209)),TEXT(INDEX('Aides'!$H$4:$H$503,209),"yyyy-mm-dd"),""))=0,"","24-month cut-off: "&amp;IF(ISNUMBER(INDEX('Aides'!$H$4:$H$503,209)),TEXT(INDEX('Aides'!$H$4:$H$503,209),"yyyy-mm-dd"),"")&amp;". ")&amp;IF(LEN(IF(LEN(INDEX('Aides'!$U$4:$U$503,209))=0,"",INDEX('Aides'!$U$4:$U$503,209)))=0,"","Owner: "&amp;IF(LEN(INDEX('Aides'!$U$4:$U$503,209))=0,"",INDEX('Aides'!$U$4:$U$503,209))&amp;". ")&amp;IF(LEN(IF(LEN(INDEX('Aides'!$X$4:$X$503,209))=0,"",INDEX('Aides'!$X$4:$X$503,209)))=0,"",IF(LEN(INDEX('Aides'!$X$4:$X$503,209))=0,"",INDEX('Aides'!$X$4:$X$503,209))))</f>
        <v/>
      </c>
      <c r="I212">
        <f>IF(LEN(INDEX('Aides'!$W$4:$W$503,209))=0,"",INDEX('Aides'!$W$4:$W$503,209))</f>
        <v/>
      </c>
      <c r="J212">
        <f>IF(LEN(INDEX('Aides'!$V$4:$V$503,209))=0,"",INDEX('Aides'!$V$4:$V$503,209))</f>
        <v/>
      </c>
    </row>
    <row r="213">
      <c r="A213">
        <f>IF(AND(LEN('Aides'!A213)&gt;0,ISNUMBER('Aides'!I213)),1,0)</f>
        <v/>
      </c>
      <c r="B213">
        <f>B212+A213</f>
        <v/>
      </c>
      <c r="C213">
        <f>IF(210&gt;$B$1503,"",MATCH(210-0.5,$B$3:$B$1503,1))</f>
        <v/>
      </c>
      <c r="D213">
        <f>"CNA certification ("&amp;IF(LEN(INDEX('Aides'!$C$4:$C$503,210))=0,"",INDEX('Aides'!$C$4:$C$503,210))&amp;") – "&amp;IF(LEN(INDEX('Aides'!$A$4:$A$503,210))=0,"",INDEX('Aides'!$A$4:$A$503,210))</f>
        <v/>
      </c>
      <c r="E213">
        <f>IF(ISNUMBER(INDEX('Aides'!$I$4:$I$503,210)),TEXT(INDEX('Aides'!$I$4:$I$503,210),"yyyy-mm-dd"),"")</f>
        <v/>
      </c>
      <c r="F213">
        <f>"Certification"</f>
        <v/>
      </c>
      <c r="G213">
        <f>"High"</f>
        <v/>
      </c>
      <c r="H213">
        <f>TRIM(IF(LEN(IF(LEN(INDEX('Aides'!$D$4:$D$503,210))=0,"",INDEX('Aides'!$D$4:$D$503,210)))=0,"","Registry no.: "&amp;IF(LEN(INDEX('Aides'!$D$4:$D$503,210))=0,"",INDEX('Aides'!$D$4:$D$503,210))&amp;". ")&amp;IF(LEN(IF(ISNUMBER(INDEX('Aides'!$F$4:$F$503,210)),TEXT(INDEX('Aides'!$F$4:$F$503,210),"yyyy-mm-dd"),""))=0,"","Registry expiry: "&amp;IF(ISNUMBER(INDEX('Aides'!$F$4:$F$503,210)),TEXT(INDEX('Aides'!$F$4:$F$503,210),"yyyy-mm-dd"),"")&amp;". ")&amp;IF(LEN(IF(ISNUMBER(INDEX('Aides'!$G$4:$G$503,210)),TEXT(INDEX('Aides'!$G$4:$G$503,210),"yyyy-mm-dd"),""))=0,"","Last paid nursing work: "&amp;IF(ISNUMBER(INDEX('Aides'!$G$4:$G$503,210)),TEXT(INDEX('Aides'!$G$4:$G$503,210),"yyyy-mm-dd"),"")&amp;". ")&amp;IF(LEN(IF(ISNUMBER(INDEX('Aides'!$H$4:$H$503,210)),TEXT(INDEX('Aides'!$H$4:$H$503,210),"yyyy-mm-dd"),""))=0,"","24-month cut-off: "&amp;IF(ISNUMBER(INDEX('Aides'!$H$4:$H$503,210)),TEXT(INDEX('Aides'!$H$4:$H$503,210),"yyyy-mm-dd"),"")&amp;". ")&amp;IF(LEN(IF(LEN(INDEX('Aides'!$U$4:$U$503,210))=0,"",INDEX('Aides'!$U$4:$U$503,210)))=0,"","Owner: "&amp;IF(LEN(INDEX('Aides'!$U$4:$U$503,210))=0,"",INDEX('Aides'!$U$4:$U$503,210))&amp;". ")&amp;IF(LEN(IF(LEN(INDEX('Aides'!$X$4:$X$503,210))=0,"",INDEX('Aides'!$X$4:$X$503,210)))=0,"",IF(LEN(INDEX('Aides'!$X$4:$X$503,210))=0,"",INDEX('Aides'!$X$4:$X$503,210))))</f>
        <v/>
      </c>
      <c r="I213">
        <f>IF(LEN(INDEX('Aides'!$W$4:$W$503,210))=0,"",INDEX('Aides'!$W$4:$W$503,210))</f>
        <v/>
      </c>
      <c r="J213">
        <f>IF(LEN(INDEX('Aides'!$V$4:$V$503,210))=0,"",INDEX('Aides'!$V$4:$V$503,210))</f>
        <v/>
      </c>
    </row>
    <row r="214">
      <c r="A214">
        <f>IF(AND(LEN('Aides'!A214)&gt;0,ISNUMBER('Aides'!I214)),1,0)</f>
        <v/>
      </c>
      <c r="B214">
        <f>B213+A214</f>
        <v/>
      </c>
      <c r="C214">
        <f>IF(211&gt;$B$1503,"",MATCH(211-0.5,$B$3:$B$1503,1))</f>
        <v/>
      </c>
      <c r="D214">
        <f>"CNA certification ("&amp;IF(LEN(INDEX('Aides'!$C$4:$C$503,211))=0,"",INDEX('Aides'!$C$4:$C$503,211))&amp;") – "&amp;IF(LEN(INDEX('Aides'!$A$4:$A$503,211))=0,"",INDEX('Aides'!$A$4:$A$503,211))</f>
        <v/>
      </c>
      <c r="E214">
        <f>IF(ISNUMBER(INDEX('Aides'!$I$4:$I$503,211)),TEXT(INDEX('Aides'!$I$4:$I$503,211),"yyyy-mm-dd"),"")</f>
        <v/>
      </c>
      <c r="F214">
        <f>"Certification"</f>
        <v/>
      </c>
      <c r="G214">
        <f>"High"</f>
        <v/>
      </c>
      <c r="H214">
        <f>TRIM(IF(LEN(IF(LEN(INDEX('Aides'!$D$4:$D$503,211))=0,"",INDEX('Aides'!$D$4:$D$503,211)))=0,"","Registry no.: "&amp;IF(LEN(INDEX('Aides'!$D$4:$D$503,211))=0,"",INDEX('Aides'!$D$4:$D$503,211))&amp;". ")&amp;IF(LEN(IF(ISNUMBER(INDEX('Aides'!$F$4:$F$503,211)),TEXT(INDEX('Aides'!$F$4:$F$503,211),"yyyy-mm-dd"),""))=0,"","Registry expiry: "&amp;IF(ISNUMBER(INDEX('Aides'!$F$4:$F$503,211)),TEXT(INDEX('Aides'!$F$4:$F$503,211),"yyyy-mm-dd"),"")&amp;". ")&amp;IF(LEN(IF(ISNUMBER(INDEX('Aides'!$G$4:$G$503,211)),TEXT(INDEX('Aides'!$G$4:$G$503,211),"yyyy-mm-dd"),""))=0,"","Last paid nursing work: "&amp;IF(ISNUMBER(INDEX('Aides'!$G$4:$G$503,211)),TEXT(INDEX('Aides'!$G$4:$G$503,211),"yyyy-mm-dd"),"")&amp;". ")&amp;IF(LEN(IF(ISNUMBER(INDEX('Aides'!$H$4:$H$503,211)),TEXT(INDEX('Aides'!$H$4:$H$503,211),"yyyy-mm-dd"),""))=0,"","24-month cut-off: "&amp;IF(ISNUMBER(INDEX('Aides'!$H$4:$H$503,211)),TEXT(INDEX('Aides'!$H$4:$H$503,211),"yyyy-mm-dd"),"")&amp;". ")&amp;IF(LEN(IF(LEN(INDEX('Aides'!$U$4:$U$503,211))=0,"",INDEX('Aides'!$U$4:$U$503,211)))=0,"","Owner: "&amp;IF(LEN(INDEX('Aides'!$U$4:$U$503,211))=0,"",INDEX('Aides'!$U$4:$U$503,211))&amp;". ")&amp;IF(LEN(IF(LEN(INDEX('Aides'!$X$4:$X$503,211))=0,"",INDEX('Aides'!$X$4:$X$503,211)))=0,"",IF(LEN(INDEX('Aides'!$X$4:$X$503,211))=0,"",INDEX('Aides'!$X$4:$X$503,211))))</f>
        <v/>
      </c>
      <c r="I214">
        <f>IF(LEN(INDEX('Aides'!$W$4:$W$503,211))=0,"",INDEX('Aides'!$W$4:$W$503,211))</f>
        <v/>
      </c>
      <c r="J214">
        <f>IF(LEN(INDEX('Aides'!$V$4:$V$503,211))=0,"",INDEX('Aides'!$V$4:$V$503,211))</f>
        <v/>
      </c>
    </row>
    <row r="215">
      <c r="A215">
        <f>IF(AND(LEN('Aides'!A215)&gt;0,ISNUMBER('Aides'!I215)),1,0)</f>
        <v/>
      </c>
      <c r="B215">
        <f>B214+A215</f>
        <v/>
      </c>
      <c r="C215">
        <f>IF(212&gt;$B$1503,"",MATCH(212-0.5,$B$3:$B$1503,1))</f>
        <v/>
      </c>
      <c r="D215">
        <f>"CNA certification ("&amp;IF(LEN(INDEX('Aides'!$C$4:$C$503,212))=0,"",INDEX('Aides'!$C$4:$C$503,212))&amp;") – "&amp;IF(LEN(INDEX('Aides'!$A$4:$A$503,212))=0,"",INDEX('Aides'!$A$4:$A$503,212))</f>
        <v/>
      </c>
      <c r="E215">
        <f>IF(ISNUMBER(INDEX('Aides'!$I$4:$I$503,212)),TEXT(INDEX('Aides'!$I$4:$I$503,212),"yyyy-mm-dd"),"")</f>
        <v/>
      </c>
      <c r="F215">
        <f>"Certification"</f>
        <v/>
      </c>
      <c r="G215">
        <f>"High"</f>
        <v/>
      </c>
      <c r="H215">
        <f>TRIM(IF(LEN(IF(LEN(INDEX('Aides'!$D$4:$D$503,212))=0,"",INDEX('Aides'!$D$4:$D$503,212)))=0,"","Registry no.: "&amp;IF(LEN(INDEX('Aides'!$D$4:$D$503,212))=0,"",INDEX('Aides'!$D$4:$D$503,212))&amp;". ")&amp;IF(LEN(IF(ISNUMBER(INDEX('Aides'!$F$4:$F$503,212)),TEXT(INDEX('Aides'!$F$4:$F$503,212),"yyyy-mm-dd"),""))=0,"","Registry expiry: "&amp;IF(ISNUMBER(INDEX('Aides'!$F$4:$F$503,212)),TEXT(INDEX('Aides'!$F$4:$F$503,212),"yyyy-mm-dd"),"")&amp;". ")&amp;IF(LEN(IF(ISNUMBER(INDEX('Aides'!$G$4:$G$503,212)),TEXT(INDEX('Aides'!$G$4:$G$503,212),"yyyy-mm-dd"),""))=0,"","Last paid nursing work: "&amp;IF(ISNUMBER(INDEX('Aides'!$G$4:$G$503,212)),TEXT(INDEX('Aides'!$G$4:$G$503,212),"yyyy-mm-dd"),"")&amp;". ")&amp;IF(LEN(IF(ISNUMBER(INDEX('Aides'!$H$4:$H$503,212)),TEXT(INDEX('Aides'!$H$4:$H$503,212),"yyyy-mm-dd"),""))=0,"","24-month cut-off: "&amp;IF(ISNUMBER(INDEX('Aides'!$H$4:$H$503,212)),TEXT(INDEX('Aides'!$H$4:$H$503,212),"yyyy-mm-dd"),"")&amp;". ")&amp;IF(LEN(IF(LEN(INDEX('Aides'!$U$4:$U$503,212))=0,"",INDEX('Aides'!$U$4:$U$503,212)))=0,"","Owner: "&amp;IF(LEN(INDEX('Aides'!$U$4:$U$503,212))=0,"",INDEX('Aides'!$U$4:$U$503,212))&amp;". ")&amp;IF(LEN(IF(LEN(INDEX('Aides'!$X$4:$X$503,212))=0,"",INDEX('Aides'!$X$4:$X$503,212)))=0,"",IF(LEN(INDEX('Aides'!$X$4:$X$503,212))=0,"",INDEX('Aides'!$X$4:$X$503,212))))</f>
        <v/>
      </c>
      <c r="I215">
        <f>IF(LEN(INDEX('Aides'!$W$4:$W$503,212))=0,"",INDEX('Aides'!$W$4:$W$503,212))</f>
        <v/>
      </c>
      <c r="J215">
        <f>IF(LEN(INDEX('Aides'!$V$4:$V$503,212))=0,"",INDEX('Aides'!$V$4:$V$503,212))</f>
        <v/>
      </c>
    </row>
    <row r="216">
      <c r="A216">
        <f>IF(AND(LEN('Aides'!A216)&gt;0,ISNUMBER('Aides'!I216)),1,0)</f>
        <v/>
      </c>
      <c r="B216">
        <f>B215+A216</f>
        <v/>
      </c>
      <c r="C216">
        <f>IF(213&gt;$B$1503,"",MATCH(213-0.5,$B$3:$B$1503,1))</f>
        <v/>
      </c>
      <c r="D216">
        <f>"CNA certification ("&amp;IF(LEN(INDEX('Aides'!$C$4:$C$503,213))=0,"",INDEX('Aides'!$C$4:$C$503,213))&amp;") – "&amp;IF(LEN(INDEX('Aides'!$A$4:$A$503,213))=0,"",INDEX('Aides'!$A$4:$A$503,213))</f>
        <v/>
      </c>
      <c r="E216">
        <f>IF(ISNUMBER(INDEX('Aides'!$I$4:$I$503,213)),TEXT(INDEX('Aides'!$I$4:$I$503,213),"yyyy-mm-dd"),"")</f>
        <v/>
      </c>
      <c r="F216">
        <f>"Certification"</f>
        <v/>
      </c>
      <c r="G216">
        <f>"High"</f>
        <v/>
      </c>
      <c r="H216">
        <f>TRIM(IF(LEN(IF(LEN(INDEX('Aides'!$D$4:$D$503,213))=0,"",INDEX('Aides'!$D$4:$D$503,213)))=0,"","Registry no.: "&amp;IF(LEN(INDEX('Aides'!$D$4:$D$503,213))=0,"",INDEX('Aides'!$D$4:$D$503,213))&amp;". ")&amp;IF(LEN(IF(ISNUMBER(INDEX('Aides'!$F$4:$F$503,213)),TEXT(INDEX('Aides'!$F$4:$F$503,213),"yyyy-mm-dd"),""))=0,"","Registry expiry: "&amp;IF(ISNUMBER(INDEX('Aides'!$F$4:$F$503,213)),TEXT(INDEX('Aides'!$F$4:$F$503,213),"yyyy-mm-dd"),"")&amp;". ")&amp;IF(LEN(IF(ISNUMBER(INDEX('Aides'!$G$4:$G$503,213)),TEXT(INDEX('Aides'!$G$4:$G$503,213),"yyyy-mm-dd"),""))=0,"","Last paid nursing work: "&amp;IF(ISNUMBER(INDEX('Aides'!$G$4:$G$503,213)),TEXT(INDEX('Aides'!$G$4:$G$503,213),"yyyy-mm-dd"),"")&amp;". ")&amp;IF(LEN(IF(ISNUMBER(INDEX('Aides'!$H$4:$H$503,213)),TEXT(INDEX('Aides'!$H$4:$H$503,213),"yyyy-mm-dd"),""))=0,"","24-month cut-off: "&amp;IF(ISNUMBER(INDEX('Aides'!$H$4:$H$503,213)),TEXT(INDEX('Aides'!$H$4:$H$503,213),"yyyy-mm-dd"),"")&amp;". ")&amp;IF(LEN(IF(LEN(INDEX('Aides'!$U$4:$U$503,213))=0,"",INDEX('Aides'!$U$4:$U$503,213)))=0,"","Owner: "&amp;IF(LEN(INDEX('Aides'!$U$4:$U$503,213))=0,"",INDEX('Aides'!$U$4:$U$503,213))&amp;". ")&amp;IF(LEN(IF(LEN(INDEX('Aides'!$X$4:$X$503,213))=0,"",INDEX('Aides'!$X$4:$X$503,213)))=0,"",IF(LEN(INDEX('Aides'!$X$4:$X$503,213))=0,"",INDEX('Aides'!$X$4:$X$503,213))))</f>
        <v/>
      </c>
      <c r="I216">
        <f>IF(LEN(INDEX('Aides'!$W$4:$W$503,213))=0,"",INDEX('Aides'!$W$4:$W$503,213))</f>
        <v/>
      </c>
      <c r="J216">
        <f>IF(LEN(INDEX('Aides'!$V$4:$V$503,213))=0,"",INDEX('Aides'!$V$4:$V$503,213))</f>
        <v/>
      </c>
    </row>
    <row r="217">
      <c r="A217">
        <f>IF(AND(LEN('Aides'!A217)&gt;0,ISNUMBER('Aides'!I217)),1,0)</f>
        <v/>
      </c>
      <c r="B217">
        <f>B216+A217</f>
        <v/>
      </c>
      <c r="C217">
        <f>IF(214&gt;$B$1503,"",MATCH(214-0.5,$B$3:$B$1503,1))</f>
        <v/>
      </c>
      <c r="D217">
        <f>"CNA certification ("&amp;IF(LEN(INDEX('Aides'!$C$4:$C$503,214))=0,"",INDEX('Aides'!$C$4:$C$503,214))&amp;") – "&amp;IF(LEN(INDEX('Aides'!$A$4:$A$503,214))=0,"",INDEX('Aides'!$A$4:$A$503,214))</f>
        <v/>
      </c>
      <c r="E217">
        <f>IF(ISNUMBER(INDEX('Aides'!$I$4:$I$503,214)),TEXT(INDEX('Aides'!$I$4:$I$503,214),"yyyy-mm-dd"),"")</f>
        <v/>
      </c>
      <c r="F217">
        <f>"Certification"</f>
        <v/>
      </c>
      <c r="G217">
        <f>"High"</f>
        <v/>
      </c>
      <c r="H217">
        <f>TRIM(IF(LEN(IF(LEN(INDEX('Aides'!$D$4:$D$503,214))=0,"",INDEX('Aides'!$D$4:$D$503,214)))=0,"","Registry no.: "&amp;IF(LEN(INDEX('Aides'!$D$4:$D$503,214))=0,"",INDEX('Aides'!$D$4:$D$503,214))&amp;". ")&amp;IF(LEN(IF(ISNUMBER(INDEX('Aides'!$F$4:$F$503,214)),TEXT(INDEX('Aides'!$F$4:$F$503,214),"yyyy-mm-dd"),""))=0,"","Registry expiry: "&amp;IF(ISNUMBER(INDEX('Aides'!$F$4:$F$503,214)),TEXT(INDEX('Aides'!$F$4:$F$503,214),"yyyy-mm-dd"),"")&amp;". ")&amp;IF(LEN(IF(ISNUMBER(INDEX('Aides'!$G$4:$G$503,214)),TEXT(INDEX('Aides'!$G$4:$G$503,214),"yyyy-mm-dd"),""))=0,"","Last paid nursing work: "&amp;IF(ISNUMBER(INDEX('Aides'!$G$4:$G$503,214)),TEXT(INDEX('Aides'!$G$4:$G$503,214),"yyyy-mm-dd"),"")&amp;". ")&amp;IF(LEN(IF(ISNUMBER(INDEX('Aides'!$H$4:$H$503,214)),TEXT(INDEX('Aides'!$H$4:$H$503,214),"yyyy-mm-dd"),""))=0,"","24-month cut-off: "&amp;IF(ISNUMBER(INDEX('Aides'!$H$4:$H$503,214)),TEXT(INDEX('Aides'!$H$4:$H$503,214),"yyyy-mm-dd"),"")&amp;". ")&amp;IF(LEN(IF(LEN(INDEX('Aides'!$U$4:$U$503,214))=0,"",INDEX('Aides'!$U$4:$U$503,214)))=0,"","Owner: "&amp;IF(LEN(INDEX('Aides'!$U$4:$U$503,214))=0,"",INDEX('Aides'!$U$4:$U$503,214))&amp;". ")&amp;IF(LEN(IF(LEN(INDEX('Aides'!$X$4:$X$503,214))=0,"",INDEX('Aides'!$X$4:$X$503,214)))=0,"",IF(LEN(INDEX('Aides'!$X$4:$X$503,214))=0,"",INDEX('Aides'!$X$4:$X$503,214))))</f>
        <v/>
      </c>
      <c r="I217">
        <f>IF(LEN(INDEX('Aides'!$W$4:$W$503,214))=0,"",INDEX('Aides'!$W$4:$W$503,214))</f>
        <v/>
      </c>
      <c r="J217">
        <f>IF(LEN(INDEX('Aides'!$V$4:$V$503,214))=0,"",INDEX('Aides'!$V$4:$V$503,214))</f>
        <v/>
      </c>
    </row>
    <row r="218">
      <c r="A218">
        <f>IF(AND(LEN('Aides'!A218)&gt;0,ISNUMBER('Aides'!I218)),1,0)</f>
        <v/>
      </c>
      <c r="B218">
        <f>B217+A218</f>
        <v/>
      </c>
      <c r="C218">
        <f>IF(215&gt;$B$1503,"",MATCH(215-0.5,$B$3:$B$1503,1))</f>
        <v/>
      </c>
      <c r="D218">
        <f>"CNA certification ("&amp;IF(LEN(INDEX('Aides'!$C$4:$C$503,215))=0,"",INDEX('Aides'!$C$4:$C$503,215))&amp;") – "&amp;IF(LEN(INDEX('Aides'!$A$4:$A$503,215))=0,"",INDEX('Aides'!$A$4:$A$503,215))</f>
        <v/>
      </c>
      <c r="E218">
        <f>IF(ISNUMBER(INDEX('Aides'!$I$4:$I$503,215)),TEXT(INDEX('Aides'!$I$4:$I$503,215),"yyyy-mm-dd"),"")</f>
        <v/>
      </c>
      <c r="F218">
        <f>"Certification"</f>
        <v/>
      </c>
      <c r="G218">
        <f>"High"</f>
        <v/>
      </c>
      <c r="H218">
        <f>TRIM(IF(LEN(IF(LEN(INDEX('Aides'!$D$4:$D$503,215))=0,"",INDEX('Aides'!$D$4:$D$503,215)))=0,"","Registry no.: "&amp;IF(LEN(INDEX('Aides'!$D$4:$D$503,215))=0,"",INDEX('Aides'!$D$4:$D$503,215))&amp;". ")&amp;IF(LEN(IF(ISNUMBER(INDEX('Aides'!$F$4:$F$503,215)),TEXT(INDEX('Aides'!$F$4:$F$503,215),"yyyy-mm-dd"),""))=0,"","Registry expiry: "&amp;IF(ISNUMBER(INDEX('Aides'!$F$4:$F$503,215)),TEXT(INDEX('Aides'!$F$4:$F$503,215),"yyyy-mm-dd"),"")&amp;". ")&amp;IF(LEN(IF(ISNUMBER(INDEX('Aides'!$G$4:$G$503,215)),TEXT(INDEX('Aides'!$G$4:$G$503,215),"yyyy-mm-dd"),""))=0,"","Last paid nursing work: "&amp;IF(ISNUMBER(INDEX('Aides'!$G$4:$G$503,215)),TEXT(INDEX('Aides'!$G$4:$G$503,215),"yyyy-mm-dd"),"")&amp;". ")&amp;IF(LEN(IF(ISNUMBER(INDEX('Aides'!$H$4:$H$503,215)),TEXT(INDEX('Aides'!$H$4:$H$503,215),"yyyy-mm-dd"),""))=0,"","24-month cut-off: "&amp;IF(ISNUMBER(INDEX('Aides'!$H$4:$H$503,215)),TEXT(INDEX('Aides'!$H$4:$H$503,215),"yyyy-mm-dd"),"")&amp;". ")&amp;IF(LEN(IF(LEN(INDEX('Aides'!$U$4:$U$503,215))=0,"",INDEX('Aides'!$U$4:$U$503,215)))=0,"","Owner: "&amp;IF(LEN(INDEX('Aides'!$U$4:$U$503,215))=0,"",INDEX('Aides'!$U$4:$U$503,215))&amp;". ")&amp;IF(LEN(IF(LEN(INDEX('Aides'!$X$4:$X$503,215))=0,"",INDEX('Aides'!$X$4:$X$503,215)))=0,"",IF(LEN(INDEX('Aides'!$X$4:$X$503,215))=0,"",INDEX('Aides'!$X$4:$X$503,215))))</f>
        <v/>
      </c>
      <c r="I218">
        <f>IF(LEN(INDEX('Aides'!$W$4:$W$503,215))=0,"",INDEX('Aides'!$W$4:$W$503,215))</f>
        <v/>
      </c>
      <c r="J218">
        <f>IF(LEN(INDEX('Aides'!$V$4:$V$503,215))=0,"",INDEX('Aides'!$V$4:$V$503,215))</f>
        <v/>
      </c>
    </row>
    <row r="219">
      <c r="A219">
        <f>IF(AND(LEN('Aides'!A219)&gt;0,ISNUMBER('Aides'!I219)),1,0)</f>
        <v/>
      </c>
      <c r="B219">
        <f>B218+A219</f>
        <v/>
      </c>
      <c r="C219">
        <f>IF(216&gt;$B$1503,"",MATCH(216-0.5,$B$3:$B$1503,1))</f>
        <v/>
      </c>
      <c r="D219">
        <f>"CNA certification ("&amp;IF(LEN(INDEX('Aides'!$C$4:$C$503,216))=0,"",INDEX('Aides'!$C$4:$C$503,216))&amp;") – "&amp;IF(LEN(INDEX('Aides'!$A$4:$A$503,216))=0,"",INDEX('Aides'!$A$4:$A$503,216))</f>
        <v/>
      </c>
      <c r="E219">
        <f>IF(ISNUMBER(INDEX('Aides'!$I$4:$I$503,216)),TEXT(INDEX('Aides'!$I$4:$I$503,216),"yyyy-mm-dd"),"")</f>
        <v/>
      </c>
      <c r="F219">
        <f>"Certification"</f>
        <v/>
      </c>
      <c r="G219">
        <f>"High"</f>
        <v/>
      </c>
      <c r="H219">
        <f>TRIM(IF(LEN(IF(LEN(INDEX('Aides'!$D$4:$D$503,216))=0,"",INDEX('Aides'!$D$4:$D$503,216)))=0,"","Registry no.: "&amp;IF(LEN(INDEX('Aides'!$D$4:$D$503,216))=0,"",INDEX('Aides'!$D$4:$D$503,216))&amp;". ")&amp;IF(LEN(IF(ISNUMBER(INDEX('Aides'!$F$4:$F$503,216)),TEXT(INDEX('Aides'!$F$4:$F$503,216),"yyyy-mm-dd"),""))=0,"","Registry expiry: "&amp;IF(ISNUMBER(INDEX('Aides'!$F$4:$F$503,216)),TEXT(INDEX('Aides'!$F$4:$F$503,216),"yyyy-mm-dd"),"")&amp;". ")&amp;IF(LEN(IF(ISNUMBER(INDEX('Aides'!$G$4:$G$503,216)),TEXT(INDEX('Aides'!$G$4:$G$503,216),"yyyy-mm-dd"),""))=0,"","Last paid nursing work: "&amp;IF(ISNUMBER(INDEX('Aides'!$G$4:$G$503,216)),TEXT(INDEX('Aides'!$G$4:$G$503,216),"yyyy-mm-dd"),"")&amp;". ")&amp;IF(LEN(IF(ISNUMBER(INDEX('Aides'!$H$4:$H$503,216)),TEXT(INDEX('Aides'!$H$4:$H$503,216),"yyyy-mm-dd"),""))=0,"","24-month cut-off: "&amp;IF(ISNUMBER(INDEX('Aides'!$H$4:$H$503,216)),TEXT(INDEX('Aides'!$H$4:$H$503,216),"yyyy-mm-dd"),"")&amp;". ")&amp;IF(LEN(IF(LEN(INDEX('Aides'!$U$4:$U$503,216))=0,"",INDEX('Aides'!$U$4:$U$503,216)))=0,"","Owner: "&amp;IF(LEN(INDEX('Aides'!$U$4:$U$503,216))=0,"",INDEX('Aides'!$U$4:$U$503,216))&amp;". ")&amp;IF(LEN(IF(LEN(INDEX('Aides'!$X$4:$X$503,216))=0,"",INDEX('Aides'!$X$4:$X$503,216)))=0,"",IF(LEN(INDEX('Aides'!$X$4:$X$503,216))=0,"",INDEX('Aides'!$X$4:$X$503,216))))</f>
        <v/>
      </c>
      <c r="I219">
        <f>IF(LEN(INDEX('Aides'!$W$4:$W$503,216))=0,"",INDEX('Aides'!$W$4:$W$503,216))</f>
        <v/>
      </c>
      <c r="J219">
        <f>IF(LEN(INDEX('Aides'!$V$4:$V$503,216))=0,"",INDEX('Aides'!$V$4:$V$503,216))</f>
        <v/>
      </c>
    </row>
    <row r="220">
      <c r="A220">
        <f>IF(AND(LEN('Aides'!A220)&gt;0,ISNUMBER('Aides'!I220)),1,0)</f>
        <v/>
      </c>
      <c r="B220">
        <f>B219+A220</f>
        <v/>
      </c>
      <c r="C220">
        <f>IF(217&gt;$B$1503,"",MATCH(217-0.5,$B$3:$B$1503,1))</f>
        <v/>
      </c>
      <c r="D220">
        <f>"CNA certification ("&amp;IF(LEN(INDEX('Aides'!$C$4:$C$503,217))=0,"",INDEX('Aides'!$C$4:$C$503,217))&amp;") – "&amp;IF(LEN(INDEX('Aides'!$A$4:$A$503,217))=0,"",INDEX('Aides'!$A$4:$A$503,217))</f>
        <v/>
      </c>
      <c r="E220">
        <f>IF(ISNUMBER(INDEX('Aides'!$I$4:$I$503,217)),TEXT(INDEX('Aides'!$I$4:$I$503,217),"yyyy-mm-dd"),"")</f>
        <v/>
      </c>
      <c r="F220">
        <f>"Certification"</f>
        <v/>
      </c>
      <c r="G220">
        <f>"High"</f>
        <v/>
      </c>
      <c r="H220">
        <f>TRIM(IF(LEN(IF(LEN(INDEX('Aides'!$D$4:$D$503,217))=0,"",INDEX('Aides'!$D$4:$D$503,217)))=0,"","Registry no.: "&amp;IF(LEN(INDEX('Aides'!$D$4:$D$503,217))=0,"",INDEX('Aides'!$D$4:$D$503,217))&amp;". ")&amp;IF(LEN(IF(ISNUMBER(INDEX('Aides'!$F$4:$F$503,217)),TEXT(INDEX('Aides'!$F$4:$F$503,217),"yyyy-mm-dd"),""))=0,"","Registry expiry: "&amp;IF(ISNUMBER(INDEX('Aides'!$F$4:$F$503,217)),TEXT(INDEX('Aides'!$F$4:$F$503,217),"yyyy-mm-dd"),"")&amp;". ")&amp;IF(LEN(IF(ISNUMBER(INDEX('Aides'!$G$4:$G$503,217)),TEXT(INDEX('Aides'!$G$4:$G$503,217),"yyyy-mm-dd"),""))=0,"","Last paid nursing work: "&amp;IF(ISNUMBER(INDEX('Aides'!$G$4:$G$503,217)),TEXT(INDEX('Aides'!$G$4:$G$503,217),"yyyy-mm-dd"),"")&amp;". ")&amp;IF(LEN(IF(ISNUMBER(INDEX('Aides'!$H$4:$H$503,217)),TEXT(INDEX('Aides'!$H$4:$H$503,217),"yyyy-mm-dd"),""))=0,"","24-month cut-off: "&amp;IF(ISNUMBER(INDEX('Aides'!$H$4:$H$503,217)),TEXT(INDEX('Aides'!$H$4:$H$503,217),"yyyy-mm-dd"),"")&amp;". ")&amp;IF(LEN(IF(LEN(INDEX('Aides'!$U$4:$U$503,217))=0,"",INDEX('Aides'!$U$4:$U$503,217)))=0,"","Owner: "&amp;IF(LEN(INDEX('Aides'!$U$4:$U$503,217))=0,"",INDEX('Aides'!$U$4:$U$503,217))&amp;". ")&amp;IF(LEN(IF(LEN(INDEX('Aides'!$X$4:$X$503,217))=0,"",INDEX('Aides'!$X$4:$X$503,217)))=0,"",IF(LEN(INDEX('Aides'!$X$4:$X$503,217))=0,"",INDEX('Aides'!$X$4:$X$503,217))))</f>
        <v/>
      </c>
      <c r="I220">
        <f>IF(LEN(INDEX('Aides'!$W$4:$W$503,217))=0,"",INDEX('Aides'!$W$4:$W$503,217))</f>
        <v/>
      </c>
      <c r="J220">
        <f>IF(LEN(INDEX('Aides'!$V$4:$V$503,217))=0,"",INDEX('Aides'!$V$4:$V$503,217))</f>
        <v/>
      </c>
    </row>
    <row r="221">
      <c r="A221">
        <f>IF(AND(LEN('Aides'!A221)&gt;0,ISNUMBER('Aides'!I221)),1,0)</f>
        <v/>
      </c>
      <c r="B221">
        <f>B220+A221</f>
        <v/>
      </c>
      <c r="C221">
        <f>IF(218&gt;$B$1503,"",MATCH(218-0.5,$B$3:$B$1503,1))</f>
        <v/>
      </c>
      <c r="D221">
        <f>"CNA certification ("&amp;IF(LEN(INDEX('Aides'!$C$4:$C$503,218))=0,"",INDEX('Aides'!$C$4:$C$503,218))&amp;") – "&amp;IF(LEN(INDEX('Aides'!$A$4:$A$503,218))=0,"",INDEX('Aides'!$A$4:$A$503,218))</f>
        <v/>
      </c>
      <c r="E221">
        <f>IF(ISNUMBER(INDEX('Aides'!$I$4:$I$503,218)),TEXT(INDEX('Aides'!$I$4:$I$503,218),"yyyy-mm-dd"),"")</f>
        <v/>
      </c>
      <c r="F221">
        <f>"Certification"</f>
        <v/>
      </c>
      <c r="G221">
        <f>"High"</f>
        <v/>
      </c>
      <c r="H221">
        <f>TRIM(IF(LEN(IF(LEN(INDEX('Aides'!$D$4:$D$503,218))=0,"",INDEX('Aides'!$D$4:$D$503,218)))=0,"","Registry no.: "&amp;IF(LEN(INDEX('Aides'!$D$4:$D$503,218))=0,"",INDEX('Aides'!$D$4:$D$503,218))&amp;". ")&amp;IF(LEN(IF(ISNUMBER(INDEX('Aides'!$F$4:$F$503,218)),TEXT(INDEX('Aides'!$F$4:$F$503,218),"yyyy-mm-dd"),""))=0,"","Registry expiry: "&amp;IF(ISNUMBER(INDEX('Aides'!$F$4:$F$503,218)),TEXT(INDEX('Aides'!$F$4:$F$503,218),"yyyy-mm-dd"),"")&amp;". ")&amp;IF(LEN(IF(ISNUMBER(INDEX('Aides'!$G$4:$G$503,218)),TEXT(INDEX('Aides'!$G$4:$G$503,218),"yyyy-mm-dd"),""))=0,"","Last paid nursing work: "&amp;IF(ISNUMBER(INDEX('Aides'!$G$4:$G$503,218)),TEXT(INDEX('Aides'!$G$4:$G$503,218),"yyyy-mm-dd"),"")&amp;". ")&amp;IF(LEN(IF(ISNUMBER(INDEX('Aides'!$H$4:$H$503,218)),TEXT(INDEX('Aides'!$H$4:$H$503,218),"yyyy-mm-dd"),""))=0,"","24-month cut-off: "&amp;IF(ISNUMBER(INDEX('Aides'!$H$4:$H$503,218)),TEXT(INDEX('Aides'!$H$4:$H$503,218),"yyyy-mm-dd"),"")&amp;". ")&amp;IF(LEN(IF(LEN(INDEX('Aides'!$U$4:$U$503,218))=0,"",INDEX('Aides'!$U$4:$U$503,218)))=0,"","Owner: "&amp;IF(LEN(INDEX('Aides'!$U$4:$U$503,218))=0,"",INDEX('Aides'!$U$4:$U$503,218))&amp;". ")&amp;IF(LEN(IF(LEN(INDEX('Aides'!$X$4:$X$503,218))=0,"",INDEX('Aides'!$X$4:$X$503,218)))=0,"",IF(LEN(INDEX('Aides'!$X$4:$X$503,218))=0,"",INDEX('Aides'!$X$4:$X$503,218))))</f>
        <v/>
      </c>
      <c r="I221">
        <f>IF(LEN(INDEX('Aides'!$W$4:$W$503,218))=0,"",INDEX('Aides'!$W$4:$W$503,218))</f>
        <v/>
      </c>
      <c r="J221">
        <f>IF(LEN(INDEX('Aides'!$V$4:$V$503,218))=0,"",INDEX('Aides'!$V$4:$V$503,218))</f>
        <v/>
      </c>
    </row>
    <row r="222">
      <c r="A222">
        <f>IF(AND(LEN('Aides'!A222)&gt;0,ISNUMBER('Aides'!I222)),1,0)</f>
        <v/>
      </c>
      <c r="B222">
        <f>B221+A222</f>
        <v/>
      </c>
      <c r="C222">
        <f>IF(219&gt;$B$1503,"",MATCH(219-0.5,$B$3:$B$1503,1))</f>
        <v/>
      </c>
      <c r="D222">
        <f>"CNA certification ("&amp;IF(LEN(INDEX('Aides'!$C$4:$C$503,219))=0,"",INDEX('Aides'!$C$4:$C$503,219))&amp;") – "&amp;IF(LEN(INDEX('Aides'!$A$4:$A$503,219))=0,"",INDEX('Aides'!$A$4:$A$503,219))</f>
        <v/>
      </c>
      <c r="E222">
        <f>IF(ISNUMBER(INDEX('Aides'!$I$4:$I$503,219)),TEXT(INDEX('Aides'!$I$4:$I$503,219),"yyyy-mm-dd"),"")</f>
        <v/>
      </c>
      <c r="F222">
        <f>"Certification"</f>
        <v/>
      </c>
      <c r="G222">
        <f>"High"</f>
        <v/>
      </c>
      <c r="H222">
        <f>TRIM(IF(LEN(IF(LEN(INDEX('Aides'!$D$4:$D$503,219))=0,"",INDEX('Aides'!$D$4:$D$503,219)))=0,"","Registry no.: "&amp;IF(LEN(INDEX('Aides'!$D$4:$D$503,219))=0,"",INDEX('Aides'!$D$4:$D$503,219))&amp;". ")&amp;IF(LEN(IF(ISNUMBER(INDEX('Aides'!$F$4:$F$503,219)),TEXT(INDEX('Aides'!$F$4:$F$503,219),"yyyy-mm-dd"),""))=0,"","Registry expiry: "&amp;IF(ISNUMBER(INDEX('Aides'!$F$4:$F$503,219)),TEXT(INDEX('Aides'!$F$4:$F$503,219),"yyyy-mm-dd"),"")&amp;". ")&amp;IF(LEN(IF(ISNUMBER(INDEX('Aides'!$G$4:$G$503,219)),TEXT(INDEX('Aides'!$G$4:$G$503,219),"yyyy-mm-dd"),""))=0,"","Last paid nursing work: "&amp;IF(ISNUMBER(INDEX('Aides'!$G$4:$G$503,219)),TEXT(INDEX('Aides'!$G$4:$G$503,219),"yyyy-mm-dd"),"")&amp;". ")&amp;IF(LEN(IF(ISNUMBER(INDEX('Aides'!$H$4:$H$503,219)),TEXT(INDEX('Aides'!$H$4:$H$503,219),"yyyy-mm-dd"),""))=0,"","24-month cut-off: "&amp;IF(ISNUMBER(INDEX('Aides'!$H$4:$H$503,219)),TEXT(INDEX('Aides'!$H$4:$H$503,219),"yyyy-mm-dd"),"")&amp;". ")&amp;IF(LEN(IF(LEN(INDEX('Aides'!$U$4:$U$503,219))=0,"",INDEX('Aides'!$U$4:$U$503,219)))=0,"","Owner: "&amp;IF(LEN(INDEX('Aides'!$U$4:$U$503,219))=0,"",INDEX('Aides'!$U$4:$U$503,219))&amp;". ")&amp;IF(LEN(IF(LEN(INDEX('Aides'!$X$4:$X$503,219))=0,"",INDEX('Aides'!$X$4:$X$503,219)))=0,"",IF(LEN(INDEX('Aides'!$X$4:$X$503,219))=0,"",INDEX('Aides'!$X$4:$X$503,219))))</f>
        <v/>
      </c>
      <c r="I222">
        <f>IF(LEN(INDEX('Aides'!$W$4:$W$503,219))=0,"",INDEX('Aides'!$W$4:$W$503,219))</f>
        <v/>
      </c>
      <c r="J222">
        <f>IF(LEN(INDEX('Aides'!$V$4:$V$503,219))=0,"",INDEX('Aides'!$V$4:$V$503,219))</f>
        <v/>
      </c>
    </row>
    <row r="223">
      <c r="A223">
        <f>IF(AND(LEN('Aides'!A223)&gt;0,ISNUMBER('Aides'!I223)),1,0)</f>
        <v/>
      </c>
      <c r="B223">
        <f>B222+A223</f>
        <v/>
      </c>
      <c r="C223">
        <f>IF(220&gt;$B$1503,"",MATCH(220-0.5,$B$3:$B$1503,1))</f>
        <v/>
      </c>
      <c r="D223">
        <f>"CNA certification ("&amp;IF(LEN(INDEX('Aides'!$C$4:$C$503,220))=0,"",INDEX('Aides'!$C$4:$C$503,220))&amp;") – "&amp;IF(LEN(INDEX('Aides'!$A$4:$A$503,220))=0,"",INDEX('Aides'!$A$4:$A$503,220))</f>
        <v/>
      </c>
      <c r="E223">
        <f>IF(ISNUMBER(INDEX('Aides'!$I$4:$I$503,220)),TEXT(INDEX('Aides'!$I$4:$I$503,220),"yyyy-mm-dd"),"")</f>
        <v/>
      </c>
      <c r="F223">
        <f>"Certification"</f>
        <v/>
      </c>
      <c r="G223">
        <f>"High"</f>
        <v/>
      </c>
      <c r="H223">
        <f>TRIM(IF(LEN(IF(LEN(INDEX('Aides'!$D$4:$D$503,220))=0,"",INDEX('Aides'!$D$4:$D$503,220)))=0,"","Registry no.: "&amp;IF(LEN(INDEX('Aides'!$D$4:$D$503,220))=0,"",INDEX('Aides'!$D$4:$D$503,220))&amp;". ")&amp;IF(LEN(IF(ISNUMBER(INDEX('Aides'!$F$4:$F$503,220)),TEXT(INDEX('Aides'!$F$4:$F$503,220),"yyyy-mm-dd"),""))=0,"","Registry expiry: "&amp;IF(ISNUMBER(INDEX('Aides'!$F$4:$F$503,220)),TEXT(INDEX('Aides'!$F$4:$F$503,220),"yyyy-mm-dd"),"")&amp;". ")&amp;IF(LEN(IF(ISNUMBER(INDEX('Aides'!$G$4:$G$503,220)),TEXT(INDEX('Aides'!$G$4:$G$503,220),"yyyy-mm-dd"),""))=0,"","Last paid nursing work: "&amp;IF(ISNUMBER(INDEX('Aides'!$G$4:$G$503,220)),TEXT(INDEX('Aides'!$G$4:$G$503,220),"yyyy-mm-dd"),"")&amp;". ")&amp;IF(LEN(IF(ISNUMBER(INDEX('Aides'!$H$4:$H$503,220)),TEXT(INDEX('Aides'!$H$4:$H$503,220),"yyyy-mm-dd"),""))=0,"","24-month cut-off: "&amp;IF(ISNUMBER(INDEX('Aides'!$H$4:$H$503,220)),TEXT(INDEX('Aides'!$H$4:$H$503,220),"yyyy-mm-dd"),"")&amp;". ")&amp;IF(LEN(IF(LEN(INDEX('Aides'!$U$4:$U$503,220))=0,"",INDEX('Aides'!$U$4:$U$503,220)))=0,"","Owner: "&amp;IF(LEN(INDEX('Aides'!$U$4:$U$503,220))=0,"",INDEX('Aides'!$U$4:$U$503,220))&amp;". ")&amp;IF(LEN(IF(LEN(INDEX('Aides'!$X$4:$X$503,220))=0,"",INDEX('Aides'!$X$4:$X$503,220)))=0,"",IF(LEN(INDEX('Aides'!$X$4:$X$503,220))=0,"",INDEX('Aides'!$X$4:$X$503,220))))</f>
        <v/>
      </c>
      <c r="I223">
        <f>IF(LEN(INDEX('Aides'!$W$4:$W$503,220))=0,"",INDEX('Aides'!$W$4:$W$503,220))</f>
        <v/>
      </c>
      <c r="J223">
        <f>IF(LEN(INDEX('Aides'!$V$4:$V$503,220))=0,"",INDEX('Aides'!$V$4:$V$503,220))</f>
        <v/>
      </c>
    </row>
    <row r="224">
      <c r="A224">
        <f>IF(AND(LEN('Aides'!A224)&gt;0,ISNUMBER('Aides'!I224)),1,0)</f>
        <v/>
      </c>
      <c r="B224">
        <f>B223+A224</f>
        <v/>
      </c>
      <c r="C224">
        <f>IF(221&gt;$B$1503,"",MATCH(221-0.5,$B$3:$B$1503,1))</f>
        <v/>
      </c>
      <c r="D224">
        <f>"CNA certification ("&amp;IF(LEN(INDEX('Aides'!$C$4:$C$503,221))=0,"",INDEX('Aides'!$C$4:$C$503,221))&amp;") – "&amp;IF(LEN(INDEX('Aides'!$A$4:$A$503,221))=0,"",INDEX('Aides'!$A$4:$A$503,221))</f>
        <v/>
      </c>
      <c r="E224">
        <f>IF(ISNUMBER(INDEX('Aides'!$I$4:$I$503,221)),TEXT(INDEX('Aides'!$I$4:$I$503,221),"yyyy-mm-dd"),"")</f>
        <v/>
      </c>
      <c r="F224">
        <f>"Certification"</f>
        <v/>
      </c>
      <c r="G224">
        <f>"High"</f>
        <v/>
      </c>
      <c r="H224">
        <f>TRIM(IF(LEN(IF(LEN(INDEX('Aides'!$D$4:$D$503,221))=0,"",INDEX('Aides'!$D$4:$D$503,221)))=0,"","Registry no.: "&amp;IF(LEN(INDEX('Aides'!$D$4:$D$503,221))=0,"",INDEX('Aides'!$D$4:$D$503,221))&amp;". ")&amp;IF(LEN(IF(ISNUMBER(INDEX('Aides'!$F$4:$F$503,221)),TEXT(INDEX('Aides'!$F$4:$F$503,221),"yyyy-mm-dd"),""))=0,"","Registry expiry: "&amp;IF(ISNUMBER(INDEX('Aides'!$F$4:$F$503,221)),TEXT(INDEX('Aides'!$F$4:$F$503,221),"yyyy-mm-dd"),"")&amp;". ")&amp;IF(LEN(IF(ISNUMBER(INDEX('Aides'!$G$4:$G$503,221)),TEXT(INDEX('Aides'!$G$4:$G$503,221),"yyyy-mm-dd"),""))=0,"","Last paid nursing work: "&amp;IF(ISNUMBER(INDEX('Aides'!$G$4:$G$503,221)),TEXT(INDEX('Aides'!$G$4:$G$503,221),"yyyy-mm-dd"),"")&amp;". ")&amp;IF(LEN(IF(ISNUMBER(INDEX('Aides'!$H$4:$H$503,221)),TEXT(INDEX('Aides'!$H$4:$H$503,221),"yyyy-mm-dd"),""))=0,"","24-month cut-off: "&amp;IF(ISNUMBER(INDEX('Aides'!$H$4:$H$503,221)),TEXT(INDEX('Aides'!$H$4:$H$503,221),"yyyy-mm-dd"),"")&amp;". ")&amp;IF(LEN(IF(LEN(INDEX('Aides'!$U$4:$U$503,221))=0,"",INDEX('Aides'!$U$4:$U$503,221)))=0,"","Owner: "&amp;IF(LEN(INDEX('Aides'!$U$4:$U$503,221))=0,"",INDEX('Aides'!$U$4:$U$503,221))&amp;". ")&amp;IF(LEN(IF(LEN(INDEX('Aides'!$X$4:$X$503,221))=0,"",INDEX('Aides'!$X$4:$X$503,221)))=0,"",IF(LEN(INDEX('Aides'!$X$4:$X$503,221))=0,"",INDEX('Aides'!$X$4:$X$503,221))))</f>
        <v/>
      </c>
      <c r="I224">
        <f>IF(LEN(INDEX('Aides'!$W$4:$W$503,221))=0,"",INDEX('Aides'!$W$4:$W$503,221))</f>
        <v/>
      </c>
      <c r="J224">
        <f>IF(LEN(INDEX('Aides'!$V$4:$V$503,221))=0,"",INDEX('Aides'!$V$4:$V$503,221))</f>
        <v/>
      </c>
    </row>
    <row r="225">
      <c r="A225">
        <f>IF(AND(LEN('Aides'!A225)&gt;0,ISNUMBER('Aides'!I225)),1,0)</f>
        <v/>
      </c>
      <c r="B225">
        <f>B224+A225</f>
        <v/>
      </c>
      <c r="C225">
        <f>IF(222&gt;$B$1503,"",MATCH(222-0.5,$B$3:$B$1503,1))</f>
        <v/>
      </c>
      <c r="D225">
        <f>"CNA certification ("&amp;IF(LEN(INDEX('Aides'!$C$4:$C$503,222))=0,"",INDEX('Aides'!$C$4:$C$503,222))&amp;") – "&amp;IF(LEN(INDEX('Aides'!$A$4:$A$503,222))=0,"",INDEX('Aides'!$A$4:$A$503,222))</f>
        <v/>
      </c>
      <c r="E225">
        <f>IF(ISNUMBER(INDEX('Aides'!$I$4:$I$503,222)),TEXT(INDEX('Aides'!$I$4:$I$503,222),"yyyy-mm-dd"),"")</f>
        <v/>
      </c>
      <c r="F225">
        <f>"Certification"</f>
        <v/>
      </c>
      <c r="G225">
        <f>"High"</f>
        <v/>
      </c>
      <c r="H225">
        <f>TRIM(IF(LEN(IF(LEN(INDEX('Aides'!$D$4:$D$503,222))=0,"",INDEX('Aides'!$D$4:$D$503,222)))=0,"","Registry no.: "&amp;IF(LEN(INDEX('Aides'!$D$4:$D$503,222))=0,"",INDEX('Aides'!$D$4:$D$503,222))&amp;". ")&amp;IF(LEN(IF(ISNUMBER(INDEX('Aides'!$F$4:$F$503,222)),TEXT(INDEX('Aides'!$F$4:$F$503,222),"yyyy-mm-dd"),""))=0,"","Registry expiry: "&amp;IF(ISNUMBER(INDEX('Aides'!$F$4:$F$503,222)),TEXT(INDEX('Aides'!$F$4:$F$503,222),"yyyy-mm-dd"),"")&amp;". ")&amp;IF(LEN(IF(ISNUMBER(INDEX('Aides'!$G$4:$G$503,222)),TEXT(INDEX('Aides'!$G$4:$G$503,222),"yyyy-mm-dd"),""))=0,"","Last paid nursing work: "&amp;IF(ISNUMBER(INDEX('Aides'!$G$4:$G$503,222)),TEXT(INDEX('Aides'!$G$4:$G$503,222),"yyyy-mm-dd"),"")&amp;". ")&amp;IF(LEN(IF(ISNUMBER(INDEX('Aides'!$H$4:$H$503,222)),TEXT(INDEX('Aides'!$H$4:$H$503,222),"yyyy-mm-dd"),""))=0,"","24-month cut-off: "&amp;IF(ISNUMBER(INDEX('Aides'!$H$4:$H$503,222)),TEXT(INDEX('Aides'!$H$4:$H$503,222),"yyyy-mm-dd"),"")&amp;". ")&amp;IF(LEN(IF(LEN(INDEX('Aides'!$U$4:$U$503,222))=0,"",INDEX('Aides'!$U$4:$U$503,222)))=0,"","Owner: "&amp;IF(LEN(INDEX('Aides'!$U$4:$U$503,222))=0,"",INDEX('Aides'!$U$4:$U$503,222))&amp;". ")&amp;IF(LEN(IF(LEN(INDEX('Aides'!$X$4:$X$503,222))=0,"",INDEX('Aides'!$X$4:$X$503,222)))=0,"",IF(LEN(INDEX('Aides'!$X$4:$X$503,222))=0,"",INDEX('Aides'!$X$4:$X$503,222))))</f>
        <v/>
      </c>
      <c r="I225">
        <f>IF(LEN(INDEX('Aides'!$W$4:$W$503,222))=0,"",INDEX('Aides'!$W$4:$W$503,222))</f>
        <v/>
      </c>
      <c r="J225">
        <f>IF(LEN(INDEX('Aides'!$V$4:$V$503,222))=0,"",INDEX('Aides'!$V$4:$V$503,222))</f>
        <v/>
      </c>
    </row>
    <row r="226">
      <c r="A226">
        <f>IF(AND(LEN('Aides'!A226)&gt;0,ISNUMBER('Aides'!I226)),1,0)</f>
        <v/>
      </c>
      <c r="B226">
        <f>B225+A226</f>
        <v/>
      </c>
      <c r="C226">
        <f>IF(223&gt;$B$1503,"",MATCH(223-0.5,$B$3:$B$1503,1))</f>
        <v/>
      </c>
      <c r="D226">
        <f>"CNA certification ("&amp;IF(LEN(INDEX('Aides'!$C$4:$C$503,223))=0,"",INDEX('Aides'!$C$4:$C$503,223))&amp;") – "&amp;IF(LEN(INDEX('Aides'!$A$4:$A$503,223))=0,"",INDEX('Aides'!$A$4:$A$503,223))</f>
        <v/>
      </c>
      <c r="E226">
        <f>IF(ISNUMBER(INDEX('Aides'!$I$4:$I$503,223)),TEXT(INDEX('Aides'!$I$4:$I$503,223),"yyyy-mm-dd"),"")</f>
        <v/>
      </c>
      <c r="F226">
        <f>"Certification"</f>
        <v/>
      </c>
      <c r="G226">
        <f>"High"</f>
        <v/>
      </c>
      <c r="H226">
        <f>TRIM(IF(LEN(IF(LEN(INDEX('Aides'!$D$4:$D$503,223))=0,"",INDEX('Aides'!$D$4:$D$503,223)))=0,"","Registry no.: "&amp;IF(LEN(INDEX('Aides'!$D$4:$D$503,223))=0,"",INDEX('Aides'!$D$4:$D$503,223))&amp;". ")&amp;IF(LEN(IF(ISNUMBER(INDEX('Aides'!$F$4:$F$503,223)),TEXT(INDEX('Aides'!$F$4:$F$503,223),"yyyy-mm-dd"),""))=0,"","Registry expiry: "&amp;IF(ISNUMBER(INDEX('Aides'!$F$4:$F$503,223)),TEXT(INDEX('Aides'!$F$4:$F$503,223),"yyyy-mm-dd"),"")&amp;". ")&amp;IF(LEN(IF(ISNUMBER(INDEX('Aides'!$G$4:$G$503,223)),TEXT(INDEX('Aides'!$G$4:$G$503,223),"yyyy-mm-dd"),""))=0,"","Last paid nursing work: "&amp;IF(ISNUMBER(INDEX('Aides'!$G$4:$G$503,223)),TEXT(INDEX('Aides'!$G$4:$G$503,223),"yyyy-mm-dd"),"")&amp;". ")&amp;IF(LEN(IF(ISNUMBER(INDEX('Aides'!$H$4:$H$503,223)),TEXT(INDEX('Aides'!$H$4:$H$503,223),"yyyy-mm-dd"),""))=0,"","24-month cut-off: "&amp;IF(ISNUMBER(INDEX('Aides'!$H$4:$H$503,223)),TEXT(INDEX('Aides'!$H$4:$H$503,223),"yyyy-mm-dd"),"")&amp;". ")&amp;IF(LEN(IF(LEN(INDEX('Aides'!$U$4:$U$503,223))=0,"",INDEX('Aides'!$U$4:$U$503,223)))=0,"","Owner: "&amp;IF(LEN(INDEX('Aides'!$U$4:$U$503,223))=0,"",INDEX('Aides'!$U$4:$U$503,223))&amp;". ")&amp;IF(LEN(IF(LEN(INDEX('Aides'!$X$4:$X$503,223))=0,"",INDEX('Aides'!$X$4:$X$503,223)))=0,"",IF(LEN(INDEX('Aides'!$X$4:$X$503,223))=0,"",INDEX('Aides'!$X$4:$X$503,223))))</f>
        <v/>
      </c>
      <c r="I226">
        <f>IF(LEN(INDEX('Aides'!$W$4:$W$503,223))=0,"",INDEX('Aides'!$W$4:$W$503,223))</f>
        <v/>
      </c>
      <c r="J226">
        <f>IF(LEN(INDEX('Aides'!$V$4:$V$503,223))=0,"",INDEX('Aides'!$V$4:$V$503,223))</f>
        <v/>
      </c>
    </row>
    <row r="227">
      <c r="A227">
        <f>IF(AND(LEN('Aides'!A227)&gt;0,ISNUMBER('Aides'!I227)),1,0)</f>
        <v/>
      </c>
      <c r="B227">
        <f>B226+A227</f>
        <v/>
      </c>
      <c r="C227">
        <f>IF(224&gt;$B$1503,"",MATCH(224-0.5,$B$3:$B$1503,1))</f>
        <v/>
      </c>
      <c r="D227">
        <f>"CNA certification ("&amp;IF(LEN(INDEX('Aides'!$C$4:$C$503,224))=0,"",INDEX('Aides'!$C$4:$C$503,224))&amp;") – "&amp;IF(LEN(INDEX('Aides'!$A$4:$A$503,224))=0,"",INDEX('Aides'!$A$4:$A$503,224))</f>
        <v/>
      </c>
      <c r="E227">
        <f>IF(ISNUMBER(INDEX('Aides'!$I$4:$I$503,224)),TEXT(INDEX('Aides'!$I$4:$I$503,224),"yyyy-mm-dd"),"")</f>
        <v/>
      </c>
      <c r="F227">
        <f>"Certification"</f>
        <v/>
      </c>
      <c r="G227">
        <f>"High"</f>
        <v/>
      </c>
      <c r="H227">
        <f>TRIM(IF(LEN(IF(LEN(INDEX('Aides'!$D$4:$D$503,224))=0,"",INDEX('Aides'!$D$4:$D$503,224)))=0,"","Registry no.: "&amp;IF(LEN(INDEX('Aides'!$D$4:$D$503,224))=0,"",INDEX('Aides'!$D$4:$D$503,224))&amp;". ")&amp;IF(LEN(IF(ISNUMBER(INDEX('Aides'!$F$4:$F$503,224)),TEXT(INDEX('Aides'!$F$4:$F$503,224),"yyyy-mm-dd"),""))=0,"","Registry expiry: "&amp;IF(ISNUMBER(INDEX('Aides'!$F$4:$F$503,224)),TEXT(INDEX('Aides'!$F$4:$F$503,224),"yyyy-mm-dd"),"")&amp;". ")&amp;IF(LEN(IF(ISNUMBER(INDEX('Aides'!$G$4:$G$503,224)),TEXT(INDEX('Aides'!$G$4:$G$503,224),"yyyy-mm-dd"),""))=0,"","Last paid nursing work: "&amp;IF(ISNUMBER(INDEX('Aides'!$G$4:$G$503,224)),TEXT(INDEX('Aides'!$G$4:$G$503,224),"yyyy-mm-dd"),"")&amp;". ")&amp;IF(LEN(IF(ISNUMBER(INDEX('Aides'!$H$4:$H$503,224)),TEXT(INDEX('Aides'!$H$4:$H$503,224),"yyyy-mm-dd"),""))=0,"","24-month cut-off: "&amp;IF(ISNUMBER(INDEX('Aides'!$H$4:$H$503,224)),TEXT(INDEX('Aides'!$H$4:$H$503,224),"yyyy-mm-dd"),"")&amp;". ")&amp;IF(LEN(IF(LEN(INDEX('Aides'!$U$4:$U$503,224))=0,"",INDEX('Aides'!$U$4:$U$503,224)))=0,"","Owner: "&amp;IF(LEN(INDEX('Aides'!$U$4:$U$503,224))=0,"",INDEX('Aides'!$U$4:$U$503,224))&amp;". ")&amp;IF(LEN(IF(LEN(INDEX('Aides'!$X$4:$X$503,224))=0,"",INDEX('Aides'!$X$4:$X$503,224)))=0,"",IF(LEN(INDEX('Aides'!$X$4:$X$503,224))=0,"",INDEX('Aides'!$X$4:$X$503,224))))</f>
        <v/>
      </c>
      <c r="I227">
        <f>IF(LEN(INDEX('Aides'!$W$4:$W$503,224))=0,"",INDEX('Aides'!$W$4:$W$503,224))</f>
        <v/>
      </c>
      <c r="J227">
        <f>IF(LEN(INDEX('Aides'!$V$4:$V$503,224))=0,"",INDEX('Aides'!$V$4:$V$503,224))</f>
        <v/>
      </c>
    </row>
    <row r="228">
      <c r="A228">
        <f>IF(AND(LEN('Aides'!A228)&gt;0,ISNUMBER('Aides'!I228)),1,0)</f>
        <v/>
      </c>
      <c r="B228">
        <f>B227+A228</f>
        <v/>
      </c>
      <c r="C228">
        <f>IF(225&gt;$B$1503,"",MATCH(225-0.5,$B$3:$B$1503,1))</f>
        <v/>
      </c>
      <c r="D228">
        <f>"CNA certification ("&amp;IF(LEN(INDEX('Aides'!$C$4:$C$503,225))=0,"",INDEX('Aides'!$C$4:$C$503,225))&amp;") – "&amp;IF(LEN(INDEX('Aides'!$A$4:$A$503,225))=0,"",INDEX('Aides'!$A$4:$A$503,225))</f>
        <v/>
      </c>
      <c r="E228">
        <f>IF(ISNUMBER(INDEX('Aides'!$I$4:$I$503,225)),TEXT(INDEX('Aides'!$I$4:$I$503,225),"yyyy-mm-dd"),"")</f>
        <v/>
      </c>
      <c r="F228">
        <f>"Certification"</f>
        <v/>
      </c>
      <c r="G228">
        <f>"High"</f>
        <v/>
      </c>
      <c r="H228">
        <f>TRIM(IF(LEN(IF(LEN(INDEX('Aides'!$D$4:$D$503,225))=0,"",INDEX('Aides'!$D$4:$D$503,225)))=0,"","Registry no.: "&amp;IF(LEN(INDEX('Aides'!$D$4:$D$503,225))=0,"",INDEX('Aides'!$D$4:$D$503,225))&amp;". ")&amp;IF(LEN(IF(ISNUMBER(INDEX('Aides'!$F$4:$F$503,225)),TEXT(INDEX('Aides'!$F$4:$F$503,225),"yyyy-mm-dd"),""))=0,"","Registry expiry: "&amp;IF(ISNUMBER(INDEX('Aides'!$F$4:$F$503,225)),TEXT(INDEX('Aides'!$F$4:$F$503,225),"yyyy-mm-dd"),"")&amp;". ")&amp;IF(LEN(IF(ISNUMBER(INDEX('Aides'!$G$4:$G$503,225)),TEXT(INDEX('Aides'!$G$4:$G$503,225),"yyyy-mm-dd"),""))=0,"","Last paid nursing work: "&amp;IF(ISNUMBER(INDEX('Aides'!$G$4:$G$503,225)),TEXT(INDEX('Aides'!$G$4:$G$503,225),"yyyy-mm-dd"),"")&amp;". ")&amp;IF(LEN(IF(ISNUMBER(INDEX('Aides'!$H$4:$H$503,225)),TEXT(INDEX('Aides'!$H$4:$H$503,225),"yyyy-mm-dd"),""))=0,"","24-month cut-off: "&amp;IF(ISNUMBER(INDEX('Aides'!$H$4:$H$503,225)),TEXT(INDEX('Aides'!$H$4:$H$503,225),"yyyy-mm-dd"),"")&amp;". ")&amp;IF(LEN(IF(LEN(INDEX('Aides'!$U$4:$U$503,225))=0,"",INDEX('Aides'!$U$4:$U$503,225)))=0,"","Owner: "&amp;IF(LEN(INDEX('Aides'!$U$4:$U$503,225))=0,"",INDEX('Aides'!$U$4:$U$503,225))&amp;". ")&amp;IF(LEN(IF(LEN(INDEX('Aides'!$X$4:$X$503,225))=0,"",INDEX('Aides'!$X$4:$X$503,225)))=0,"",IF(LEN(INDEX('Aides'!$X$4:$X$503,225))=0,"",INDEX('Aides'!$X$4:$X$503,225))))</f>
        <v/>
      </c>
      <c r="I228">
        <f>IF(LEN(INDEX('Aides'!$W$4:$W$503,225))=0,"",INDEX('Aides'!$W$4:$W$503,225))</f>
        <v/>
      </c>
      <c r="J228">
        <f>IF(LEN(INDEX('Aides'!$V$4:$V$503,225))=0,"",INDEX('Aides'!$V$4:$V$503,225))</f>
        <v/>
      </c>
    </row>
    <row r="229">
      <c r="A229">
        <f>IF(AND(LEN('Aides'!A229)&gt;0,ISNUMBER('Aides'!I229)),1,0)</f>
        <v/>
      </c>
      <c r="B229">
        <f>B228+A229</f>
        <v/>
      </c>
      <c r="C229">
        <f>IF(226&gt;$B$1503,"",MATCH(226-0.5,$B$3:$B$1503,1))</f>
        <v/>
      </c>
      <c r="D229">
        <f>"CNA certification ("&amp;IF(LEN(INDEX('Aides'!$C$4:$C$503,226))=0,"",INDEX('Aides'!$C$4:$C$503,226))&amp;") – "&amp;IF(LEN(INDEX('Aides'!$A$4:$A$503,226))=0,"",INDEX('Aides'!$A$4:$A$503,226))</f>
        <v/>
      </c>
      <c r="E229">
        <f>IF(ISNUMBER(INDEX('Aides'!$I$4:$I$503,226)),TEXT(INDEX('Aides'!$I$4:$I$503,226),"yyyy-mm-dd"),"")</f>
        <v/>
      </c>
      <c r="F229">
        <f>"Certification"</f>
        <v/>
      </c>
      <c r="G229">
        <f>"High"</f>
        <v/>
      </c>
      <c r="H229">
        <f>TRIM(IF(LEN(IF(LEN(INDEX('Aides'!$D$4:$D$503,226))=0,"",INDEX('Aides'!$D$4:$D$503,226)))=0,"","Registry no.: "&amp;IF(LEN(INDEX('Aides'!$D$4:$D$503,226))=0,"",INDEX('Aides'!$D$4:$D$503,226))&amp;". ")&amp;IF(LEN(IF(ISNUMBER(INDEX('Aides'!$F$4:$F$503,226)),TEXT(INDEX('Aides'!$F$4:$F$503,226),"yyyy-mm-dd"),""))=0,"","Registry expiry: "&amp;IF(ISNUMBER(INDEX('Aides'!$F$4:$F$503,226)),TEXT(INDEX('Aides'!$F$4:$F$503,226),"yyyy-mm-dd"),"")&amp;". ")&amp;IF(LEN(IF(ISNUMBER(INDEX('Aides'!$G$4:$G$503,226)),TEXT(INDEX('Aides'!$G$4:$G$503,226),"yyyy-mm-dd"),""))=0,"","Last paid nursing work: "&amp;IF(ISNUMBER(INDEX('Aides'!$G$4:$G$503,226)),TEXT(INDEX('Aides'!$G$4:$G$503,226),"yyyy-mm-dd"),"")&amp;". ")&amp;IF(LEN(IF(ISNUMBER(INDEX('Aides'!$H$4:$H$503,226)),TEXT(INDEX('Aides'!$H$4:$H$503,226),"yyyy-mm-dd"),""))=0,"","24-month cut-off: "&amp;IF(ISNUMBER(INDEX('Aides'!$H$4:$H$503,226)),TEXT(INDEX('Aides'!$H$4:$H$503,226),"yyyy-mm-dd"),"")&amp;". ")&amp;IF(LEN(IF(LEN(INDEX('Aides'!$U$4:$U$503,226))=0,"",INDEX('Aides'!$U$4:$U$503,226)))=0,"","Owner: "&amp;IF(LEN(INDEX('Aides'!$U$4:$U$503,226))=0,"",INDEX('Aides'!$U$4:$U$503,226))&amp;". ")&amp;IF(LEN(IF(LEN(INDEX('Aides'!$X$4:$X$503,226))=0,"",INDEX('Aides'!$X$4:$X$503,226)))=0,"",IF(LEN(INDEX('Aides'!$X$4:$X$503,226))=0,"",INDEX('Aides'!$X$4:$X$503,226))))</f>
        <v/>
      </c>
      <c r="I229">
        <f>IF(LEN(INDEX('Aides'!$W$4:$W$503,226))=0,"",INDEX('Aides'!$W$4:$W$503,226))</f>
        <v/>
      </c>
      <c r="J229">
        <f>IF(LEN(INDEX('Aides'!$V$4:$V$503,226))=0,"",INDEX('Aides'!$V$4:$V$503,226))</f>
        <v/>
      </c>
    </row>
    <row r="230">
      <c r="A230">
        <f>IF(AND(LEN('Aides'!A230)&gt;0,ISNUMBER('Aides'!I230)),1,0)</f>
        <v/>
      </c>
      <c r="B230">
        <f>B229+A230</f>
        <v/>
      </c>
      <c r="C230">
        <f>IF(227&gt;$B$1503,"",MATCH(227-0.5,$B$3:$B$1503,1))</f>
        <v/>
      </c>
      <c r="D230">
        <f>"CNA certification ("&amp;IF(LEN(INDEX('Aides'!$C$4:$C$503,227))=0,"",INDEX('Aides'!$C$4:$C$503,227))&amp;") – "&amp;IF(LEN(INDEX('Aides'!$A$4:$A$503,227))=0,"",INDEX('Aides'!$A$4:$A$503,227))</f>
        <v/>
      </c>
      <c r="E230">
        <f>IF(ISNUMBER(INDEX('Aides'!$I$4:$I$503,227)),TEXT(INDEX('Aides'!$I$4:$I$503,227),"yyyy-mm-dd"),"")</f>
        <v/>
      </c>
      <c r="F230">
        <f>"Certification"</f>
        <v/>
      </c>
      <c r="G230">
        <f>"High"</f>
        <v/>
      </c>
      <c r="H230">
        <f>TRIM(IF(LEN(IF(LEN(INDEX('Aides'!$D$4:$D$503,227))=0,"",INDEX('Aides'!$D$4:$D$503,227)))=0,"","Registry no.: "&amp;IF(LEN(INDEX('Aides'!$D$4:$D$503,227))=0,"",INDEX('Aides'!$D$4:$D$503,227))&amp;". ")&amp;IF(LEN(IF(ISNUMBER(INDEX('Aides'!$F$4:$F$503,227)),TEXT(INDEX('Aides'!$F$4:$F$503,227),"yyyy-mm-dd"),""))=0,"","Registry expiry: "&amp;IF(ISNUMBER(INDEX('Aides'!$F$4:$F$503,227)),TEXT(INDEX('Aides'!$F$4:$F$503,227),"yyyy-mm-dd"),"")&amp;". ")&amp;IF(LEN(IF(ISNUMBER(INDEX('Aides'!$G$4:$G$503,227)),TEXT(INDEX('Aides'!$G$4:$G$503,227),"yyyy-mm-dd"),""))=0,"","Last paid nursing work: "&amp;IF(ISNUMBER(INDEX('Aides'!$G$4:$G$503,227)),TEXT(INDEX('Aides'!$G$4:$G$503,227),"yyyy-mm-dd"),"")&amp;". ")&amp;IF(LEN(IF(ISNUMBER(INDEX('Aides'!$H$4:$H$503,227)),TEXT(INDEX('Aides'!$H$4:$H$503,227),"yyyy-mm-dd"),""))=0,"","24-month cut-off: "&amp;IF(ISNUMBER(INDEX('Aides'!$H$4:$H$503,227)),TEXT(INDEX('Aides'!$H$4:$H$503,227),"yyyy-mm-dd"),"")&amp;". ")&amp;IF(LEN(IF(LEN(INDEX('Aides'!$U$4:$U$503,227))=0,"",INDEX('Aides'!$U$4:$U$503,227)))=0,"","Owner: "&amp;IF(LEN(INDEX('Aides'!$U$4:$U$503,227))=0,"",INDEX('Aides'!$U$4:$U$503,227))&amp;". ")&amp;IF(LEN(IF(LEN(INDEX('Aides'!$X$4:$X$503,227))=0,"",INDEX('Aides'!$X$4:$X$503,227)))=0,"",IF(LEN(INDEX('Aides'!$X$4:$X$503,227))=0,"",INDEX('Aides'!$X$4:$X$503,227))))</f>
        <v/>
      </c>
      <c r="I230">
        <f>IF(LEN(INDEX('Aides'!$W$4:$W$503,227))=0,"",INDEX('Aides'!$W$4:$W$503,227))</f>
        <v/>
      </c>
      <c r="J230">
        <f>IF(LEN(INDEX('Aides'!$V$4:$V$503,227))=0,"",INDEX('Aides'!$V$4:$V$503,227))</f>
        <v/>
      </c>
    </row>
    <row r="231">
      <c r="A231">
        <f>IF(AND(LEN('Aides'!A231)&gt;0,ISNUMBER('Aides'!I231)),1,0)</f>
        <v/>
      </c>
      <c r="B231">
        <f>B230+A231</f>
        <v/>
      </c>
      <c r="C231">
        <f>IF(228&gt;$B$1503,"",MATCH(228-0.5,$B$3:$B$1503,1))</f>
        <v/>
      </c>
      <c r="D231">
        <f>"CNA certification ("&amp;IF(LEN(INDEX('Aides'!$C$4:$C$503,228))=0,"",INDEX('Aides'!$C$4:$C$503,228))&amp;") – "&amp;IF(LEN(INDEX('Aides'!$A$4:$A$503,228))=0,"",INDEX('Aides'!$A$4:$A$503,228))</f>
        <v/>
      </c>
      <c r="E231">
        <f>IF(ISNUMBER(INDEX('Aides'!$I$4:$I$503,228)),TEXT(INDEX('Aides'!$I$4:$I$503,228),"yyyy-mm-dd"),"")</f>
        <v/>
      </c>
      <c r="F231">
        <f>"Certification"</f>
        <v/>
      </c>
      <c r="G231">
        <f>"High"</f>
        <v/>
      </c>
      <c r="H231">
        <f>TRIM(IF(LEN(IF(LEN(INDEX('Aides'!$D$4:$D$503,228))=0,"",INDEX('Aides'!$D$4:$D$503,228)))=0,"","Registry no.: "&amp;IF(LEN(INDEX('Aides'!$D$4:$D$503,228))=0,"",INDEX('Aides'!$D$4:$D$503,228))&amp;". ")&amp;IF(LEN(IF(ISNUMBER(INDEX('Aides'!$F$4:$F$503,228)),TEXT(INDEX('Aides'!$F$4:$F$503,228),"yyyy-mm-dd"),""))=0,"","Registry expiry: "&amp;IF(ISNUMBER(INDEX('Aides'!$F$4:$F$503,228)),TEXT(INDEX('Aides'!$F$4:$F$503,228),"yyyy-mm-dd"),"")&amp;". ")&amp;IF(LEN(IF(ISNUMBER(INDEX('Aides'!$G$4:$G$503,228)),TEXT(INDEX('Aides'!$G$4:$G$503,228),"yyyy-mm-dd"),""))=0,"","Last paid nursing work: "&amp;IF(ISNUMBER(INDEX('Aides'!$G$4:$G$503,228)),TEXT(INDEX('Aides'!$G$4:$G$503,228),"yyyy-mm-dd"),"")&amp;". ")&amp;IF(LEN(IF(ISNUMBER(INDEX('Aides'!$H$4:$H$503,228)),TEXT(INDEX('Aides'!$H$4:$H$503,228),"yyyy-mm-dd"),""))=0,"","24-month cut-off: "&amp;IF(ISNUMBER(INDEX('Aides'!$H$4:$H$503,228)),TEXT(INDEX('Aides'!$H$4:$H$503,228),"yyyy-mm-dd"),"")&amp;". ")&amp;IF(LEN(IF(LEN(INDEX('Aides'!$U$4:$U$503,228))=0,"",INDEX('Aides'!$U$4:$U$503,228)))=0,"","Owner: "&amp;IF(LEN(INDEX('Aides'!$U$4:$U$503,228))=0,"",INDEX('Aides'!$U$4:$U$503,228))&amp;". ")&amp;IF(LEN(IF(LEN(INDEX('Aides'!$X$4:$X$503,228))=0,"",INDEX('Aides'!$X$4:$X$503,228)))=0,"",IF(LEN(INDEX('Aides'!$X$4:$X$503,228))=0,"",INDEX('Aides'!$X$4:$X$503,228))))</f>
        <v/>
      </c>
      <c r="I231">
        <f>IF(LEN(INDEX('Aides'!$W$4:$W$503,228))=0,"",INDEX('Aides'!$W$4:$W$503,228))</f>
        <v/>
      </c>
      <c r="J231">
        <f>IF(LEN(INDEX('Aides'!$V$4:$V$503,228))=0,"",INDEX('Aides'!$V$4:$V$503,228))</f>
        <v/>
      </c>
    </row>
    <row r="232">
      <c r="A232">
        <f>IF(AND(LEN('Aides'!A232)&gt;0,ISNUMBER('Aides'!I232)),1,0)</f>
        <v/>
      </c>
      <c r="B232">
        <f>B231+A232</f>
        <v/>
      </c>
      <c r="C232">
        <f>IF(229&gt;$B$1503,"",MATCH(229-0.5,$B$3:$B$1503,1))</f>
        <v/>
      </c>
      <c r="D232">
        <f>"CNA certification ("&amp;IF(LEN(INDEX('Aides'!$C$4:$C$503,229))=0,"",INDEX('Aides'!$C$4:$C$503,229))&amp;") – "&amp;IF(LEN(INDEX('Aides'!$A$4:$A$503,229))=0,"",INDEX('Aides'!$A$4:$A$503,229))</f>
        <v/>
      </c>
      <c r="E232">
        <f>IF(ISNUMBER(INDEX('Aides'!$I$4:$I$503,229)),TEXT(INDEX('Aides'!$I$4:$I$503,229),"yyyy-mm-dd"),"")</f>
        <v/>
      </c>
      <c r="F232">
        <f>"Certification"</f>
        <v/>
      </c>
      <c r="G232">
        <f>"High"</f>
        <v/>
      </c>
      <c r="H232">
        <f>TRIM(IF(LEN(IF(LEN(INDEX('Aides'!$D$4:$D$503,229))=0,"",INDEX('Aides'!$D$4:$D$503,229)))=0,"","Registry no.: "&amp;IF(LEN(INDEX('Aides'!$D$4:$D$503,229))=0,"",INDEX('Aides'!$D$4:$D$503,229))&amp;". ")&amp;IF(LEN(IF(ISNUMBER(INDEX('Aides'!$F$4:$F$503,229)),TEXT(INDEX('Aides'!$F$4:$F$503,229),"yyyy-mm-dd"),""))=0,"","Registry expiry: "&amp;IF(ISNUMBER(INDEX('Aides'!$F$4:$F$503,229)),TEXT(INDEX('Aides'!$F$4:$F$503,229),"yyyy-mm-dd"),"")&amp;". ")&amp;IF(LEN(IF(ISNUMBER(INDEX('Aides'!$G$4:$G$503,229)),TEXT(INDEX('Aides'!$G$4:$G$503,229),"yyyy-mm-dd"),""))=0,"","Last paid nursing work: "&amp;IF(ISNUMBER(INDEX('Aides'!$G$4:$G$503,229)),TEXT(INDEX('Aides'!$G$4:$G$503,229),"yyyy-mm-dd"),"")&amp;". ")&amp;IF(LEN(IF(ISNUMBER(INDEX('Aides'!$H$4:$H$503,229)),TEXT(INDEX('Aides'!$H$4:$H$503,229),"yyyy-mm-dd"),""))=0,"","24-month cut-off: "&amp;IF(ISNUMBER(INDEX('Aides'!$H$4:$H$503,229)),TEXT(INDEX('Aides'!$H$4:$H$503,229),"yyyy-mm-dd"),"")&amp;". ")&amp;IF(LEN(IF(LEN(INDEX('Aides'!$U$4:$U$503,229))=0,"",INDEX('Aides'!$U$4:$U$503,229)))=0,"","Owner: "&amp;IF(LEN(INDEX('Aides'!$U$4:$U$503,229))=0,"",INDEX('Aides'!$U$4:$U$503,229))&amp;". ")&amp;IF(LEN(IF(LEN(INDEX('Aides'!$X$4:$X$503,229))=0,"",INDEX('Aides'!$X$4:$X$503,229)))=0,"",IF(LEN(INDEX('Aides'!$X$4:$X$503,229))=0,"",INDEX('Aides'!$X$4:$X$503,229))))</f>
        <v/>
      </c>
      <c r="I232">
        <f>IF(LEN(INDEX('Aides'!$W$4:$W$503,229))=0,"",INDEX('Aides'!$W$4:$W$503,229))</f>
        <v/>
      </c>
      <c r="J232">
        <f>IF(LEN(INDEX('Aides'!$V$4:$V$503,229))=0,"",INDEX('Aides'!$V$4:$V$503,229))</f>
        <v/>
      </c>
    </row>
    <row r="233">
      <c r="A233">
        <f>IF(AND(LEN('Aides'!A233)&gt;0,ISNUMBER('Aides'!I233)),1,0)</f>
        <v/>
      </c>
      <c r="B233">
        <f>B232+A233</f>
        <v/>
      </c>
      <c r="C233">
        <f>IF(230&gt;$B$1503,"",MATCH(230-0.5,$B$3:$B$1503,1))</f>
        <v/>
      </c>
      <c r="D233">
        <f>"CNA certification ("&amp;IF(LEN(INDEX('Aides'!$C$4:$C$503,230))=0,"",INDEX('Aides'!$C$4:$C$503,230))&amp;") – "&amp;IF(LEN(INDEX('Aides'!$A$4:$A$503,230))=0,"",INDEX('Aides'!$A$4:$A$503,230))</f>
        <v/>
      </c>
      <c r="E233">
        <f>IF(ISNUMBER(INDEX('Aides'!$I$4:$I$503,230)),TEXT(INDEX('Aides'!$I$4:$I$503,230),"yyyy-mm-dd"),"")</f>
        <v/>
      </c>
      <c r="F233">
        <f>"Certification"</f>
        <v/>
      </c>
      <c r="G233">
        <f>"High"</f>
        <v/>
      </c>
      <c r="H233">
        <f>TRIM(IF(LEN(IF(LEN(INDEX('Aides'!$D$4:$D$503,230))=0,"",INDEX('Aides'!$D$4:$D$503,230)))=0,"","Registry no.: "&amp;IF(LEN(INDEX('Aides'!$D$4:$D$503,230))=0,"",INDEX('Aides'!$D$4:$D$503,230))&amp;". ")&amp;IF(LEN(IF(ISNUMBER(INDEX('Aides'!$F$4:$F$503,230)),TEXT(INDEX('Aides'!$F$4:$F$503,230),"yyyy-mm-dd"),""))=0,"","Registry expiry: "&amp;IF(ISNUMBER(INDEX('Aides'!$F$4:$F$503,230)),TEXT(INDEX('Aides'!$F$4:$F$503,230),"yyyy-mm-dd"),"")&amp;". ")&amp;IF(LEN(IF(ISNUMBER(INDEX('Aides'!$G$4:$G$503,230)),TEXT(INDEX('Aides'!$G$4:$G$503,230),"yyyy-mm-dd"),""))=0,"","Last paid nursing work: "&amp;IF(ISNUMBER(INDEX('Aides'!$G$4:$G$503,230)),TEXT(INDEX('Aides'!$G$4:$G$503,230),"yyyy-mm-dd"),"")&amp;". ")&amp;IF(LEN(IF(ISNUMBER(INDEX('Aides'!$H$4:$H$503,230)),TEXT(INDEX('Aides'!$H$4:$H$503,230),"yyyy-mm-dd"),""))=0,"","24-month cut-off: "&amp;IF(ISNUMBER(INDEX('Aides'!$H$4:$H$503,230)),TEXT(INDEX('Aides'!$H$4:$H$503,230),"yyyy-mm-dd"),"")&amp;". ")&amp;IF(LEN(IF(LEN(INDEX('Aides'!$U$4:$U$503,230))=0,"",INDEX('Aides'!$U$4:$U$503,230)))=0,"","Owner: "&amp;IF(LEN(INDEX('Aides'!$U$4:$U$503,230))=0,"",INDEX('Aides'!$U$4:$U$503,230))&amp;". ")&amp;IF(LEN(IF(LEN(INDEX('Aides'!$X$4:$X$503,230))=0,"",INDEX('Aides'!$X$4:$X$503,230)))=0,"",IF(LEN(INDEX('Aides'!$X$4:$X$503,230))=0,"",INDEX('Aides'!$X$4:$X$503,230))))</f>
        <v/>
      </c>
      <c r="I233">
        <f>IF(LEN(INDEX('Aides'!$W$4:$W$503,230))=0,"",INDEX('Aides'!$W$4:$W$503,230))</f>
        <v/>
      </c>
      <c r="J233">
        <f>IF(LEN(INDEX('Aides'!$V$4:$V$503,230))=0,"",INDEX('Aides'!$V$4:$V$503,230))</f>
        <v/>
      </c>
    </row>
    <row r="234">
      <c r="A234">
        <f>IF(AND(LEN('Aides'!A234)&gt;0,ISNUMBER('Aides'!I234)),1,0)</f>
        <v/>
      </c>
      <c r="B234">
        <f>B233+A234</f>
        <v/>
      </c>
      <c r="C234">
        <f>IF(231&gt;$B$1503,"",MATCH(231-0.5,$B$3:$B$1503,1))</f>
        <v/>
      </c>
      <c r="D234">
        <f>"CNA certification ("&amp;IF(LEN(INDEX('Aides'!$C$4:$C$503,231))=0,"",INDEX('Aides'!$C$4:$C$503,231))&amp;") – "&amp;IF(LEN(INDEX('Aides'!$A$4:$A$503,231))=0,"",INDEX('Aides'!$A$4:$A$503,231))</f>
        <v/>
      </c>
      <c r="E234">
        <f>IF(ISNUMBER(INDEX('Aides'!$I$4:$I$503,231)),TEXT(INDEX('Aides'!$I$4:$I$503,231),"yyyy-mm-dd"),"")</f>
        <v/>
      </c>
      <c r="F234">
        <f>"Certification"</f>
        <v/>
      </c>
      <c r="G234">
        <f>"High"</f>
        <v/>
      </c>
      <c r="H234">
        <f>TRIM(IF(LEN(IF(LEN(INDEX('Aides'!$D$4:$D$503,231))=0,"",INDEX('Aides'!$D$4:$D$503,231)))=0,"","Registry no.: "&amp;IF(LEN(INDEX('Aides'!$D$4:$D$503,231))=0,"",INDEX('Aides'!$D$4:$D$503,231))&amp;". ")&amp;IF(LEN(IF(ISNUMBER(INDEX('Aides'!$F$4:$F$503,231)),TEXT(INDEX('Aides'!$F$4:$F$503,231),"yyyy-mm-dd"),""))=0,"","Registry expiry: "&amp;IF(ISNUMBER(INDEX('Aides'!$F$4:$F$503,231)),TEXT(INDEX('Aides'!$F$4:$F$503,231),"yyyy-mm-dd"),"")&amp;". ")&amp;IF(LEN(IF(ISNUMBER(INDEX('Aides'!$G$4:$G$503,231)),TEXT(INDEX('Aides'!$G$4:$G$503,231),"yyyy-mm-dd"),""))=0,"","Last paid nursing work: "&amp;IF(ISNUMBER(INDEX('Aides'!$G$4:$G$503,231)),TEXT(INDEX('Aides'!$G$4:$G$503,231),"yyyy-mm-dd"),"")&amp;". ")&amp;IF(LEN(IF(ISNUMBER(INDEX('Aides'!$H$4:$H$503,231)),TEXT(INDEX('Aides'!$H$4:$H$503,231),"yyyy-mm-dd"),""))=0,"","24-month cut-off: "&amp;IF(ISNUMBER(INDEX('Aides'!$H$4:$H$503,231)),TEXT(INDEX('Aides'!$H$4:$H$503,231),"yyyy-mm-dd"),"")&amp;". ")&amp;IF(LEN(IF(LEN(INDEX('Aides'!$U$4:$U$503,231))=0,"",INDEX('Aides'!$U$4:$U$503,231)))=0,"","Owner: "&amp;IF(LEN(INDEX('Aides'!$U$4:$U$503,231))=0,"",INDEX('Aides'!$U$4:$U$503,231))&amp;". ")&amp;IF(LEN(IF(LEN(INDEX('Aides'!$X$4:$X$503,231))=0,"",INDEX('Aides'!$X$4:$X$503,231)))=0,"",IF(LEN(INDEX('Aides'!$X$4:$X$503,231))=0,"",INDEX('Aides'!$X$4:$X$503,231))))</f>
        <v/>
      </c>
      <c r="I234">
        <f>IF(LEN(INDEX('Aides'!$W$4:$W$503,231))=0,"",INDEX('Aides'!$W$4:$W$503,231))</f>
        <v/>
      </c>
      <c r="J234">
        <f>IF(LEN(INDEX('Aides'!$V$4:$V$503,231))=0,"",INDEX('Aides'!$V$4:$V$503,231))</f>
        <v/>
      </c>
    </row>
    <row r="235">
      <c r="A235">
        <f>IF(AND(LEN('Aides'!A235)&gt;0,ISNUMBER('Aides'!I235)),1,0)</f>
        <v/>
      </c>
      <c r="B235">
        <f>B234+A235</f>
        <v/>
      </c>
      <c r="C235">
        <f>IF(232&gt;$B$1503,"",MATCH(232-0.5,$B$3:$B$1503,1))</f>
        <v/>
      </c>
      <c r="D235">
        <f>"CNA certification ("&amp;IF(LEN(INDEX('Aides'!$C$4:$C$503,232))=0,"",INDEX('Aides'!$C$4:$C$503,232))&amp;") – "&amp;IF(LEN(INDEX('Aides'!$A$4:$A$503,232))=0,"",INDEX('Aides'!$A$4:$A$503,232))</f>
        <v/>
      </c>
      <c r="E235">
        <f>IF(ISNUMBER(INDEX('Aides'!$I$4:$I$503,232)),TEXT(INDEX('Aides'!$I$4:$I$503,232),"yyyy-mm-dd"),"")</f>
        <v/>
      </c>
      <c r="F235">
        <f>"Certification"</f>
        <v/>
      </c>
      <c r="G235">
        <f>"High"</f>
        <v/>
      </c>
      <c r="H235">
        <f>TRIM(IF(LEN(IF(LEN(INDEX('Aides'!$D$4:$D$503,232))=0,"",INDEX('Aides'!$D$4:$D$503,232)))=0,"","Registry no.: "&amp;IF(LEN(INDEX('Aides'!$D$4:$D$503,232))=0,"",INDEX('Aides'!$D$4:$D$503,232))&amp;". ")&amp;IF(LEN(IF(ISNUMBER(INDEX('Aides'!$F$4:$F$503,232)),TEXT(INDEX('Aides'!$F$4:$F$503,232),"yyyy-mm-dd"),""))=0,"","Registry expiry: "&amp;IF(ISNUMBER(INDEX('Aides'!$F$4:$F$503,232)),TEXT(INDEX('Aides'!$F$4:$F$503,232),"yyyy-mm-dd"),"")&amp;". ")&amp;IF(LEN(IF(ISNUMBER(INDEX('Aides'!$G$4:$G$503,232)),TEXT(INDEX('Aides'!$G$4:$G$503,232),"yyyy-mm-dd"),""))=0,"","Last paid nursing work: "&amp;IF(ISNUMBER(INDEX('Aides'!$G$4:$G$503,232)),TEXT(INDEX('Aides'!$G$4:$G$503,232),"yyyy-mm-dd"),"")&amp;". ")&amp;IF(LEN(IF(ISNUMBER(INDEX('Aides'!$H$4:$H$503,232)),TEXT(INDEX('Aides'!$H$4:$H$503,232),"yyyy-mm-dd"),""))=0,"","24-month cut-off: "&amp;IF(ISNUMBER(INDEX('Aides'!$H$4:$H$503,232)),TEXT(INDEX('Aides'!$H$4:$H$503,232),"yyyy-mm-dd"),"")&amp;". ")&amp;IF(LEN(IF(LEN(INDEX('Aides'!$U$4:$U$503,232))=0,"",INDEX('Aides'!$U$4:$U$503,232)))=0,"","Owner: "&amp;IF(LEN(INDEX('Aides'!$U$4:$U$503,232))=0,"",INDEX('Aides'!$U$4:$U$503,232))&amp;". ")&amp;IF(LEN(IF(LEN(INDEX('Aides'!$X$4:$X$503,232))=0,"",INDEX('Aides'!$X$4:$X$503,232)))=0,"",IF(LEN(INDEX('Aides'!$X$4:$X$503,232))=0,"",INDEX('Aides'!$X$4:$X$503,232))))</f>
        <v/>
      </c>
      <c r="I235">
        <f>IF(LEN(INDEX('Aides'!$W$4:$W$503,232))=0,"",INDEX('Aides'!$W$4:$W$503,232))</f>
        <v/>
      </c>
      <c r="J235">
        <f>IF(LEN(INDEX('Aides'!$V$4:$V$503,232))=0,"",INDEX('Aides'!$V$4:$V$503,232))</f>
        <v/>
      </c>
    </row>
    <row r="236">
      <c r="A236">
        <f>IF(AND(LEN('Aides'!A236)&gt;0,ISNUMBER('Aides'!I236)),1,0)</f>
        <v/>
      </c>
      <c r="B236">
        <f>B235+A236</f>
        <v/>
      </c>
      <c r="C236">
        <f>IF(233&gt;$B$1503,"",MATCH(233-0.5,$B$3:$B$1503,1))</f>
        <v/>
      </c>
      <c r="D236">
        <f>"CNA certification ("&amp;IF(LEN(INDEX('Aides'!$C$4:$C$503,233))=0,"",INDEX('Aides'!$C$4:$C$503,233))&amp;") – "&amp;IF(LEN(INDEX('Aides'!$A$4:$A$503,233))=0,"",INDEX('Aides'!$A$4:$A$503,233))</f>
        <v/>
      </c>
      <c r="E236">
        <f>IF(ISNUMBER(INDEX('Aides'!$I$4:$I$503,233)),TEXT(INDEX('Aides'!$I$4:$I$503,233),"yyyy-mm-dd"),"")</f>
        <v/>
      </c>
      <c r="F236">
        <f>"Certification"</f>
        <v/>
      </c>
      <c r="G236">
        <f>"High"</f>
        <v/>
      </c>
      <c r="H236">
        <f>TRIM(IF(LEN(IF(LEN(INDEX('Aides'!$D$4:$D$503,233))=0,"",INDEX('Aides'!$D$4:$D$503,233)))=0,"","Registry no.: "&amp;IF(LEN(INDEX('Aides'!$D$4:$D$503,233))=0,"",INDEX('Aides'!$D$4:$D$503,233))&amp;". ")&amp;IF(LEN(IF(ISNUMBER(INDEX('Aides'!$F$4:$F$503,233)),TEXT(INDEX('Aides'!$F$4:$F$503,233),"yyyy-mm-dd"),""))=0,"","Registry expiry: "&amp;IF(ISNUMBER(INDEX('Aides'!$F$4:$F$503,233)),TEXT(INDEX('Aides'!$F$4:$F$503,233),"yyyy-mm-dd"),"")&amp;". ")&amp;IF(LEN(IF(ISNUMBER(INDEX('Aides'!$G$4:$G$503,233)),TEXT(INDEX('Aides'!$G$4:$G$503,233),"yyyy-mm-dd"),""))=0,"","Last paid nursing work: "&amp;IF(ISNUMBER(INDEX('Aides'!$G$4:$G$503,233)),TEXT(INDEX('Aides'!$G$4:$G$503,233),"yyyy-mm-dd"),"")&amp;". ")&amp;IF(LEN(IF(ISNUMBER(INDEX('Aides'!$H$4:$H$503,233)),TEXT(INDEX('Aides'!$H$4:$H$503,233),"yyyy-mm-dd"),""))=0,"","24-month cut-off: "&amp;IF(ISNUMBER(INDEX('Aides'!$H$4:$H$503,233)),TEXT(INDEX('Aides'!$H$4:$H$503,233),"yyyy-mm-dd"),"")&amp;". ")&amp;IF(LEN(IF(LEN(INDEX('Aides'!$U$4:$U$503,233))=0,"",INDEX('Aides'!$U$4:$U$503,233)))=0,"","Owner: "&amp;IF(LEN(INDEX('Aides'!$U$4:$U$503,233))=0,"",INDEX('Aides'!$U$4:$U$503,233))&amp;". ")&amp;IF(LEN(IF(LEN(INDEX('Aides'!$X$4:$X$503,233))=0,"",INDEX('Aides'!$X$4:$X$503,233)))=0,"",IF(LEN(INDEX('Aides'!$X$4:$X$503,233))=0,"",INDEX('Aides'!$X$4:$X$503,233))))</f>
        <v/>
      </c>
      <c r="I236">
        <f>IF(LEN(INDEX('Aides'!$W$4:$W$503,233))=0,"",INDEX('Aides'!$W$4:$W$503,233))</f>
        <v/>
      </c>
      <c r="J236">
        <f>IF(LEN(INDEX('Aides'!$V$4:$V$503,233))=0,"",INDEX('Aides'!$V$4:$V$503,233))</f>
        <v/>
      </c>
    </row>
    <row r="237">
      <c r="A237">
        <f>IF(AND(LEN('Aides'!A237)&gt;0,ISNUMBER('Aides'!I237)),1,0)</f>
        <v/>
      </c>
      <c r="B237">
        <f>B236+A237</f>
        <v/>
      </c>
      <c r="C237">
        <f>IF(234&gt;$B$1503,"",MATCH(234-0.5,$B$3:$B$1503,1))</f>
        <v/>
      </c>
      <c r="D237">
        <f>"CNA certification ("&amp;IF(LEN(INDEX('Aides'!$C$4:$C$503,234))=0,"",INDEX('Aides'!$C$4:$C$503,234))&amp;") – "&amp;IF(LEN(INDEX('Aides'!$A$4:$A$503,234))=0,"",INDEX('Aides'!$A$4:$A$503,234))</f>
        <v/>
      </c>
      <c r="E237">
        <f>IF(ISNUMBER(INDEX('Aides'!$I$4:$I$503,234)),TEXT(INDEX('Aides'!$I$4:$I$503,234),"yyyy-mm-dd"),"")</f>
        <v/>
      </c>
      <c r="F237">
        <f>"Certification"</f>
        <v/>
      </c>
      <c r="G237">
        <f>"High"</f>
        <v/>
      </c>
      <c r="H237">
        <f>TRIM(IF(LEN(IF(LEN(INDEX('Aides'!$D$4:$D$503,234))=0,"",INDEX('Aides'!$D$4:$D$503,234)))=0,"","Registry no.: "&amp;IF(LEN(INDEX('Aides'!$D$4:$D$503,234))=0,"",INDEX('Aides'!$D$4:$D$503,234))&amp;". ")&amp;IF(LEN(IF(ISNUMBER(INDEX('Aides'!$F$4:$F$503,234)),TEXT(INDEX('Aides'!$F$4:$F$503,234),"yyyy-mm-dd"),""))=0,"","Registry expiry: "&amp;IF(ISNUMBER(INDEX('Aides'!$F$4:$F$503,234)),TEXT(INDEX('Aides'!$F$4:$F$503,234),"yyyy-mm-dd"),"")&amp;". ")&amp;IF(LEN(IF(ISNUMBER(INDEX('Aides'!$G$4:$G$503,234)),TEXT(INDEX('Aides'!$G$4:$G$503,234),"yyyy-mm-dd"),""))=0,"","Last paid nursing work: "&amp;IF(ISNUMBER(INDEX('Aides'!$G$4:$G$503,234)),TEXT(INDEX('Aides'!$G$4:$G$503,234),"yyyy-mm-dd"),"")&amp;". ")&amp;IF(LEN(IF(ISNUMBER(INDEX('Aides'!$H$4:$H$503,234)),TEXT(INDEX('Aides'!$H$4:$H$503,234),"yyyy-mm-dd"),""))=0,"","24-month cut-off: "&amp;IF(ISNUMBER(INDEX('Aides'!$H$4:$H$503,234)),TEXT(INDEX('Aides'!$H$4:$H$503,234),"yyyy-mm-dd"),"")&amp;". ")&amp;IF(LEN(IF(LEN(INDEX('Aides'!$U$4:$U$503,234))=0,"",INDEX('Aides'!$U$4:$U$503,234)))=0,"","Owner: "&amp;IF(LEN(INDEX('Aides'!$U$4:$U$503,234))=0,"",INDEX('Aides'!$U$4:$U$503,234))&amp;". ")&amp;IF(LEN(IF(LEN(INDEX('Aides'!$X$4:$X$503,234))=0,"",INDEX('Aides'!$X$4:$X$503,234)))=0,"",IF(LEN(INDEX('Aides'!$X$4:$X$503,234))=0,"",INDEX('Aides'!$X$4:$X$503,234))))</f>
        <v/>
      </c>
      <c r="I237">
        <f>IF(LEN(INDEX('Aides'!$W$4:$W$503,234))=0,"",INDEX('Aides'!$W$4:$W$503,234))</f>
        <v/>
      </c>
      <c r="J237">
        <f>IF(LEN(INDEX('Aides'!$V$4:$V$503,234))=0,"",INDEX('Aides'!$V$4:$V$503,234))</f>
        <v/>
      </c>
    </row>
    <row r="238">
      <c r="A238">
        <f>IF(AND(LEN('Aides'!A238)&gt;0,ISNUMBER('Aides'!I238)),1,0)</f>
        <v/>
      </c>
      <c r="B238">
        <f>B237+A238</f>
        <v/>
      </c>
      <c r="C238">
        <f>IF(235&gt;$B$1503,"",MATCH(235-0.5,$B$3:$B$1503,1))</f>
        <v/>
      </c>
      <c r="D238">
        <f>"CNA certification ("&amp;IF(LEN(INDEX('Aides'!$C$4:$C$503,235))=0,"",INDEX('Aides'!$C$4:$C$503,235))&amp;") – "&amp;IF(LEN(INDEX('Aides'!$A$4:$A$503,235))=0,"",INDEX('Aides'!$A$4:$A$503,235))</f>
        <v/>
      </c>
      <c r="E238">
        <f>IF(ISNUMBER(INDEX('Aides'!$I$4:$I$503,235)),TEXT(INDEX('Aides'!$I$4:$I$503,235),"yyyy-mm-dd"),"")</f>
        <v/>
      </c>
      <c r="F238">
        <f>"Certification"</f>
        <v/>
      </c>
      <c r="G238">
        <f>"High"</f>
        <v/>
      </c>
      <c r="H238">
        <f>TRIM(IF(LEN(IF(LEN(INDEX('Aides'!$D$4:$D$503,235))=0,"",INDEX('Aides'!$D$4:$D$503,235)))=0,"","Registry no.: "&amp;IF(LEN(INDEX('Aides'!$D$4:$D$503,235))=0,"",INDEX('Aides'!$D$4:$D$503,235))&amp;". ")&amp;IF(LEN(IF(ISNUMBER(INDEX('Aides'!$F$4:$F$503,235)),TEXT(INDEX('Aides'!$F$4:$F$503,235),"yyyy-mm-dd"),""))=0,"","Registry expiry: "&amp;IF(ISNUMBER(INDEX('Aides'!$F$4:$F$503,235)),TEXT(INDEX('Aides'!$F$4:$F$503,235),"yyyy-mm-dd"),"")&amp;". ")&amp;IF(LEN(IF(ISNUMBER(INDEX('Aides'!$G$4:$G$503,235)),TEXT(INDEX('Aides'!$G$4:$G$503,235),"yyyy-mm-dd"),""))=0,"","Last paid nursing work: "&amp;IF(ISNUMBER(INDEX('Aides'!$G$4:$G$503,235)),TEXT(INDEX('Aides'!$G$4:$G$503,235),"yyyy-mm-dd"),"")&amp;". ")&amp;IF(LEN(IF(ISNUMBER(INDEX('Aides'!$H$4:$H$503,235)),TEXT(INDEX('Aides'!$H$4:$H$503,235),"yyyy-mm-dd"),""))=0,"","24-month cut-off: "&amp;IF(ISNUMBER(INDEX('Aides'!$H$4:$H$503,235)),TEXT(INDEX('Aides'!$H$4:$H$503,235),"yyyy-mm-dd"),"")&amp;". ")&amp;IF(LEN(IF(LEN(INDEX('Aides'!$U$4:$U$503,235))=0,"",INDEX('Aides'!$U$4:$U$503,235)))=0,"","Owner: "&amp;IF(LEN(INDEX('Aides'!$U$4:$U$503,235))=0,"",INDEX('Aides'!$U$4:$U$503,235))&amp;". ")&amp;IF(LEN(IF(LEN(INDEX('Aides'!$X$4:$X$503,235))=0,"",INDEX('Aides'!$X$4:$X$503,235)))=0,"",IF(LEN(INDEX('Aides'!$X$4:$X$503,235))=0,"",INDEX('Aides'!$X$4:$X$503,235))))</f>
        <v/>
      </c>
      <c r="I238">
        <f>IF(LEN(INDEX('Aides'!$W$4:$W$503,235))=0,"",INDEX('Aides'!$W$4:$W$503,235))</f>
        <v/>
      </c>
      <c r="J238">
        <f>IF(LEN(INDEX('Aides'!$V$4:$V$503,235))=0,"",INDEX('Aides'!$V$4:$V$503,235))</f>
        <v/>
      </c>
    </row>
    <row r="239">
      <c r="A239">
        <f>IF(AND(LEN('Aides'!A239)&gt;0,ISNUMBER('Aides'!I239)),1,0)</f>
        <v/>
      </c>
      <c r="B239">
        <f>B238+A239</f>
        <v/>
      </c>
      <c r="C239">
        <f>IF(236&gt;$B$1503,"",MATCH(236-0.5,$B$3:$B$1503,1))</f>
        <v/>
      </c>
      <c r="D239">
        <f>"CNA certification ("&amp;IF(LEN(INDEX('Aides'!$C$4:$C$503,236))=0,"",INDEX('Aides'!$C$4:$C$503,236))&amp;") – "&amp;IF(LEN(INDEX('Aides'!$A$4:$A$503,236))=0,"",INDEX('Aides'!$A$4:$A$503,236))</f>
        <v/>
      </c>
      <c r="E239">
        <f>IF(ISNUMBER(INDEX('Aides'!$I$4:$I$503,236)),TEXT(INDEX('Aides'!$I$4:$I$503,236),"yyyy-mm-dd"),"")</f>
        <v/>
      </c>
      <c r="F239">
        <f>"Certification"</f>
        <v/>
      </c>
      <c r="G239">
        <f>"High"</f>
        <v/>
      </c>
      <c r="H239">
        <f>TRIM(IF(LEN(IF(LEN(INDEX('Aides'!$D$4:$D$503,236))=0,"",INDEX('Aides'!$D$4:$D$503,236)))=0,"","Registry no.: "&amp;IF(LEN(INDEX('Aides'!$D$4:$D$503,236))=0,"",INDEX('Aides'!$D$4:$D$503,236))&amp;". ")&amp;IF(LEN(IF(ISNUMBER(INDEX('Aides'!$F$4:$F$503,236)),TEXT(INDEX('Aides'!$F$4:$F$503,236),"yyyy-mm-dd"),""))=0,"","Registry expiry: "&amp;IF(ISNUMBER(INDEX('Aides'!$F$4:$F$503,236)),TEXT(INDEX('Aides'!$F$4:$F$503,236),"yyyy-mm-dd"),"")&amp;". ")&amp;IF(LEN(IF(ISNUMBER(INDEX('Aides'!$G$4:$G$503,236)),TEXT(INDEX('Aides'!$G$4:$G$503,236),"yyyy-mm-dd"),""))=0,"","Last paid nursing work: "&amp;IF(ISNUMBER(INDEX('Aides'!$G$4:$G$503,236)),TEXT(INDEX('Aides'!$G$4:$G$503,236),"yyyy-mm-dd"),"")&amp;". ")&amp;IF(LEN(IF(ISNUMBER(INDEX('Aides'!$H$4:$H$503,236)),TEXT(INDEX('Aides'!$H$4:$H$503,236),"yyyy-mm-dd"),""))=0,"","24-month cut-off: "&amp;IF(ISNUMBER(INDEX('Aides'!$H$4:$H$503,236)),TEXT(INDEX('Aides'!$H$4:$H$503,236),"yyyy-mm-dd"),"")&amp;". ")&amp;IF(LEN(IF(LEN(INDEX('Aides'!$U$4:$U$503,236))=0,"",INDEX('Aides'!$U$4:$U$503,236)))=0,"","Owner: "&amp;IF(LEN(INDEX('Aides'!$U$4:$U$503,236))=0,"",INDEX('Aides'!$U$4:$U$503,236))&amp;". ")&amp;IF(LEN(IF(LEN(INDEX('Aides'!$X$4:$X$503,236))=0,"",INDEX('Aides'!$X$4:$X$503,236)))=0,"",IF(LEN(INDEX('Aides'!$X$4:$X$503,236))=0,"",INDEX('Aides'!$X$4:$X$503,236))))</f>
        <v/>
      </c>
      <c r="I239">
        <f>IF(LEN(INDEX('Aides'!$W$4:$W$503,236))=0,"",INDEX('Aides'!$W$4:$W$503,236))</f>
        <v/>
      </c>
      <c r="J239">
        <f>IF(LEN(INDEX('Aides'!$V$4:$V$503,236))=0,"",INDEX('Aides'!$V$4:$V$503,236))</f>
        <v/>
      </c>
    </row>
    <row r="240">
      <c r="A240">
        <f>IF(AND(LEN('Aides'!A240)&gt;0,ISNUMBER('Aides'!I240)),1,0)</f>
        <v/>
      </c>
      <c r="B240">
        <f>B239+A240</f>
        <v/>
      </c>
      <c r="C240">
        <f>IF(237&gt;$B$1503,"",MATCH(237-0.5,$B$3:$B$1503,1))</f>
        <v/>
      </c>
      <c r="D240">
        <f>"CNA certification ("&amp;IF(LEN(INDEX('Aides'!$C$4:$C$503,237))=0,"",INDEX('Aides'!$C$4:$C$503,237))&amp;") – "&amp;IF(LEN(INDEX('Aides'!$A$4:$A$503,237))=0,"",INDEX('Aides'!$A$4:$A$503,237))</f>
        <v/>
      </c>
      <c r="E240">
        <f>IF(ISNUMBER(INDEX('Aides'!$I$4:$I$503,237)),TEXT(INDEX('Aides'!$I$4:$I$503,237),"yyyy-mm-dd"),"")</f>
        <v/>
      </c>
      <c r="F240">
        <f>"Certification"</f>
        <v/>
      </c>
      <c r="G240">
        <f>"High"</f>
        <v/>
      </c>
      <c r="H240">
        <f>TRIM(IF(LEN(IF(LEN(INDEX('Aides'!$D$4:$D$503,237))=0,"",INDEX('Aides'!$D$4:$D$503,237)))=0,"","Registry no.: "&amp;IF(LEN(INDEX('Aides'!$D$4:$D$503,237))=0,"",INDEX('Aides'!$D$4:$D$503,237))&amp;". ")&amp;IF(LEN(IF(ISNUMBER(INDEX('Aides'!$F$4:$F$503,237)),TEXT(INDEX('Aides'!$F$4:$F$503,237),"yyyy-mm-dd"),""))=0,"","Registry expiry: "&amp;IF(ISNUMBER(INDEX('Aides'!$F$4:$F$503,237)),TEXT(INDEX('Aides'!$F$4:$F$503,237),"yyyy-mm-dd"),"")&amp;". ")&amp;IF(LEN(IF(ISNUMBER(INDEX('Aides'!$G$4:$G$503,237)),TEXT(INDEX('Aides'!$G$4:$G$503,237),"yyyy-mm-dd"),""))=0,"","Last paid nursing work: "&amp;IF(ISNUMBER(INDEX('Aides'!$G$4:$G$503,237)),TEXT(INDEX('Aides'!$G$4:$G$503,237),"yyyy-mm-dd"),"")&amp;". ")&amp;IF(LEN(IF(ISNUMBER(INDEX('Aides'!$H$4:$H$503,237)),TEXT(INDEX('Aides'!$H$4:$H$503,237),"yyyy-mm-dd"),""))=0,"","24-month cut-off: "&amp;IF(ISNUMBER(INDEX('Aides'!$H$4:$H$503,237)),TEXT(INDEX('Aides'!$H$4:$H$503,237),"yyyy-mm-dd"),"")&amp;". ")&amp;IF(LEN(IF(LEN(INDEX('Aides'!$U$4:$U$503,237))=0,"",INDEX('Aides'!$U$4:$U$503,237)))=0,"","Owner: "&amp;IF(LEN(INDEX('Aides'!$U$4:$U$503,237))=0,"",INDEX('Aides'!$U$4:$U$503,237))&amp;". ")&amp;IF(LEN(IF(LEN(INDEX('Aides'!$X$4:$X$503,237))=0,"",INDEX('Aides'!$X$4:$X$503,237)))=0,"",IF(LEN(INDEX('Aides'!$X$4:$X$503,237))=0,"",INDEX('Aides'!$X$4:$X$503,237))))</f>
        <v/>
      </c>
      <c r="I240">
        <f>IF(LEN(INDEX('Aides'!$W$4:$W$503,237))=0,"",INDEX('Aides'!$W$4:$W$503,237))</f>
        <v/>
      </c>
      <c r="J240">
        <f>IF(LEN(INDEX('Aides'!$V$4:$V$503,237))=0,"",INDEX('Aides'!$V$4:$V$503,237))</f>
        <v/>
      </c>
    </row>
    <row r="241">
      <c r="A241">
        <f>IF(AND(LEN('Aides'!A241)&gt;0,ISNUMBER('Aides'!I241)),1,0)</f>
        <v/>
      </c>
      <c r="B241">
        <f>B240+A241</f>
        <v/>
      </c>
      <c r="C241">
        <f>IF(238&gt;$B$1503,"",MATCH(238-0.5,$B$3:$B$1503,1))</f>
        <v/>
      </c>
      <c r="D241">
        <f>"CNA certification ("&amp;IF(LEN(INDEX('Aides'!$C$4:$C$503,238))=0,"",INDEX('Aides'!$C$4:$C$503,238))&amp;") – "&amp;IF(LEN(INDEX('Aides'!$A$4:$A$503,238))=0,"",INDEX('Aides'!$A$4:$A$503,238))</f>
        <v/>
      </c>
      <c r="E241">
        <f>IF(ISNUMBER(INDEX('Aides'!$I$4:$I$503,238)),TEXT(INDEX('Aides'!$I$4:$I$503,238),"yyyy-mm-dd"),"")</f>
        <v/>
      </c>
      <c r="F241">
        <f>"Certification"</f>
        <v/>
      </c>
      <c r="G241">
        <f>"High"</f>
        <v/>
      </c>
      <c r="H241">
        <f>TRIM(IF(LEN(IF(LEN(INDEX('Aides'!$D$4:$D$503,238))=0,"",INDEX('Aides'!$D$4:$D$503,238)))=0,"","Registry no.: "&amp;IF(LEN(INDEX('Aides'!$D$4:$D$503,238))=0,"",INDEX('Aides'!$D$4:$D$503,238))&amp;". ")&amp;IF(LEN(IF(ISNUMBER(INDEX('Aides'!$F$4:$F$503,238)),TEXT(INDEX('Aides'!$F$4:$F$503,238),"yyyy-mm-dd"),""))=0,"","Registry expiry: "&amp;IF(ISNUMBER(INDEX('Aides'!$F$4:$F$503,238)),TEXT(INDEX('Aides'!$F$4:$F$503,238),"yyyy-mm-dd"),"")&amp;". ")&amp;IF(LEN(IF(ISNUMBER(INDEX('Aides'!$G$4:$G$503,238)),TEXT(INDEX('Aides'!$G$4:$G$503,238),"yyyy-mm-dd"),""))=0,"","Last paid nursing work: "&amp;IF(ISNUMBER(INDEX('Aides'!$G$4:$G$503,238)),TEXT(INDEX('Aides'!$G$4:$G$503,238),"yyyy-mm-dd"),"")&amp;". ")&amp;IF(LEN(IF(ISNUMBER(INDEX('Aides'!$H$4:$H$503,238)),TEXT(INDEX('Aides'!$H$4:$H$503,238),"yyyy-mm-dd"),""))=0,"","24-month cut-off: "&amp;IF(ISNUMBER(INDEX('Aides'!$H$4:$H$503,238)),TEXT(INDEX('Aides'!$H$4:$H$503,238),"yyyy-mm-dd"),"")&amp;". ")&amp;IF(LEN(IF(LEN(INDEX('Aides'!$U$4:$U$503,238))=0,"",INDEX('Aides'!$U$4:$U$503,238)))=0,"","Owner: "&amp;IF(LEN(INDEX('Aides'!$U$4:$U$503,238))=0,"",INDEX('Aides'!$U$4:$U$503,238))&amp;". ")&amp;IF(LEN(IF(LEN(INDEX('Aides'!$X$4:$X$503,238))=0,"",INDEX('Aides'!$X$4:$X$503,238)))=0,"",IF(LEN(INDEX('Aides'!$X$4:$X$503,238))=0,"",INDEX('Aides'!$X$4:$X$503,238))))</f>
        <v/>
      </c>
      <c r="I241">
        <f>IF(LEN(INDEX('Aides'!$W$4:$W$503,238))=0,"",INDEX('Aides'!$W$4:$W$503,238))</f>
        <v/>
      </c>
      <c r="J241">
        <f>IF(LEN(INDEX('Aides'!$V$4:$V$503,238))=0,"",INDEX('Aides'!$V$4:$V$503,238))</f>
        <v/>
      </c>
    </row>
    <row r="242">
      <c r="A242">
        <f>IF(AND(LEN('Aides'!A242)&gt;0,ISNUMBER('Aides'!I242)),1,0)</f>
        <v/>
      </c>
      <c r="B242">
        <f>B241+A242</f>
        <v/>
      </c>
      <c r="C242">
        <f>IF(239&gt;$B$1503,"",MATCH(239-0.5,$B$3:$B$1503,1))</f>
        <v/>
      </c>
      <c r="D242">
        <f>"CNA certification ("&amp;IF(LEN(INDEX('Aides'!$C$4:$C$503,239))=0,"",INDEX('Aides'!$C$4:$C$503,239))&amp;") – "&amp;IF(LEN(INDEX('Aides'!$A$4:$A$503,239))=0,"",INDEX('Aides'!$A$4:$A$503,239))</f>
        <v/>
      </c>
      <c r="E242">
        <f>IF(ISNUMBER(INDEX('Aides'!$I$4:$I$503,239)),TEXT(INDEX('Aides'!$I$4:$I$503,239),"yyyy-mm-dd"),"")</f>
        <v/>
      </c>
      <c r="F242">
        <f>"Certification"</f>
        <v/>
      </c>
      <c r="G242">
        <f>"High"</f>
        <v/>
      </c>
      <c r="H242">
        <f>TRIM(IF(LEN(IF(LEN(INDEX('Aides'!$D$4:$D$503,239))=0,"",INDEX('Aides'!$D$4:$D$503,239)))=0,"","Registry no.: "&amp;IF(LEN(INDEX('Aides'!$D$4:$D$503,239))=0,"",INDEX('Aides'!$D$4:$D$503,239))&amp;". ")&amp;IF(LEN(IF(ISNUMBER(INDEX('Aides'!$F$4:$F$503,239)),TEXT(INDEX('Aides'!$F$4:$F$503,239),"yyyy-mm-dd"),""))=0,"","Registry expiry: "&amp;IF(ISNUMBER(INDEX('Aides'!$F$4:$F$503,239)),TEXT(INDEX('Aides'!$F$4:$F$503,239),"yyyy-mm-dd"),"")&amp;". ")&amp;IF(LEN(IF(ISNUMBER(INDEX('Aides'!$G$4:$G$503,239)),TEXT(INDEX('Aides'!$G$4:$G$503,239),"yyyy-mm-dd"),""))=0,"","Last paid nursing work: "&amp;IF(ISNUMBER(INDEX('Aides'!$G$4:$G$503,239)),TEXT(INDEX('Aides'!$G$4:$G$503,239),"yyyy-mm-dd"),"")&amp;". ")&amp;IF(LEN(IF(ISNUMBER(INDEX('Aides'!$H$4:$H$503,239)),TEXT(INDEX('Aides'!$H$4:$H$503,239),"yyyy-mm-dd"),""))=0,"","24-month cut-off: "&amp;IF(ISNUMBER(INDEX('Aides'!$H$4:$H$503,239)),TEXT(INDEX('Aides'!$H$4:$H$503,239),"yyyy-mm-dd"),"")&amp;". ")&amp;IF(LEN(IF(LEN(INDEX('Aides'!$U$4:$U$503,239))=0,"",INDEX('Aides'!$U$4:$U$503,239)))=0,"","Owner: "&amp;IF(LEN(INDEX('Aides'!$U$4:$U$503,239))=0,"",INDEX('Aides'!$U$4:$U$503,239))&amp;". ")&amp;IF(LEN(IF(LEN(INDEX('Aides'!$X$4:$X$503,239))=0,"",INDEX('Aides'!$X$4:$X$503,239)))=0,"",IF(LEN(INDEX('Aides'!$X$4:$X$503,239))=0,"",INDEX('Aides'!$X$4:$X$503,239))))</f>
        <v/>
      </c>
      <c r="I242">
        <f>IF(LEN(INDEX('Aides'!$W$4:$W$503,239))=0,"",INDEX('Aides'!$W$4:$W$503,239))</f>
        <v/>
      </c>
      <c r="J242">
        <f>IF(LEN(INDEX('Aides'!$V$4:$V$503,239))=0,"",INDEX('Aides'!$V$4:$V$503,239))</f>
        <v/>
      </c>
    </row>
    <row r="243">
      <c r="A243">
        <f>IF(AND(LEN('Aides'!A243)&gt;0,ISNUMBER('Aides'!I243)),1,0)</f>
        <v/>
      </c>
      <c r="B243">
        <f>B242+A243</f>
        <v/>
      </c>
      <c r="C243">
        <f>IF(240&gt;$B$1503,"",MATCH(240-0.5,$B$3:$B$1503,1))</f>
        <v/>
      </c>
      <c r="D243">
        <f>"CNA certification ("&amp;IF(LEN(INDEX('Aides'!$C$4:$C$503,240))=0,"",INDEX('Aides'!$C$4:$C$503,240))&amp;") – "&amp;IF(LEN(INDEX('Aides'!$A$4:$A$503,240))=0,"",INDEX('Aides'!$A$4:$A$503,240))</f>
        <v/>
      </c>
      <c r="E243">
        <f>IF(ISNUMBER(INDEX('Aides'!$I$4:$I$503,240)),TEXT(INDEX('Aides'!$I$4:$I$503,240),"yyyy-mm-dd"),"")</f>
        <v/>
      </c>
      <c r="F243">
        <f>"Certification"</f>
        <v/>
      </c>
      <c r="G243">
        <f>"High"</f>
        <v/>
      </c>
      <c r="H243">
        <f>TRIM(IF(LEN(IF(LEN(INDEX('Aides'!$D$4:$D$503,240))=0,"",INDEX('Aides'!$D$4:$D$503,240)))=0,"","Registry no.: "&amp;IF(LEN(INDEX('Aides'!$D$4:$D$503,240))=0,"",INDEX('Aides'!$D$4:$D$503,240))&amp;". ")&amp;IF(LEN(IF(ISNUMBER(INDEX('Aides'!$F$4:$F$503,240)),TEXT(INDEX('Aides'!$F$4:$F$503,240),"yyyy-mm-dd"),""))=0,"","Registry expiry: "&amp;IF(ISNUMBER(INDEX('Aides'!$F$4:$F$503,240)),TEXT(INDEX('Aides'!$F$4:$F$503,240),"yyyy-mm-dd"),"")&amp;". ")&amp;IF(LEN(IF(ISNUMBER(INDEX('Aides'!$G$4:$G$503,240)),TEXT(INDEX('Aides'!$G$4:$G$503,240),"yyyy-mm-dd"),""))=0,"","Last paid nursing work: "&amp;IF(ISNUMBER(INDEX('Aides'!$G$4:$G$503,240)),TEXT(INDEX('Aides'!$G$4:$G$503,240),"yyyy-mm-dd"),"")&amp;". ")&amp;IF(LEN(IF(ISNUMBER(INDEX('Aides'!$H$4:$H$503,240)),TEXT(INDEX('Aides'!$H$4:$H$503,240),"yyyy-mm-dd"),""))=0,"","24-month cut-off: "&amp;IF(ISNUMBER(INDEX('Aides'!$H$4:$H$503,240)),TEXT(INDEX('Aides'!$H$4:$H$503,240),"yyyy-mm-dd"),"")&amp;". ")&amp;IF(LEN(IF(LEN(INDEX('Aides'!$U$4:$U$503,240))=0,"",INDEX('Aides'!$U$4:$U$503,240)))=0,"","Owner: "&amp;IF(LEN(INDEX('Aides'!$U$4:$U$503,240))=0,"",INDEX('Aides'!$U$4:$U$503,240))&amp;". ")&amp;IF(LEN(IF(LEN(INDEX('Aides'!$X$4:$X$503,240))=0,"",INDEX('Aides'!$X$4:$X$503,240)))=0,"",IF(LEN(INDEX('Aides'!$X$4:$X$503,240))=0,"",INDEX('Aides'!$X$4:$X$503,240))))</f>
        <v/>
      </c>
      <c r="I243">
        <f>IF(LEN(INDEX('Aides'!$W$4:$W$503,240))=0,"",INDEX('Aides'!$W$4:$W$503,240))</f>
        <v/>
      </c>
      <c r="J243">
        <f>IF(LEN(INDEX('Aides'!$V$4:$V$503,240))=0,"",INDEX('Aides'!$V$4:$V$503,240))</f>
        <v/>
      </c>
    </row>
    <row r="244">
      <c r="A244">
        <f>IF(AND(LEN('Aides'!A244)&gt;0,ISNUMBER('Aides'!I244)),1,0)</f>
        <v/>
      </c>
      <c r="B244">
        <f>B243+A244</f>
        <v/>
      </c>
      <c r="C244">
        <f>IF(241&gt;$B$1503,"",MATCH(241-0.5,$B$3:$B$1503,1))</f>
        <v/>
      </c>
      <c r="D244">
        <f>"CNA certification ("&amp;IF(LEN(INDEX('Aides'!$C$4:$C$503,241))=0,"",INDEX('Aides'!$C$4:$C$503,241))&amp;") – "&amp;IF(LEN(INDEX('Aides'!$A$4:$A$503,241))=0,"",INDEX('Aides'!$A$4:$A$503,241))</f>
        <v/>
      </c>
      <c r="E244">
        <f>IF(ISNUMBER(INDEX('Aides'!$I$4:$I$503,241)),TEXT(INDEX('Aides'!$I$4:$I$503,241),"yyyy-mm-dd"),"")</f>
        <v/>
      </c>
      <c r="F244">
        <f>"Certification"</f>
        <v/>
      </c>
      <c r="G244">
        <f>"High"</f>
        <v/>
      </c>
      <c r="H244">
        <f>TRIM(IF(LEN(IF(LEN(INDEX('Aides'!$D$4:$D$503,241))=0,"",INDEX('Aides'!$D$4:$D$503,241)))=0,"","Registry no.: "&amp;IF(LEN(INDEX('Aides'!$D$4:$D$503,241))=0,"",INDEX('Aides'!$D$4:$D$503,241))&amp;". ")&amp;IF(LEN(IF(ISNUMBER(INDEX('Aides'!$F$4:$F$503,241)),TEXT(INDEX('Aides'!$F$4:$F$503,241),"yyyy-mm-dd"),""))=0,"","Registry expiry: "&amp;IF(ISNUMBER(INDEX('Aides'!$F$4:$F$503,241)),TEXT(INDEX('Aides'!$F$4:$F$503,241),"yyyy-mm-dd"),"")&amp;". ")&amp;IF(LEN(IF(ISNUMBER(INDEX('Aides'!$G$4:$G$503,241)),TEXT(INDEX('Aides'!$G$4:$G$503,241),"yyyy-mm-dd"),""))=0,"","Last paid nursing work: "&amp;IF(ISNUMBER(INDEX('Aides'!$G$4:$G$503,241)),TEXT(INDEX('Aides'!$G$4:$G$503,241),"yyyy-mm-dd"),"")&amp;". ")&amp;IF(LEN(IF(ISNUMBER(INDEX('Aides'!$H$4:$H$503,241)),TEXT(INDEX('Aides'!$H$4:$H$503,241),"yyyy-mm-dd"),""))=0,"","24-month cut-off: "&amp;IF(ISNUMBER(INDEX('Aides'!$H$4:$H$503,241)),TEXT(INDEX('Aides'!$H$4:$H$503,241),"yyyy-mm-dd"),"")&amp;". ")&amp;IF(LEN(IF(LEN(INDEX('Aides'!$U$4:$U$503,241))=0,"",INDEX('Aides'!$U$4:$U$503,241)))=0,"","Owner: "&amp;IF(LEN(INDEX('Aides'!$U$4:$U$503,241))=0,"",INDEX('Aides'!$U$4:$U$503,241))&amp;". ")&amp;IF(LEN(IF(LEN(INDEX('Aides'!$X$4:$X$503,241))=0,"",INDEX('Aides'!$X$4:$X$503,241)))=0,"",IF(LEN(INDEX('Aides'!$X$4:$X$503,241))=0,"",INDEX('Aides'!$X$4:$X$503,241))))</f>
        <v/>
      </c>
      <c r="I244">
        <f>IF(LEN(INDEX('Aides'!$W$4:$W$503,241))=0,"",INDEX('Aides'!$W$4:$W$503,241))</f>
        <v/>
      </c>
      <c r="J244">
        <f>IF(LEN(INDEX('Aides'!$V$4:$V$503,241))=0,"",INDEX('Aides'!$V$4:$V$503,241))</f>
        <v/>
      </c>
    </row>
    <row r="245">
      <c r="A245">
        <f>IF(AND(LEN('Aides'!A245)&gt;0,ISNUMBER('Aides'!I245)),1,0)</f>
        <v/>
      </c>
      <c r="B245">
        <f>B244+A245</f>
        <v/>
      </c>
      <c r="C245">
        <f>IF(242&gt;$B$1503,"",MATCH(242-0.5,$B$3:$B$1503,1))</f>
        <v/>
      </c>
      <c r="D245">
        <f>"CNA certification ("&amp;IF(LEN(INDEX('Aides'!$C$4:$C$503,242))=0,"",INDEX('Aides'!$C$4:$C$503,242))&amp;") – "&amp;IF(LEN(INDEX('Aides'!$A$4:$A$503,242))=0,"",INDEX('Aides'!$A$4:$A$503,242))</f>
        <v/>
      </c>
      <c r="E245">
        <f>IF(ISNUMBER(INDEX('Aides'!$I$4:$I$503,242)),TEXT(INDEX('Aides'!$I$4:$I$503,242),"yyyy-mm-dd"),"")</f>
        <v/>
      </c>
      <c r="F245">
        <f>"Certification"</f>
        <v/>
      </c>
      <c r="G245">
        <f>"High"</f>
        <v/>
      </c>
      <c r="H245">
        <f>TRIM(IF(LEN(IF(LEN(INDEX('Aides'!$D$4:$D$503,242))=0,"",INDEX('Aides'!$D$4:$D$503,242)))=0,"","Registry no.: "&amp;IF(LEN(INDEX('Aides'!$D$4:$D$503,242))=0,"",INDEX('Aides'!$D$4:$D$503,242))&amp;". ")&amp;IF(LEN(IF(ISNUMBER(INDEX('Aides'!$F$4:$F$503,242)),TEXT(INDEX('Aides'!$F$4:$F$503,242),"yyyy-mm-dd"),""))=0,"","Registry expiry: "&amp;IF(ISNUMBER(INDEX('Aides'!$F$4:$F$503,242)),TEXT(INDEX('Aides'!$F$4:$F$503,242),"yyyy-mm-dd"),"")&amp;". ")&amp;IF(LEN(IF(ISNUMBER(INDEX('Aides'!$G$4:$G$503,242)),TEXT(INDEX('Aides'!$G$4:$G$503,242),"yyyy-mm-dd"),""))=0,"","Last paid nursing work: "&amp;IF(ISNUMBER(INDEX('Aides'!$G$4:$G$503,242)),TEXT(INDEX('Aides'!$G$4:$G$503,242),"yyyy-mm-dd"),"")&amp;". ")&amp;IF(LEN(IF(ISNUMBER(INDEX('Aides'!$H$4:$H$503,242)),TEXT(INDEX('Aides'!$H$4:$H$503,242),"yyyy-mm-dd"),""))=0,"","24-month cut-off: "&amp;IF(ISNUMBER(INDEX('Aides'!$H$4:$H$503,242)),TEXT(INDEX('Aides'!$H$4:$H$503,242),"yyyy-mm-dd"),"")&amp;". ")&amp;IF(LEN(IF(LEN(INDEX('Aides'!$U$4:$U$503,242))=0,"",INDEX('Aides'!$U$4:$U$503,242)))=0,"","Owner: "&amp;IF(LEN(INDEX('Aides'!$U$4:$U$503,242))=0,"",INDEX('Aides'!$U$4:$U$503,242))&amp;". ")&amp;IF(LEN(IF(LEN(INDEX('Aides'!$X$4:$X$503,242))=0,"",INDEX('Aides'!$X$4:$X$503,242)))=0,"",IF(LEN(INDEX('Aides'!$X$4:$X$503,242))=0,"",INDEX('Aides'!$X$4:$X$503,242))))</f>
        <v/>
      </c>
      <c r="I245">
        <f>IF(LEN(INDEX('Aides'!$W$4:$W$503,242))=0,"",INDEX('Aides'!$W$4:$W$503,242))</f>
        <v/>
      </c>
      <c r="J245">
        <f>IF(LEN(INDEX('Aides'!$V$4:$V$503,242))=0,"",INDEX('Aides'!$V$4:$V$503,242))</f>
        <v/>
      </c>
    </row>
    <row r="246">
      <c r="A246">
        <f>IF(AND(LEN('Aides'!A246)&gt;0,ISNUMBER('Aides'!I246)),1,0)</f>
        <v/>
      </c>
      <c r="B246">
        <f>B245+A246</f>
        <v/>
      </c>
      <c r="C246">
        <f>IF(243&gt;$B$1503,"",MATCH(243-0.5,$B$3:$B$1503,1))</f>
        <v/>
      </c>
      <c r="D246">
        <f>"CNA certification ("&amp;IF(LEN(INDEX('Aides'!$C$4:$C$503,243))=0,"",INDEX('Aides'!$C$4:$C$503,243))&amp;") – "&amp;IF(LEN(INDEX('Aides'!$A$4:$A$503,243))=0,"",INDEX('Aides'!$A$4:$A$503,243))</f>
        <v/>
      </c>
      <c r="E246">
        <f>IF(ISNUMBER(INDEX('Aides'!$I$4:$I$503,243)),TEXT(INDEX('Aides'!$I$4:$I$503,243),"yyyy-mm-dd"),"")</f>
        <v/>
      </c>
      <c r="F246">
        <f>"Certification"</f>
        <v/>
      </c>
      <c r="G246">
        <f>"High"</f>
        <v/>
      </c>
      <c r="H246">
        <f>TRIM(IF(LEN(IF(LEN(INDEX('Aides'!$D$4:$D$503,243))=0,"",INDEX('Aides'!$D$4:$D$503,243)))=0,"","Registry no.: "&amp;IF(LEN(INDEX('Aides'!$D$4:$D$503,243))=0,"",INDEX('Aides'!$D$4:$D$503,243))&amp;". ")&amp;IF(LEN(IF(ISNUMBER(INDEX('Aides'!$F$4:$F$503,243)),TEXT(INDEX('Aides'!$F$4:$F$503,243),"yyyy-mm-dd"),""))=0,"","Registry expiry: "&amp;IF(ISNUMBER(INDEX('Aides'!$F$4:$F$503,243)),TEXT(INDEX('Aides'!$F$4:$F$503,243),"yyyy-mm-dd"),"")&amp;". ")&amp;IF(LEN(IF(ISNUMBER(INDEX('Aides'!$G$4:$G$503,243)),TEXT(INDEX('Aides'!$G$4:$G$503,243),"yyyy-mm-dd"),""))=0,"","Last paid nursing work: "&amp;IF(ISNUMBER(INDEX('Aides'!$G$4:$G$503,243)),TEXT(INDEX('Aides'!$G$4:$G$503,243),"yyyy-mm-dd"),"")&amp;". ")&amp;IF(LEN(IF(ISNUMBER(INDEX('Aides'!$H$4:$H$503,243)),TEXT(INDEX('Aides'!$H$4:$H$503,243),"yyyy-mm-dd"),""))=0,"","24-month cut-off: "&amp;IF(ISNUMBER(INDEX('Aides'!$H$4:$H$503,243)),TEXT(INDEX('Aides'!$H$4:$H$503,243),"yyyy-mm-dd"),"")&amp;". ")&amp;IF(LEN(IF(LEN(INDEX('Aides'!$U$4:$U$503,243))=0,"",INDEX('Aides'!$U$4:$U$503,243)))=0,"","Owner: "&amp;IF(LEN(INDEX('Aides'!$U$4:$U$503,243))=0,"",INDEX('Aides'!$U$4:$U$503,243))&amp;". ")&amp;IF(LEN(IF(LEN(INDEX('Aides'!$X$4:$X$503,243))=0,"",INDEX('Aides'!$X$4:$X$503,243)))=0,"",IF(LEN(INDEX('Aides'!$X$4:$X$503,243))=0,"",INDEX('Aides'!$X$4:$X$503,243))))</f>
        <v/>
      </c>
      <c r="I246">
        <f>IF(LEN(INDEX('Aides'!$W$4:$W$503,243))=0,"",INDEX('Aides'!$W$4:$W$503,243))</f>
        <v/>
      </c>
      <c r="J246">
        <f>IF(LEN(INDEX('Aides'!$V$4:$V$503,243))=0,"",INDEX('Aides'!$V$4:$V$503,243))</f>
        <v/>
      </c>
    </row>
    <row r="247">
      <c r="A247">
        <f>IF(AND(LEN('Aides'!A247)&gt;0,ISNUMBER('Aides'!I247)),1,0)</f>
        <v/>
      </c>
      <c r="B247">
        <f>B246+A247</f>
        <v/>
      </c>
      <c r="C247">
        <f>IF(244&gt;$B$1503,"",MATCH(244-0.5,$B$3:$B$1503,1))</f>
        <v/>
      </c>
      <c r="D247">
        <f>"CNA certification ("&amp;IF(LEN(INDEX('Aides'!$C$4:$C$503,244))=0,"",INDEX('Aides'!$C$4:$C$503,244))&amp;") – "&amp;IF(LEN(INDEX('Aides'!$A$4:$A$503,244))=0,"",INDEX('Aides'!$A$4:$A$503,244))</f>
        <v/>
      </c>
      <c r="E247">
        <f>IF(ISNUMBER(INDEX('Aides'!$I$4:$I$503,244)),TEXT(INDEX('Aides'!$I$4:$I$503,244),"yyyy-mm-dd"),"")</f>
        <v/>
      </c>
      <c r="F247">
        <f>"Certification"</f>
        <v/>
      </c>
      <c r="G247">
        <f>"High"</f>
        <v/>
      </c>
      <c r="H247">
        <f>TRIM(IF(LEN(IF(LEN(INDEX('Aides'!$D$4:$D$503,244))=0,"",INDEX('Aides'!$D$4:$D$503,244)))=0,"","Registry no.: "&amp;IF(LEN(INDEX('Aides'!$D$4:$D$503,244))=0,"",INDEX('Aides'!$D$4:$D$503,244))&amp;". ")&amp;IF(LEN(IF(ISNUMBER(INDEX('Aides'!$F$4:$F$503,244)),TEXT(INDEX('Aides'!$F$4:$F$503,244),"yyyy-mm-dd"),""))=0,"","Registry expiry: "&amp;IF(ISNUMBER(INDEX('Aides'!$F$4:$F$503,244)),TEXT(INDEX('Aides'!$F$4:$F$503,244),"yyyy-mm-dd"),"")&amp;". ")&amp;IF(LEN(IF(ISNUMBER(INDEX('Aides'!$G$4:$G$503,244)),TEXT(INDEX('Aides'!$G$4:$G$503,244),"yyyy-mm-dd"),""))=0,"","Last paid nursing work: "&amp;IF(ISNUMBER(INDEX('Aides'!$G$4:$G$503,244)),TEXT(INDEX('Aides'!$G$4:$G$503,244),"yyyy-mm-dd"),"")&amp;". ")&amp;IF(LEN(IF(ISNUMBER(INDEX('Aides'!$H$4:$H$503,244)),TEXT(INDEX('Aides'!$H$4:$H$503,244),"yyyy-mm-dd"),""))=0,"","24-month cut-off: "&amp;IF(ISNUMBER(INDEX('Aides'!$H$4:$H$503,244)),TEXT(INDEX('Aides'!$H$4:$H$503,244),"yyyy-mm-dd"),"")&amp;". ")&amp;IF(LEN(IF(LEN(INDEX('Aides'!$U$4:$U$503,244))=0,"",INDEX('Aides'!$U$4:$U$503,244)))=0,"","Owner: "&amp;IF(LEN(INDEX('Aides'!$U$4:$U$503,244))=0,"",INDEX('Aides'!$U$4:$U$503,244))&amp;". ")&amp;IF(LEN(IF(LEN(INDEX('Aides'!$X$4:$X$503,244))=0,"",INDEX('Aides'!$X$4:$X$503,244)))=0,"",IF(LEN(INDEX('Aides'!$X$4:$X$503,244))=0,"",INDEX('Aides'!$X$4:$X$503,244))))</f>
        <v/>
      </c>
      <c r="I247">
        <f>IF(LEN(INDEX('Aides'!$W$4:$W$503,244))=0,"",INDEX('Aides'!$W$4:$W$503,244))</f>
        <v/>
      </c>
      <c r="J247">
        <f>IF(LEN(INDEX('Aides'!$V$4:$V$503,244))=0,"",INDEX('Aides'!$V$4:$V$503,244))</f>
        <v/>
      </c>
    </row>
    <row r="248">
      <c r="A248">
        <f>IF(AND(LEN('Aides'!A248)&gt;0,ISNUMBER('Aides'!I248)),1,0)</f>
        <v/>
      </c>
      <c r="B248">
        <f>B247+A248</f>
        <v/>
      </c>
      <c r="C248">
        <f>IF(245&gt;$B$1503,"",MATCH(245-0.5,$B$3:$B$1503,1))</f>
        <v/>
      </c>
      <c r="D248">
        <f>"CNA certification ("&amp;IF(LEN(INDEX('Aides'!$C$4:$C$503,245))=0,"",INDEX('Aides'!$C$4:$C$503,245))&amp;") – "&amp;IF(LEN(INDEX('Aides'!$A$4:$A$503,245))=0,"",INDEX('Aides'!$A$4:$A$503,245))</f>
        <v/>
      </c>
      <c r="E248">
        <f>IF(ISNUMBER(INDEX('Aides'!$I$4:$I$503,245)),TEXT(INDEX('Aides'!$I$4:$I$503,245),"yyyy-mm-dd"),"")</f>
        <v/>
      </c>
      <c r="F248">
        <f>"Certification"</f>
        <v/>
      </c>
      <c r="G248">
        <f>"High"</f>
        <v/>
      </c>
      <c r="H248">
        <f>TRIM(IF(LEN(IF(LEN(INDEX('Aides'!$D$4:$D$503,245))=0,"",INDEX('Aides'!$D$4:$D$503,245)))=0,"","Registry no.: "&amp;IF(LEN(INDEX('Aides'!$D$4:$D$503,245))=0,"",INDEX('Aides'!$D$4:$D$503,245))&amp;". ")&amp;IF(LEN(IF(ISNUMBER(INDEX('Aides'!$F$4:$F$503,245)),TEXT(INDEX('Aides'!$F$4:$F$503,245),"yyyy-mm-dd"),""))=0,"","Registry expiry: "&amp;IF(ISNUMBER(INDEX('Aides'!$F$4:$F$503,245)),TEXT(INDEX('Aides'!$F$4:$F$503,245),"yyyy-mm-dd"),"")&amp;". ")&amp;IF(LEN(IF(ISNUMBER(INDEX('Aides'!$G$4:$G$503,245)),TEXT(INDEX('Aides'!$G$4:$G$503,245),"yyyy-mm-dd"),""))=0,"","Last paid nursing work: "&amp;IF(ISNUMBER(INDEX('Aides'!$G$4:$G$503,245)),TEXT(INDEX('Aides'!$G$4:$G$503,245),"yyyy-mm-dd"),"")&amp;". ")&amp;IF(LEN(IF(ISNUMBER(INDEX('Aides'!$H$4:$H$503,245)),TEXT(INDEX('Aides'!$H$4:$H$503,245),"yyyy-mm-dd"),""))=0,"","24-month cut-off: "&amp;IF(ISNUMBER(INDEX('Aides'!$H$4:$H$503,245)),TEXT(INDEX('Aides'!$H$4:$H$503,245),"yyyy-mm-dd"),"")&amp;". ")&amp;IF(LEN(IF(LEN(INDEX('Aides'!$U$4:$U$503,245))=0,"",INDEX('Aides'!$U$4:$U$503,245)))=0,"","Owner: "&amp;IF(LEN(INDEX('Aides'!$U$4:$U$503,245))=0,"",INDEX('Aides'!$U$4:$U$503,245))&amp;". ")&amp;IF(LEN(IF(LEN(INDEX('Aides'!$X$4:$X$503,245))=0,"",INDEX('Aides'!$X$4:$X$503,245)))=0,"",IF(LEN(INDEX('Aides'!$X$4:$X$503,245))=0,"",INDEX('Aides'!$X$4:$X$503,245))))</f>
        <v/>
      </c>
      <c r="I248">
        <f>IF(LEN(INDEX('Aides'!$W$4:$W$503,245))=0,"",INDEX('Aides'!$W$4:$W$503,245))</f>
        <v/>
      </c>
      <c r="J248">
        <f>IF(LEN(INDEX('Aides'!$V$4:$V$503,245))=0,"",INDEX('Aides'!$V$4:$V$503,245))</f>
        <v/>
      </c>
    </row>
    <row r="249">
      <c r="A249">
        <f>IF(AND(LEN('Aides'!A249)&gt;0,ISNUMBER('Aides'!I249)),1,0)</f>
        <v/>
      </c>
      <c r="B249">
        <f>B248+A249</f>
        <v/>
      </c>
      <c r="C249">
        <f>IF(246&gt;$B$1503,"",MATCH(246-0.5,$B$3:$B$1503,1))</f>
        <v/>
      </c>
      <c r="D249">
        <f>"CNA certification ("&amp;IF(LEN(INDEX('Aides'!$C$4:$C$503,246))=0,"",INDEX('Aides'!$C$4:$C$503,246))&amp;") – "&amp;IF(LEN(INDEX('Aides'!$A$4:$A$503,246))=0,"",INDEX('Aides'!$A$4:$A$503,246))</f>
        <v/>
      </c>
      <c r="E249">
        <f>IF(ISNUMBER(INDEX('Aides'!$I$4:$I$503,246)),TEXT(INDEX('Aides'!$I$4:$I$503,246),"yyyy-mm-dd"),"")</f>
        <v/>
      </c>
      <c r="F249">
        <f>"Certification"</f>
        <v/>
      </c>
      <c r="G249">
        <f>"High"</f>
        <v/>
      </c>
      <c r="H249">
        <f>TRIM(IF(LEN(IF(LEN(INDEX('Aides'!$D$4:$D$503,246))=0,"",INDEX('Aides'!$D$4:$D$503,246)))=0,"","Registry no.: "&amp;IF(LEN(INDEX('Aides'!$D$4:$D$503,246))=0,"",INDEX('Aides'!$D$4:$D$503,246))&amp;". ")&amp;IF(LEN(IF(ISNUMBER(INDEX('Aides'!$F$4:$F$503,246)),TEXT(INDEX('Aides'!$F$4:$F$503,246),"yyyy-mm-dd"),""))=0,"","Registry expiry: "&amp;IF(ISNUMBER(INDEX('Aides'!$F$4:$F$503,246)),TEXT(INDEX('Aides'!$F$4:$F$503,246),"yyyy-mm-dd"),"")&amp;". ")&amp;IF(LEN(IF(ISNUMBER(INDEX('Aides'!$G$4:$G$503,246)),TEXT(INDEX('Aides'!$G$4:$G$503,246),"yyyy-mm-dd"),""))=0,"","Last paid nursing work: "&amp;IF(ISNUMBER(INDEX('Aides'!$G$4:$G$503,246)),TEXT(INDEX('Aides'!$G$4:$G$503,246),"yyyy-mm-dd"),"")&amp;". ")&amp;IF(LEN(IF(ISNUMBER(INDEX('Aides'!$H$4:$H$503,246)),TEXT(INDEX('Aides'!$H$4:$H$503,246),"yyyy-mm-dd"),""))=0,"","24-month cut-off: "&amp;IF(ISNUMBER(INDEX('Aides'!$H$4:$H$503,246)),TEXT(INDEX('Aides'!$H$4:$H$503,246),"yyyy-mm-dd"),"")&amp;". ")&amp;IF(LEN(IF(LEN(INDEX('Aides'!$U$4:$U$503,246))=0,"",INDEX('Aides'!$U$4:$U$503,246)))=0,"","Owner: "&amp;IF(LEN(INDEX('Aides'!$U$4:$U$503,246))=0,"",INDEX('Aides'!$U$4:$U$503,246))&amp;". ")&amp;IF(LEN(IF(LEN(INDEX('Aides'!$X$4:$X$503,246))=0,"",INDEX('Aides'!$X$4:$X$503,246)))=0,"",IF(LEN(INDEX('Aides'!$X$4:$X$503,246))=0,"",INDEX('Aides'!$X$4:$X$503,246))))</f>
        <v/>
      </c>
      <c r="I249">
        <f>IF(LEN(INDEX('Aides'!$W$4:$W$503,246))=0,"",INDEX('Aides'!$W$4:$W$503,246))</f>
        <v/>
      </c>
      <c r="J249">
        <f>IF(LEN(INDEX('Aides'!$V$4:$V$503,246))=0,"",INDEX('Aides'!$V$4:$V$503,246))</f>
        <v/>
      </c>
    </row>
    <row r="250">
      <c r="A250">
        <f>IF(AND(LEN('Aides'!A250)&gt;0,ISNUMBER('Aides'!I250)),1,0)</f>
        <v/>
      </c>
      <c r="B250">
        <f>B249+A250</f>
        <v/>
      </c>
      <c r="C250">
        <f>IF(247&gt;$B$1503,"",MATCH(247-0.5,$B$3:$B$1503,1))</f>
        <v/>
      </c>
      <c r="D250">
        <f>"CNA certification ("&amp;IF(LEN(INDEX('Aides'!$C$4:$C$503,247))=0,"",INDEX('Aides'!$C$4:$C$503,247))&amp;") – "&amp;IF(LEN(INDEX('Aides'!$A$4:$A$503,247))=0,"",INDEX('Aides'!$A$4:$A$503,247))</f>
        <v/>
      </c>
      <c r="E250">
        <f>IF(ISNUMBER(INDEX('Aides'!$I$4:$I$503,247)),TEXT(INDEX('Aides'!$I$4:$I$503,247),"yyyy-mm-dd"),"")</f>
        <v/>
      </c>
      <c r="F250">
        <f>"Certification"</f>
        <v/>
      </c>
      <c r="G250">
        <f>"High"</f>
        <v/>
      </c>
      <c r="H250">
        <f>TRIM(IF(LEN(IF(LEN(INDEX('Aides'!$D$4:$D$503,247))=0,"",INDEX('Aides'!$D$4:$D$503,247)))=0,"","Registry no.: "&amp;IF(LEN(INDEX('Aides'!$D$4:$D$503,247))=0,"",INDEX('Aides'!$D$4:$D$503,247))&amp;". ")&amp;IF(LEN(IF(ISNUMBER(INDEX('Aides'!$F$4:$F$503,247)),TEXT(INDEX('Aides'!$F$4:$F$503,247),"yyyy-mm-dd"),""))=0,"","Registry expiry: "&amp;IF(ISNUMBER(INDEX('Aides'!$F$4:$F$503,247)),TEXT(INDEX('Aides'!$F$4:$F$503,247),"yyyy-mm-dd"),"")&amp;". ")&amp;IF(LEN(IF(ISNUMBER(INDEX('Aides'!$G$4:$G$503,247)),TEXT(INDEX('Aides'!$G$4:$G$503,247),"yyyy-mm-dd"),""))=0,"","Last paid nursing work: "&amp;IF(ISNUMBER(INDEX('Aides'!$G$4:$G$503,247)),TEXT(INDEX('Aides'!$G$4:$G$503,247),"yyyy-mm-dd"),"")&amp;". ")&amp;IF(LEN(IF(ISNUMBER(INDEX('Aides'!$H$4:$H$503,247)),TEXT(INDEX('Aides'!$H$4:$H$503,247),"yyyy-mm-dd"),""))=0,"","24-month cut-off: "&amp;IF(ISNUMBER(INDEX('Aides'!$H$4:$H$503,247)),TEXT(INDEX('Aides'!$H$4:$H$503,247),"yyyy-mm-dd"),"")&amp;". ")&amp;IF(LEN(IF(LEN(INDEX('Aides'!$U$4:$U$503,247))=0,"",INDEX('Aides'!$U$4:$U$503,247)))=0,"","Owner: "&amp;IF(LEN(INDEX('Aides'!$U$4:$U$503,247))=0,"",INDEX('Aides'!$U$4:$U$503,247))&amp;". ")&amp;IF(LEN(IF(LEN(INDEX('Aides'!$X$4:$X$503,247))=0,"",INDEX('Aides'!$X$4:$X$503,247)))=0,"",IF(LEN(INDEX('Aides'!$X$4:$X$503,247))=0,"",INDEX('Aides'!$X$4:$X$503,247))))</f>
        <v/>
      </c>
      <c r="I250">
        <f>IF(LEN(INDEX('Aides'!$W$4:$W$503,247))=0,"",INDEX('Aides'!$W$4:$W$503,247))</f>
        <v/>
      </c>
      <c r="J250">
        <f>IF(LEN(INDEX('Aides'!$V$4:$V$503,247))=0,"",INDEX('Aides'!$V$4:$V$503,247))</f>
        <v/>
      </c>
    </row>
    <row r="251">
      <c r="A251">
        <f>IF(AND(LEN('Aides'!A251)&gt;0,ISNUMBER('Aides'!I251)),1,0)</f>
        <v/>
      </c>
      <c r="B251">
        <f>B250+A251</f>
        <v/>
      </c>
      <c r="C251">
        <f>IF(248&gt;$B$1503,"",MATCH(248-0.5,$B$3:$B$1503,1))</f>
        <v/>
      </c>
      <c r="D251">
        <f>"CNA certification ("&amp;IF(LEN(INDEX('Aides'!$C$4:$C$503,248))=0,"",INDEX('Aides'!$C$4:$C$503,248))&amp;") – "&amp;IF(LEN(INDEX('Aides'!$A$4:$A$503,248))=0,"",INDEX('Aides'!$A$4:$A$503,248))</f>
        <v/>
      </c>
      <c r="E251">
        <f>IF(ISNUMBER(INDEX('Aides'!$I$4:$I$503,248)),TEXT(INDEX('Aides'!$I$4:$I$503,248),"yyyy-mm-dd"),"")</f>
        <v/>
      </c>
      <c r="F251">
        <f>"Certification"</f>
        <v/>
      </c>
      <c r="G251">
        <f>"High"</f>
        <v/>
      </c>
      <c r="H251">
        <f>TRIM(IF(LEN(IF(LEN(INDEX('Aides'!$D$4:$D$503,248))=0,"",INDEX('Aides'!$D$4:$D$503,248)))=0,"","Registry no.: "&amp;IF(LEN(INDEX('Aides'!$D$4:$D$503,248))=0,"",INDEX('Aides'!$D$4:$D$503,248))&amp;". ")&amp;IF(LEN(IF(ISNUMBER(INDEX('Aides'!$F$4:$F$503,248)),TEXT(INDEX('Aides'!$F$4:$F$503,248),"yyyy-mm-dd"),""))=0,"","Registry expiry: "&amp;IF(ISNUMBER(INDEX('Aides'!$F$4:$F$503,248)),TEXT(INDEX('Aides'!$F$4:$F$503,248),"yyyy-mm-dd"),"")&amp;". ")&amp;IF(LEN(IF(ISNUMBER(INDEX('Aides'!$G$4:$G$503,248)),TEXT(INDEX('Aides'!$G$4:$G$503,248),"yyyy-mm-dd"),""))=0,"","Last paid nursing work: "&amp;IF(ISNUMBER(INDEX('Aides'!$G$4:$G$503,248)),TEXT(INDEX('Aides'!$G$4:$G$503,248),"yyyy-mm-dd"),"")&amp;". ")&amp;IF(LEN(IF(ISNUMBER(INDEX('Aides'!$H$4:$H$503,248)),TEXT(INDEX('Aides'!$H$4:$H$503,248),"yyyy-mm-dd"),""))=0,"","24-month cut-off: "&amp;IF(ISNUMBER(INDEX('Aides'!$H$4:$H$503,248)),TEXT(INDEX('Aides'!$H$4:$H$503,248),"yyyy-mm-dd"),"")&amp;". ")&amp;IF(LEN(IF(LEN(INDEX('Aides'!$U$4:$U$503,248))=0,"",INDEX('Aides'!$U$4:$U$503,248)))=0,"","Owner: "&amp;IF(LEN(INDEX('Aides'!$U$4:$U$503,248))=0,"",INDEX('Aides'!$U$4:$U$503,248))&amp;". ")&amp;IF(LEN(IF(LEN(INDEX('Aides'!$X$4:$X$503,248))=0,"",INDEX('Aides'!$X$4:$X$503,248)))=0,"",IF(LEN(INDEX('Aides'!$X$4:$X$503,248))=0,"",INDEX('Aides'!$X$4:$X$503,248))))</f>
        <v/>
      </c>
      <c r="I251">
        <f>IF(LEN(INDEX('Aides'!$W$4:$W$503,248))=0,"",INDEX('Aides'!$W$4:$W$503,248))</f>
        <v/>
      </c>
      <c r="J251">
        <f>IF(LEN(INDEX('Aides'!$V$4:$V$503,248))=0,"",INDEX('Aides'!$V$4:$V$503,248))</f>
        <v/>
      </c>
    </row>
    <row r="252">
      <c r="A252">
        <f>IF(AND(LEN('Aides'!A252)&gt;0,ISNUMBER('Aides'!I252)),1,0)</f>
        <v/>
      </c>
      <c r="B252">
        <f>B251+A252</f>
        <v/>
      </c>
      <c r="C252">
        <f>IF(249&gt;$B$1503,"",MATCH(249-0.5,$B$3:$B$1503,1))</f>
        <v/>
      </c>
      <c r="D252">
        <f>"CNA certification ("&amp;IF(LEN(INDEX('Aides'!$C$4:$C$503,249))=0,"",INDEX('Aides'!$C$4:$C$503,249))&amp;") – "&amp;IF(LEN(INDEX('Aides'!$A$4:$A$503,249))=0,"",INDEX('Aides'!$A$4:$A$503,249))</f>
        <v/>
      </c>
      <c r="E252">
        <f>IF(ISNUMBER(INDEX('Aides'!$I$4:$I$503,249)),TEXT(INDEX('Aides'!$I$4:$I$503,249),"yyyy-mm-dd"),"")</f>
        <v/>
      </c>
      <c r="F252">
        <f>"Certification"</f>
        <v/>
      </c>
      <c r="G252">
        <f>"High"</f>
        <v/>
      </c>
      <c r="H252">
        <f>TRIM(IF(LEN(IF(LEN(INDEX('Aides'!$D$4:$D$503,249))=0,"",INDEX('Aides'!$D$4:$D$503,249)))=0,"","Registry no.: "&amp;IF(LEN(INDEX('Aides'!$D$4:$D$503,249))=0,"",INDEX('Aides'!$D$4:$D$503,249))&amp;". ")&amp;IF(LEN(IF(ISNUMBER(INDEX('Aides'!$F$4:$F$503,249)),TEXT(INDEX('Aides'!$F$4:$F$503,249),"yyyy-mm-dd"),""))=0,"","Registry expiry: "&amp;IF(ISNUMBER(INDEX('Aides'!$F$4:$F$503,249)),TEXT(INDEX('Aides'!$F$4:$F$503,249),"yyyy-mm-dd"),"")&amp;". ")&amp;IF(LEN(IF(ISNUMBER(INDEX('Aides'!$G$4:$G$503,249)),TEXT(INDEX('Aides'!$G$4:$G$503,249),"yyyy-mm-dd"),""))=0,"","Last paid nursing work: "&amp;IF(ISNUMBER(INDEX('Aides'!$G$4:$G$503,249)),TEXT(INDEX('Aides'!$G$4:$G$503,249),"yyyy-mm-dd"),"")&amp;". ")&amp;IF(LEN(IF(ISNUMBER(INDEX('Aides'!$H$4:$H$503,249)),TEXT(INDEX('Aides'!$H$4:$H$503,249),"yyyy-mm-dd"),""))=0,"","24-month cut-off: "&amp;IF(ISNUMBER(INDEX('Aides'!$H$4:$H$503,249)),TEXT(INDEX('Aides'!$H$4:$H$503,249),"yyyy-mm-dd"),"")&amp;". ")&amp;IF(LEN(IF(LEN(INDEX('Aides'!$U$4:$U$503,249))=0,"",INDEX('Aides'!$U$4:$U$503,249)))=0,"","Owner: "&amp;IF(LEN(INDEX('Aides'!$U$4:$U$503,249))=0,"",INDEX('Aides'!$U$4:$U$503,249))&amp;". ")&amp;IF(LEN(IF(LEN(INDEX('Aides'!$X$4:$X$503,249))=0,"",INDEX('Aides'!$X$4:$X$503,249)))=0,"",IF(LEN(INDEX('Aides'!$X$4:$X$503,249))=0,"",INDEX('Aides'!$X$4:$X$503,249))))</f>
        <v/>
      </c>
      <c r="I252">
        <f>IF(LEN(INDEX('Aides'!$W$4:$W$503,249))=0,"",INDEX('Aides'!$W$4:$W$503,249))</f>
        <v/>
      </c>
      <c r="J252">
        <f>IF(LEN(INDEX('Aides'!$V$4:$V$503,249))=0,"",INDEX('Aides'!$V$4:$V$503,249))</f>
        <v/>
      </c>
    </row>
    <row r="253">
      <c r="A253">
        <f>IF(AND(LEN('Aides'!A253)&gt;0,ISNUMBER('Aides'!I253)),1,0)</f>
        <v/>
      </c>
      <c r="B253">
        <f>B252+A253</f>
        <v/>
      </c>
      <c r="C253">
        <f>IF(250&gt;$B$1503,"",MATCH(250-0.5,$B$3:$B$1503,1))</f>
        <v/>
      </c>
      <c r="D253">
        <f>"CNA certification ("&amp;IF(LEN(INDEX('Aides'!$C$4:$C$503,250))=0,"",INDEX('Aides'!$C$4:$C$503,250))&amp;") – "&amp;IF(LEN(INDEX('Aides'!$A$4:$A$503,250))=0,"",INDEX('Aides'!$A$4:$A$503,250))</f>
        <v/>
      </c>
      <c r="E253">
        <f>IF(ISNUMBER(INDEX('Aides'!$I$4:$I$503,250)),TEXT(INDEX('Aides'!$I$4:$I$503,250),"yyyy-mm-dd"),"")</f>
        <v/>
      </c>
      <c r="F253">
        <f>"Certification"</f>
        <v/>
      </c>
      <c r="G253">
        <f>"High"</f>
        <v/>
      </c>
      <c r="H253">
        <f>TRIM(IF(LEN(IF(LEN(INDEX('Aides'!$D$4:$D$503,250))=0,"",INDEX('Aides'!$D$4:$D$503,250)))=0,"","Registry no.: "&amp;IF(LEN(INDEX('Aides'!$D$4:$D$503,250))=0,"",INDEX('Aides'!$D$4:$D$503,250))&amp;". ")&amp;IF(LEN(IF(ISNUMBER(INDEX('Aides'!$F$4:$F$503,250)),TEXT(INDEX('Aides'!$F$4:$F$503,250),"yyyy-mm-dd"),""))=0,"","Registry expiry: "&amp;IF(ISNUMBER(INDEX('Aides'!$F$4:$F$503,250)),TEXT(INDEX('Aides'!$F$4:$F$503,250),"yyyy-mm-dd"),"")&amp;". ")&amp;IF(LEN(IF(ISNUMBER(INDEX('Aides'!$G$4:$G$503,250)),TEXT(INDEX('Aides'!$G$4:$G$503,250),"yyyy-mm-dd"),""))=0,"","Last paid nursing work: "&amp;IF(ISNUMBER(INDEX('Aides'!$G$4:$G$503,250)),TEXT(INDEX('Aides'!$G$4:$G$503,250),"yyyy-mm-dd"),"")&amp;". ")&amp;IF(LEN(IF(ISNUMBER(INDEX('Aides'!$H$4:$H$503,250)),TEXT(INDEX('Aides'!$H$4:$H$503,250),"yyyy-mm-dd"),""))=0,"","24-month cut-off: "&amp;IF(ISNUMBER(INDEX('Aides'!$H$4:$H$503,250)),TEXT(INDEX('Aides'!$H$4:$H$503,250),"yyyy-mm-dd"),"")&amp;". ")&amp;IF(LEN(IF(LEN(INDEX('Aides'!$U$4:$U$503,250))=0,"",INDEX('Aides'!$U$4:$U$503,250)))=0,"","Owner: "&amp;IF(LEN(INDEX('Aides'!$U$4:$U$503,250))=0,"",INDEX('Aides'!$U$4:$U$503,250))&amp;". ")&amp;IF(LEN(IF(LEN(INDEX('Aides'!$X$4:$X$503,250))=0,"",INDEX('Aides'!$X$4:$X$503,250)))=0,"",IF(LEN(INDEX('Aides'!$X$4:$X$503,250))=0,"",INDEX('Aides'!$X$4:$X$503,250))))</f>
        <v/>
      </c>
      <c r="I253">
        <f>IF(LEN(INDEX('Aides'!$W$4:$W$503,250))=0,"",INDEX('Aides'!$W$4:$W$503,250))</f>
        <v/>
      </c>
      <c r="J253">
        <f>IF(LEN(INDEX('Aides'!$V$4:$V$503,250))=0,"",INDEX('Aides'!$V$4:$V$503,250))</f>
        <v/>
      </c>
    </row>
    <row r="254">
      <c r="A254">
        <f>IF(AND(LEN('Aides'!A254)&gt;0,ISNUMBER('Aides'!I254)),1,0)</f>
        <v/>
      </c>
      <c r="B254">
        <f>B253+A254</f>
        <v/>
      </c>
      <c r="C254">
        <f>IF(251&gt;$B$1503,"",MATCH(251-0.5,$B$3:$B$1503,1))</f>
        <v/>
      </c>
      <c r="D254">
        <f>"CNA certification ("&amp;IF(LEN(INDEX('Aides'!$C$4:$C$503,251))=0,"",INDEX('Aides'!$C$4:$C$503,251))&amp;") – "&amp;IF(LEN(INDEX('Aides'!$A$4:$A$503,251))=0,"",INDEX('Aides'!$A$4:$A$503,251))</f>
        <v/>
      </c>
      <c r="E254">
        <f>IF(ISNUMBER(INDEX('Aides'!$I$4:$I$503,251)),TEXT(INDEX('Aides'!$I$4:$I$503,251),"yyyy-mm-dd"),"")</f>
        <v/>
      </c>
      <c r="F254">
        <f>"Certification"</f>
        <v/>
      </c>
      <c r="G254">
        <f>"High"</f>
        <v/>
      </c>
      <c r="H254">
        <f>TRIM(IF(LEN(IF(LEN(INDEX('Aides'!$D$4:$D$503,251))=0,"",INDEX('Aides'!$D$4:$D$503,251)))=0,"","Registry no.: "&amp;IF(LEN(INDEX('Aides'!$D$4:$D$503,251))=0,"",INDEX('Aides'!$D$4:$D$503,251))&amp;". ")&amp;IF(LEN(IF(ISNUMBER(INDEX('Aides'!$F$4:$F$503,251)),TEXT(INDEX('Aides'!$F$4:$F$503,251),"yyyy-mm-dd"),""))=0,"","Registry expiry: "&amp;IF(ISNUMBER(INDEX('Aides'!$F$4:$F$503,251)),TEXT(INDEX('Aides'!$F$4:$F$503,251),"yyyy-mm-dd"),"")&amp;". ")&amp;IF(LEN(IF(ISNUMBER(INDEX('Aides'!$G$4:$G$503,251)),TEXT(INDEX('Aides'!$G$4:$G$503,251),"yyyy-mm-dd"),""))=0,"","Last paid nursing work: "&amp;IF(ISNUMBER(INDEX('Aides'!$G$4:$G$503,251)),TEXT(INDEX('Aides'!$G$4:$G$503,251),"yyyy-mm-dd"),"")&amp;". ")&amp;IF(LEN(IF(ISNUMBER(INDEX('Aides'!$H$4:$H$503,251)),TEXT(INDEX('Aides'!$H$4:$H$503,251),"yyyy-mm-dd"),""))=0,"","24-month cut-off: "&amp;IF(ISNUMBER(INDEX('Aides'!$H$4:$H$503,251)),TEXT(INDEX('Aides'!$H$4:$H$503,251),"yyyy-mm-dd"),"")&amp;". ")&amp;IF(LEN(IF(LEN(INDEX('Aides'!$U$4:$U$503,251))=0,"",INDEX('Aides'!$U$4:$U$503,251)))=0,"","Owner: "&amp;IF(LEN(INDEX('Aides'!$U$4:$U$503,251))=0,"",INDEX('Aides'!$U$4:$U$503,251))&amp;". ")&amp;IF(LEN(IF(LEN(INDEX('Aides'!$X$4:$X$503,251))=0,"",INDEX('Aides'!$X$4:$X$503,251)))=0,"",IF(LEN(INDEX('Aides'!$X$4:$X$503,251))=0,"",INDEX('Aides'!$X$4:$X$503,251))))</f>
        <v/>
      </c>
      <c r="I254">
        <f>IF(LEN(INDEX('Aides'!$W$4:$W$503,251))=0,"",INDEX('Aides'!$W$4:$W$503,251))</f>
        <v/>
      </c>
      <c r="J254">
        <f>IF(LEN(INDEX('Aides'!$V$4:$V$503,251))=0,"",INDEX('Aides'!$V$4:$V$503,251))</f>
        <v/>
      </c>
    </row>
    <row r="255">
      <c r="A255">
        <f>IF(AND(LEN('Aides'!A255)&gt;0,ISNUMBER('Aides'!I255)),1,0)</f>
        <v/>
      </c>
      <c r="B255">
        <f>B254+A255</f>
        <v/>
      </c>
      <c r="C255">
        <f>IF(252&gt;$B$1503,"",MATCH(252-0.5,$B$3:$B$1503,1))</f>
        <v/>
      </c>
      <c r="D255">
        <f>"CNA certification ("&amp;IF(LEN(INDEX('Aides'!$C$4:$C$503,252))=0,"",INDEX('Aides'!$C$4:$C$503,252))&amp;") – "&amp;IF(LEN(INDEX('Aides'!$A$4:$A$503,252))=0,"",INDEX('Aides'!$A$4:$A$503,252))</f>
        <v/>
      </c>
      <c r="E255">
        <f>IF(ISNUMBER(INDEX('Aides'!$I$4:$I$503,252)),TEXT(INDEX('Aides'!$I$4:$I$503,252),"yyyy-mm-dd"),"")</f>
        <v/>
      </c>
      <c r="F255">
        <f>"Certification"</f>
        <v/>
      </c>
      <c r="G255">
        <f>"High"</f>
        <v/>
      </c>
      <c r="H255">
        <f>TRIM(IF(LEN(IF(LEN(INDEX('Aides'!$D$4:$D$503,252))=0,"",INDEX('Aides'!$D$4:$D$503,252)))=0,"","Registry no.: "&amp;IF(LEN(INDEX('Aides'!$D$4:$D$503,252))=0,"",INDEX('Aides'!$D$4:$D$503,252))&amp;". ")&amp;IF(LEN(IF(ISNUMBER(INDEX('Aides'!$F$4:$F$503,252)),TEXT(INDEX('Aides'!$F$4:$F$503,252),"yyyy-mm-dd"),""))=0,"","Registry expiry: "&amp;IF(ISNUMBER(INDEX('Aides'!$F$4:$F$503,252)),TEXT(INDEX('Aides'!$F$4:$F$503,252),"yyyy-mm-dd"),"")&amp;". ")&amp;IF(LEN(IF(ISNUMBER(INDEX('Aides'!$G$4:$G$503,252)),TEXT(INDEX('Aides'!$G$4:$G$503,252),"yyyy-mm-dd"),""))=0,"","Last paid nursing work: "&amp;IF(ISNUMBER(INDEX('Aides'!$G$4:$G$503,252)),TEXT(INDEX('Aides'!$G$4:$G$503,252),"yyyy-mm-dd"),"")&amp;". ")&amp;IF(LEN(IF(ISNUMBER(INDEX('Aides'!$H$4:$H$503,252)),TEXT(INDEX('Aides'!$H$4:$H$503,252),"yyyy-mm-dd"),""))=0,"","24-month cut-off: "&amp;IF(ISNUMBER(INDEX('Aides'!$H$4:$H$503,252)),TEXT(INDEX('Aides'!$H$4:$H$503,252),"yyyy-mm-dd"),"")&amp;". ")&amp;IF(LEN(IF(LEN(INDEX('Aides'!$U$4:$U$503,252))=0,"",INDEX('Aides'!$U$4:$U$503,252)))=0,"","Owner: "&amp;IF(LEN(INDEX('Aides'!$U$4:$U$503,252))=0,"",INDEX('Aides'!$U$4:$U$503,252))&amp;". ")&amp;IF(LEN(IF(LEN(INDEX('Aides'!$X$4:$X$503,252))=0,"",INDEX('Aides'!$X$4:$X$503,252)))=0,"",IF(LEN(INDEX('Aides'!$X$4:$X$503,252))=0,"",INDEX('Aides'!$X$4:$X$503,252))))</f>
        <v/>
      </c>
      <c r="I255">
        <f>IF(LEN(INDEX('Aides'!$W$4:$W$503,252))=0,"",INDEX('Aides'!$W$4:$W$503,252))</f>
        <v/>
      </c>
      <c r="J255">
        <f>IF(LEN(INDEX('Aides'!$V$4:$V$503,252))=0,"",INDEX('Aides'!$V$4:$V$503,252))</f>
        <v/>
      </c>
    </row>
    <row r="256">
      <c r="A256">
        <f>IF(AND(LEN('Aides'!A256)&gt;0,ISNUMBER('Aides'!I256)),1,0)</f>
        <v/>
      </c>
      <c r="B256">
        <f>B255+A256</f>
        <v/>
      </c>
      <c r="C256">
        <f>IF(253&gt;$B$1503,"",MATCH(253-0.5,$B$3:$B$1503,1))</f>
        <v/>
      </c>
      <c r="D256">
        <f>"CNA certification ("&amp;IF(LEN(INDEX('Aides'!$C$4:$C$503,253))=0,"",INDEX('Aides'!$C$4:$C$503,253))&amp;") – "&amp;IF(LEN(INDEX('Aides'!$A$4:$A$503,253))=0,"",INDEX('Aides'!$A$4:$A$503,253))</f>
        <v/>
      </c>
      <c r="E256">
        <f>IF(ISNUMBER(INDEX('Aides'!$I$4:$I$503,253)),TEXT(INDEX('Aides'!$I$4:$I$503,253),"yyyy-mm-dd"),"")</f>
        <v/>
      </c>
      <c r="F256">
        <f>"Certification"</f>
        <v/>
      </c>
      <c r="G256">
        <f>"High"</f>
        <v/>
      </c>
      <c r="H256">
        <f>TRIM(IF(LEN(IF(LEN(INDEX('Aides'!$D$4:$D$503,253))=0,"",INDEX('Aides'!$D$4:$D$503,253)))=0,"","Registry no.: "&amp;IF(LEN(INDEX('Aides'!$D$4:$D$503,253))=0,"",INDEX('Aides'!$D$4:$D$503,253))&amp;". ")&amp;IF(LEN(IF(ISNUMBER(INDEX('Aides'!$F$4:$F$503,253)),TEXT(INDEX('Aides'!$F$4:$F$503,253),"yyyy-mm-dd"),""))=0,"","Registry expiry: "&amp;IF(ISNUMBER(INDEX('Aides'!$F$4:$F$503,253)),TEXT(INDEX('Aides'!$F$4:$F$503,253),"yyyy-mm-dd"),"")&amp;". ")&amp;IF(LEN(IF(ISNUMBER(INDEX('Aides'!$G$4:$G$503,253)),TEXT(INDEX('Aides'!$G$4:$G$503,253),"yyyy-mm-dd"),""))=0,"","Last paid nursing work: "&amp;IF(ISNUMBER(INDEX('Aides'!$G$4:$G$503,253)),TEXT(INDEX('Aides'!$G$4:$G$503,253),"yyyy-mm-dd"),"")&amp;". ")&amp;IF(LEN(IF(ISNUMBER(INDEX('Aides'!$H$4:$H$503,253)),TEXT(INDEX('Aides'!$H$4:$H$503,253),"yyyy-mm-dd"),""))=0,"","24-month cut-off: "&amp;IF(ISNUMBER(INDEX('Aides'!$H$4:$H$503,253)),TEXT(INDEX('Aides'!$H$4:$H$503,253),"yyyy-mm-dd"),"")&amp;". ")&amp;IF(LEN(IF(LEN(INDEX('Aides'!$U$4:$U$503,253))=0,"",INDEX('Aides'!$U$4:$U$503,253)))=0,"","Owner: "&amp;IF(LEN(INDEX('Aides'!$U$4:$U$503,253))=0,"",INDEX('Aides'!$U$4:$U$503,253))&amp;". ")&amp;IF(LEN(IF(LEN(INDEX('Aides'!$X$4:$X$503,253))=0,"",INDEX('Aides'!$X$4:$X$503,253)))=0,"",IF(LEN(INDEX('Aides'!$X$4:$X$503,253))=0,"",INDEX('Aides'!$X$4:$X$503,253))))</f>
        <v/>
      </c>
      <c r="I256">
        <f>IF(LEN(INDEX('Aides'!$W$4:$W$503,253))=0,"",INDEX('Aides'!$W$4:$W$503,253))</f>
        <v/>
      </c>
      <c r="J256">
        <f>IF(LEN(INDEX('Aides'!$V$4:$V$503,253))=0,"",INDEX('Aides'!$V$4:$V$503,253))</f>
        <v/>
      </c>
    </row>
    <row r="257">
      <c r="A257">
        <f>IF(AND(LEN('Aides'!A257)&gt;0,ISNUMBER('Aides'!I257)),1,0)</f>
        <v/>
      </c>
      <c r="B257">
        <f>B256+A257</f>
        <v/>
      </c>
      <c r="C257">
        <f>IF(254&gt;$B$1503,"",MATCH(254-0.5,$B$3:$B$1503,1))</f>
        <v/>
      </c>
      <c r="D257">
        <f>"CNA certification ("&amp;IF(LEN(INDEX('Aides'!$C$4:$C$503,254))=0,"",INDEX('Aides'!$C$4:$C$503,254))&amp;") – "&amp;IF(LEN(INDEX('Aides'!$A$4:$A$503,254))=0,"",INDEX('Aides'!$A$4:$A$503,254))</f>
        <v/>
      </c>
      <c r="E257">
        <f>IF(ISNUMBER(INDEX('Aides'!$I$4:$I$503,254)),TEXT(INDEX('Aides'!$I$4:$I$503,254),"yyyy-mm-dd"),"")</f>
        <v/>
      </c>
      <c r="F257">
        <f>"Certification"</f>
        <v/>
      </c>
      <c r="G257">
        <f>"High"</f>
        <v/>
      </c>
      <c r="H257">
        <f>TRIM(IF(LEN(IF(LEN(INDEX('Aides'!$D$4:$D$503,254))=0,"",INDEX('Aides'!$D$4:$D$503,254)))=0,"","Registry no.: "&amp;IF(LEN(INDEX('Aides'!$D$4:$D$503,254))=0,"",INDEX('Aides'!$D$4:$D$503,254))&amp;". ")&amp;IF(LEN(IF(ISNUMBER(INDEX('Aides'!$F$4:$F$503,254)),TEXT(INDEX('Aides'!$F$4:$F$503,254),"yyyy-mm-dd"),""))=0,"","Registry expiry: "&amp;IF(ISNUMBER(INDEX('Aides'!$F$4:$F$503,254)),TEXT(INDEX('Aides'!$F$4:$F$503,254),"yyyy-mm-dd"),"")&amp;". ")&amp;IF(LEN(IF(ISNUMBER(INDEX('Aides'!$G$4:$G$503,254)),TEXT(INDEX('Aides'!$G$4:$G$503,254),"yyyy-mm-dd"),""))=0,"","Last paid nursing work: "&amp;IF(ISNUMBER(INDEX('Aides'!$G$4:$G$503,254)),TEXT(INDEX('Aides'!$G$4:$G$503,254),"yyyy-mm-dd"),"")&amp;". ")&amp;IF(LEN(IF(ISNUMBER(INDEX('Aides'!$H$4:$H$503,254)),TEXT(INDEX('Aides'!$H$4:$H$503,254),"yyyy-mm-dd"),""))=0,"","24-month cut-off: "&amp;IF(ISNUMBER(INDEX('Aides'!$H$4:$H$503,254)),TEXT(INDEX('Aides'!$H$4:$H$503,254),"yyyy-mm-dd"),"")&amp;". ")&amp;IF(LEN(IF(LEN(INDEX('Aides'!$U$4:$U$503,254))=0,"",INDEX('Aides'!$U$4:$U$503,254)))=0,"","Owner: "&amp;IF(LEN(INDEX('Aides'!$U$4:$U$503,254))=0,"",INDEX('Aides'!$U$4:$U$503,254))&amp;". ")&amp;IF(LEN(IF(LEN(INDEX('Aides'!$X$4:$X$503,254))=0,"",INDEX('Aides'!$X$4:$X$503,254)))=0,"",IF(LEN(INDEX('Aides'!$X$4:$X$503,254))=0,"",INDEX('Aides'!$X$4:$X$503,254))))</f>
        <v/>
      </c>
      <c r="I257">
        <f>IF(LEN(INDEX('Aides'!$W$4:$W$503,254))=0,"",INDEX('Aides'!$W$4:$W$503,254))</f>
        <v/>
      </c>
      <c r="J257">
        <f>IF(LEN(INDEX('Aides'!$V$4:$V$503,254))=0,"",INDEX('Aides'!$V$4:$V$503,254))</f>
        <v/>
      </c>
    </row>
    <row r="258">
      <c r="A258">
        <f>IF(AND(LEN('Aides'!A258)&gt;0,ISNUMBER('Aides'!I258)),1,0)</f>
        <v/>
      </c>
      <c r="B258">
        <f>B257+A258</f>
        <v/>
      </c>
      <c r="C258">
        <f>IF(255&gt;$B$1503,"",MATCH(255-0.5,$B$3:$B$1503,1))</f>
        <v/>
      </c>
      <c r="D258">
        <f>"CNA certification ("&amp;IF(LEN(INDEX('Aides'!$C$4:$C$503,255))=0,"",INDEX('Aides'!$C$4:$C$503,255))&amp;") – "&amp;IF(LEN(INDEX('Aides'!$A$4:$A$503,255))=0,"",INDEX('Aides'!$A$4:$A$503,255))</f>
        <v/>
      </c>
      <c r="E258">
        <f>IF(ISNUMBER(INDEX('Aides'!$I$4:$I$503,255)),TEXT(INDEX('Aides'!$I$4:$I$503,255),"yyyy-mm-dd"),"")</f>
        <v/>
      </c>
      <c r="F258">
        <f>"Certification"</f>
        <v/>
      </c>
      <c r="G258">
        <f>"High"</f>
        <v/>
      </c>
      <c r="H258">
        <f>TRIM(IF(LEN(IF(LEN(INDEX('Aides'!$D$4:$D$503,255))=0,"",INDEX('Aides'!$D$4:$D$503,255)))=0,"","Registry no.: "&amp;IF(LEN(INDEX('Aides'!$D$4:$D$503,255))=0,"",INDEX('Aides'!$D$4:$D$503,255))&amp;". ")&amp;IF(LEN(IF(ISNUMBER(INDEX('Aides'!$F$4:$F$503,255)),TEXT(INDEX('Aides'!$F$4:$F$503,255),"yyyy-mm-dd"),""))=0,"","Registry expiry: "&amp;IF(ISNUMBER(INDEX('Aides'!$F$4:$F$503,255)),TEXT(INDEX('Aides'!$F$4:$F$503,255),"yyyy-mm-dd"),"")&amp;". ")&amp;IF(LEN(IF(ISNUMBER(INDEX('Aides'!$G$4:$G$503,255)),TEXT(INDEX('Aides'!$G$4:$G$503,255),"yyyy-mm-dd"),""))=0,"","Last paid nursing work: "&amp;IF(ISNUMBER(INDEX('Aides'!$G$4:$G$503,255)),TEXT(INDEX('Aides'!$G$4:$G$503,255),"yyyy-mm-dd"),"")&amp;". ")&amp;IF(LEN(IF(ISNUMBER(INDEX('Aides'!$H$4:$H$503,255)),TEXT(INDEX('Aides'!$H$4:$H$503,255),"yyyy-mm-dd"),""))=0,"","24-month cut-off: "&amp;IF(ISNUMBER(INDEX('Aides'!$H$4:$H$503,255)),TEXT(INDEX('Aides'!$H$4:$H$503,255),"yyyy-mm-dd"),"")&amp;". ")&amp;IF(LEN(IF(LEN(INDEX('Aides'!$U$4:$U$503,255))=0,"",INDEX('Aides'!$U$4:$U$503,255)))=0,"","Owner: "&amp;IF(LEN(INDEX('Aides'!$U$4:$U$503,255))=0,"",INDEX('Aides'!$U$4:$U$503,255))&amp;". ")&amp;IF(LEN(IF(LEN(INDEX('Aides'!$X$4:$X$503,255))=0,"",INDEX('Aides'!$X$4:$X$503,255)))=0,"",IF(LEN(INDEX('Aides'!$X$4:$X$503,255))=0,"",INDEX('Aides'!$X$4:$X$503,255))))</f>
        <v/>
      </c>
      <c r="I258">
        <f>IF(LEN(INDEX('Aides'!$W$4:$W$503,255))=0,"",INDEX('Aides'!$W$4:$W$503,255))</f>
        <v/>
      </c>
      <c r="J258">
        <f>IF(LEN(INDEX('Aides'!$V$4:$V$503,255))=0,"",INDEX('Aides'!$V$4:$V$503,255))</f>
        <v/>
      </c>
    </row>
    <row r="259">
      <c r="A259">
        <f>IF(AND(LEN('Aides'!A259)&gt;0,ISNUMBER('Aides'!I259)),1,0)</f>
        <v/>
      </c>
      <c r="B259">
        <f>B258+A259</f>
        <v/>
      </c>
      <c r="C259">
        <f>IF(256&gt;$B$1503,"",MATCH(256-0.5,$B$3:$B$1503,1))</f>
        <v/>
      </c>
      <c r="D259">
        <f>"CNA certification ("&amp;IF(LEN(INDEX('Aides'!$C$4:$C$503,256))=0,"",INDEX('Aides'!$C$4:$C$503,256))&amp;") – "&amp;IF(LEN(INDEX('Aides'!$A$4:$A$503,256))=0,"",INDEX('Aides'!$A$4:$A$503,256))</f>
        <v/>
      </c>
      <c r="E259">
        <f>IF(ISNUMBER(INDEX('Aides'!$I$4:$I$503,256)),TEXT(INDEX('Aides'!$I$4:$I$503,256),"yyyy-mm-dd"),"")</f>
        <v/>
      </c>
      <c r="F259">
        <f>"Certification"</f>
        <v/>
      </c>
      <c r="G259">
        <f>"High"</f>
        <v/>
      </c>
      <c r="H259">
        <f>TRIM(IF(LEN(IF(LEN(INDEX('Aides'!$D$4:$D$503,256))=0,"",INDEX('Aides'!$D$4:$D$503,256)))=0,"","Registry no.: "&amp;IF(LEN(INDEX('Aides'!$D$4:$D$503,256))=0,"",INDEX('Aides'!$D$4:$D$503,256))&amp;". ")&amp;IF(LEN(IF(ISNUMBER(INDEX('Aides'!$F$4:$F$503,256)),TEXT(INDEX('Aides'!$F$4:$F$503,256),"yyyy-mm-dd"),""))=0,"","Registry expiry: "&amp;IF(ISNUMBER(INDEX('Aides'!$F$4:$F$503,256)),TEXT(INDEX('Aides'!$F$4:$F$503,256),"yyyy-mm-dd"),"")&amp;". ")&amp;IF(LEN(IF(ISNUMBER(INDEX('Aides'!$G$4:$G$503,256)),TEXT(INDEX('Aides'!$G$4:$G$503,256),"yyyy-mm-dd"),""))=0,"","Last paid nursing work: "&amp;IF(ISNUMBER(INDEX('Aides'!$G$4:$G$503,256)),TEXT(INDEX('Aides'!$G$4:$G$503,256),"yyyy-mm-dd"),"")&amp;". ")&amp;IF(LEN(IF(ISNUMBER(INDEX('Aides'!$H$4:$H$503,256)),TEXT(INDEX('Aides'!$H$4:$H$503,256),"yyyy-mm-dd"),""))=0,"","24-month cut-off: "&amp;IF(ISNUMBER(INDEX('Aides'!$H$4:$H$503,256)),TEXT(INDEX('Aides'!$H$4:$H$503,256),"yyyy-mm-dd"),"")&amp;". ")&amp;IF(LEN(IF(LEN(INDEX('Aides'!$U$4:$U$503,256))=0,"",INDEX('Aides'!$U$4:$U$503,256)))=0,"","Owner: "&amp;IF(LEN(INDEX('Aides'!$U$4:$U$503,256))=0,"",INDEX('Aides'!$U$4:$U$503,256))&amp;". ")&amp;IF(LEN(IF(LEN(INDEX('Aides'!$X$4:$X$503,256))=0,"",INDEX('Aides'!$X$4:$X$503,256)))=0,"",IF(LEN(INDEX('Aides'!$X$4:$X$503,256))=0,"",INDEX('Aides'!$X$4:$X$503,256))))</f>
        <v/>
      </c>
      <c r="I259">
        <f>IF(LEN(INDEX('Aides'!$W$4:$W$503,256))=0,"",INDEX('Aides'!$W$4:$W$503,256))</f>
        <v/>
      </c>
      <c r="J259">
        <f>IF(LEN(INDEX('Aides'!$V$4:$V$503,256))=0,"",INDEX('Aides'!$V$4:$V$503,256))</f>
        <v/>
      </c>
    </row>
    <row r="260">
      <c r="A260">
        <f>IF(AND(LEN('Aides'!A260)&gt;0,ISNUMBER('Aides'!I260)),1,0)</f>
        <v/>
      </c>
      <c r="B260">
        <f>B259+A260</f>
        <v/>
      </c>
      <c r="C260">
        <f>IF(257&gt;$B$1503,"",MATCH(257-0.5,$B$3:$B$1503,1))</f>
        <v/>
      </c>
      <c r="D260">
        <f>"CNA certification ("&amp;IF(LEN(INDEX('Aides'!$C$4:$C$503,257))=0,"",INDEX('Aides'!$C$4:$C$503,257))&amp;") – "&amp;IF(LEN(INDEX('Aides'!$A$4:$A$503,257))=0,"",INDEX('Aides'!$A$4:$A$503,257))</f>
        <v/>
      </c>
      <c r="E260">
        <f>IF(ISNUMBER(INDEX('Aides'!$I$4:$I$503,257)),TEXT(INDEX('Aides'!$I$4:$I$503,257),"yyyy-mm-dd"),"")</f>
        <v/>
      </c>
      <c r="F260">
        <f>"Certification"</f>
        <v/>
      </c>
      <c r="G260">
        <f>"High"</f>
        <v/>
      </c>
      <c r="H260">
        <f>TRIM(IF(LEN(IF(LEN(INDEX('Aides'!$D$4:$D$503,257))=0,"",INDEX('Aides'!$D$4:$D$503,257)))=0,"","Registry no.: "&amp;IF(LEN(INDEX('Aides'!$D$4:$D$503,257))=0,"",INDEX('Aides'!$D$4:$D$503,257))&amp;". ")&amp;IF(LEN(IF(ISNUMBER(INDEX('Aides'!$F$4:$F$503,257)),TEXT(INDEX('Aides'!$F$4:$F$503,257),"yyyy-mm-dd"),""))=0,"","Registry expiry: "&amp;IF(ISNUMBER(INDEX('Aides'!$F$4:$F$503,257)),TEXT(INDEX('Aides'!$F$4:$F$503,257),"yyyy-mm-dd"),"")&amp;". ")&amp;IF(LEN(IF(ISNUMBER(INDEX('Aides'!$G$4:$G$503,257)),TEXT(INDEX('Aides'!$G$4:$G$503,257),"yyyy-mm-dd"),""))=0,"","Last paid nursing work: "&amp;IF(ISNUMBER(INDEX('Aides'!$G$4:$G$503,257)),TEXT(INDEX('Aides'!$G$4:$G$503,257),"yyyy-mm-dd"),"")&amp;". ")&amp;IF(LEN(IF(ISNUMBER(INDEX('Aides'!$H$4:$H$503,257)),TEXT(INDEX('Aides'!$H$4:$H$503,257),"yyyy-mm-dd"),""))=0,"","24-month cut-off: "&amp;IF(ISNUMBER(INDEX('Aides'!$H$4:$H$503,257)),TEXT(INDEX('Aides'!$H$4:$H$503,257),"yyyy-mm-dd"),"")&amp;". ")&amp;IF(LEN(IF(LEN(INDEX('Aides'!$U$4:$U$503,257))=0,"",INDEX('Aides'!$U$4:$U$503,257)))=0,"","Owner: "&amp;IF(LEN(INDEX('Aides'!$U$4:$U$503,257))=0,"",INDEX('Aides'!$U$4:$U$503,257))&amp;". ")&amp;IF(LEN(IF(LEN(INDEX('Aides'!$X$4:$X$503,257))=0,"",INDEX('Aides'!$X$4:$X$503,257)))=0,"",IF(LEN(INDEX('Aides'!$X$4:$X$503,257))=0,"",INDEX('Aides'!$X$4:$X$503,257))))</f>
        <v/>
      </c>
      <c r="I260">
        <f>IF(LEN(INDEX('Aides'!$W$4:$W$503,257))=0,"",INDEX('Aides'!$W$4:$W$503,257))</f>
        <v/>
      </c>
      <c r="J260">
        <f>IF(LEN(INDEX('Aides'!$V$4:$V$503,257))=0,"",INDEX('Aides'!$V$4:$V$503,257))</f>
        <v/>
      </c>
    </row>
    <row r="261">
      <c r="A261">
        <f>IF(AND(LEN('Aides'!A261)&gt;0,ISNUMBER('Aides'!I261)),1,0)</f>
        <v/>
      </c>
      <c r="B261">
        <f>B260+A261</f>
        <v/>
      </c>
      <c r="C261">
        <f>IF(258&gt;$B$1503,"",MATCH(258-0.5,$B$3:$B$1503,1))</f>
        <v/>
      </c>
      <c r="D261">
        <f>"CNA certification ("&amp;IF(LEN(INDEX('Aides'!$C$4:$C$503,258))=0,"",INDEX('Aides'!$C$4:$C$503,258))&amp;") – "&amp;IF(LEN(INDEX('Aides'!$A$4:$A$503,258))=0,"",INDEX('Aides'!$A$4:$A$503,258))</f>
        <v/>
      </c>
      <c r="E261">
        <f>IF(ISNUMBER(INDEX('Aides'!$I$4:$I$503,258)),TEXT(INDEX('Aides'!$I$4:$I$503,258),"yyyy-mm-dd"),"")</f>
        <v/>
      </c>
      <c r="F261">
        <f>"Certification"</f>
        <v/>
      </c>
      <c r="G261">
        <f>"High"</f>
        <v/>
      </c>
      <c r="H261">
        <f>TRIM(IF(LEN(IF(LEN(INDEX('Aides'!$D$4:$D$503,258))=0,"",INDEX('Aides'!$D$4:$D$503,258)))=0,"","Registry no.: "&amp;IF(LEN(INDEX('Aides'!$D$4:$D$503,258))=0,"",INDEX('Aides'!$D$4:$D$503,258))&amp;". ")&amp;IF(LEN(IF(ISNUMBER(INDEX('Aides'!$F$4:$F$503,258)),TEXT(INDEX('Aides'!$F$4:$F$503,258),"yyyy-mm-dd"),""))=0,"","Registry expiry: "&amp;IF(ISNUMBER(INDEX('Aides'!$F$4:$F$503,258)),TEXT(INDEX('Aides'!$F$4:$F$503,258),"yyyy-mm-dd"),"")&amp;". ")&amp;IF(LEN(IF(ISNUMBER(INDEX('Aides'!$G$4:$G$503,258)),TEXT(INDEX('Aides'!$G$4:$G$503,258),"yyyy-mm-dd"),""))=0,"","Last paid nursing work: "&amp;IF(ISNUMBER(INDEX('Aides'!$G$4:$G$503,258)),TEXT(INDEX('Aides'!$G$4:$G$503,258),"yyyy-mm-dd"),"")&amp;". ")&amp;IF(LEN(IF(ISNUMBER(INDEX('Aides'!$H$4:$H$503,258)),TEXT(INDEX('Aides'!$H$4:$H$503,258),"yyyy-mm-dd"),""))=0,"","24-month cut-off: "&amp;IF(ISNUMBER(INDEX('Aides'!$H$4:$H$503,258)),TEXT(INDEX('Aides'!$H$4:$H$503,258),"yyyy-mm-dd"),"")&amp;". ")&amp;IF(LEN(IF(LEN(INDEX('Aides'!$U$4:$U$503,258))=0,"",INDEX('Aides'!$U$4:$U$503,258)))=0,"","Owner: "&amp;IF(LEN(INDEX('Aides'!$U$4:$U$503,258))=0,"",INDEX('Aides'!$U$4:$U$503,258))&amp;". ")&amp;IF(LEN(IF(LEN(INDEX('Aides'!$X$4:$X$503,258))=0,"",INDEX('Aides'!$X$4:$X$503,258)))=0,"",IF(LEN(INDEX('Aides'!$X$4:$X$503,258))=0,"",INDEX('Aides'!$X$4:$X$503,258))))</f>
        <v/>
      </c>
      <c r="I261">
        <f>IF(LEN(INDEX('Aides'!$W$4:$W$503,258))=0,"",INDEX('Aides'!$W$4:$W$503,258))</f>
        <v/>
      </c>
      <c r="J261">
        <f>IF(LEN(INDEX('Aides'!$V$4:$V$503,258))=0,"",INDEX('Aides'!$V$4:$V$503,258))</f>
        <v/>
      </c>
    </row>
    <row r="262">
      <c r="A262">
        <f>IF(AND(LEN('Aides'!A262)&gt;0,ISNUMBER('Aides'!I262)),1,0)</f>
        <v/>
      </c>
      <c r="B262">
        <f>B261+A262</f>
        <v/>
      </c>
      <c r="C262">
        <f>IF(259&gt;$B$1503,"",MATCH(259-0.5,$B$3:$B$1503,1))</f>
        <v/>
      </c>
      <c r="D262">
        <f>"CNA certification ("&amp;IF(LEN(INDEX('Aides'!$C$4:$C$503,259))=0,"",INDEX('Aides'!$C$4:$C$503,259))&amp;") – "&amp;IF(LEN(INDEX('Aides'!$A$4:$A$503,259))=0,"",INDEX('Aides'!$A$4:$A$503,259))</f>
        <v/>
      </c>
      <c r="E262">
        <f>IF(ISNUMBER(INDEX('Aides'!$I$4:$I$503,259)),TEXT(INDEX('Aides'!$I$4:$I$503,259),"yyyy-mm-dd"),"")</f>
        <v/>
      </c>
      <c r="F262">
        <f>"Certification"</f>
        <v/>
      </c>
      <c r="G262">
        <f>"High"</f>
        <v/>
      </c>
      <c r="H262">
        <f>TRIM(IF(LEN(IF(LEN(INDEX('Aides'!$D$4:$D$503,259))=0,"",INDEX('Aides'!$D$4:$D$503,259)))=0,"","Registry no.: "&amp;IF(LEN(INDEX('Aides'!$D$4:$D$503,259))=0,"",INDEX('Aides'!$D$4:$D$503,259))&amp;". ")&amp;IF(LEN(IF(ISNUMBER(INDEX('Aides'!$F$4:$F$503,259)),TEXT(INDEX('Aides'!$F$4:$F$503,259),"yyyy-mm-dd"),""))=0,"","Registry expiry: "&amp;IF(ISNUMBER(INDEX('Aides'!$F$4:$F$503,259)),TEXT(INDEX('Aides'!$F$4:$F$503,259),"yyyy-mm-dd"),"")&amp;". ")&amp;IF(LEN(IF(ISNUMBER(INDEX('Aides'!$G$4:$G$503,259)),TEXT(INDEX('Aides'!$G$4:$G$503,259),"yyyy-mm-dd"),""))=0,"","Last paid nursing work: "&amp;IF(ISNUMBER(INDEX('Aides'!$G$4:$G$503,259)),TEXT(INDEX('Aides'!$G$4:$G$503,259),"yyyy-mm-dd"),"")&amp;". ")&amp;IF(LEN(IF(ISNUMBER(INDEX('Aides'!$H$4:$H$503,259)),TEXT(INDEX('Aides'!$H$4:$H$503,259),"yyyy-mm-dd"),""))=0,"","24-month cut-off: "&amp;IF(ISNUMBER(INDEX('Aides'!$H$4:$H$503,259)),TEXT(INDEX('Aides'!$H$4:$H$503,259),"yyyy-mm-dd"),"")&amp;". ")&amp;IF(LEN(IF(LEN(INDEX('Aides'!$U$4:$U$503,259))=0,"",INDEX('Aides'!$U$4:$U$503,259)))=0,"","Owner: "&amp;IF(LEN(INDEX('Aides'!$U$4:$U$503,259))=0,"",INDEX('Aides'!$U$4:$U$503,259))&amp;". ")&amp;IF(LEN(IF(LEN(INDEX('Aides'!$X$4:$X$503,259))=0,"",INDEX('Aides'!$X$4:$X$503,259)))=0,"",IF(LEN(INDEX('Aides'!$X$4:$X$503,259))=0,"",INDEX('Aides'!$X$4:$X$503,259))))</f>
        <v/>
      </c>
      <c r="I262">
        <f>IF(LEN(INDEX('Aides'!$W$4:$W$503,259))=0,"",INDEX('Aides'!$W$4:$W$503,259))</f>
        <v/>
      </c>
      <c r="J262">
        <f>IF(LEN(INDEX('Aides'!$V$4:$V$503,259))=0,"",INDEX('Aides'!$V$4:$V$503,259))</f>
        <v/>
      </c>
    </row>
    <row r="263">
      <c r="A263">
        <f>IF(AND(LEN('Aides'!A263)&gt;0,ISNUMBER('Aides'!I263)),1,0)</f>
        <v/>
      </c>
      <c r="B263">
        <f>B262+A263</f>
        <v/>
      </c>
      <c r="C263">
        <f>IF(260&gt;$B$1503,"",MATCH(260-0.5,$B$3:$B$1503,1))</f>
        <v/>
      </c>
      <c r="D263">
        <f>"CNA certification ("&amp;IF(LEN(INDEX('Aides'!$C$4:$C$503,260))=0,"",INDEX('Aides'!$C$4:$C$503,260))&amp;") – "&amp;IF(LEN(INDEX('Aides'!$A$4:$A$503,260))=0,"",INDEX('Aides'!$A$4:$A$503,260))</f>
        <v/>
      </c>
      <c r="E263">
        <f>IF(ISNUMBER(INDEX('Aides'!$I$4:$I$503,260)),TEXT(INDEX('Aides'!$I$4:$I$503,260),"yyyy-mm-dd"),"")</f>
        <v/>
      </c>
      <c r="F263">
        <f>"Certification"</f>
        <v/>
      </c>
      <c r="G263">
        <f>"High"</f>
        <v/>
      </c>
      <c r="H263">
        <f>TRIM(IF(LEN(IF(LEN(INDEX('Aides'!$D$4:$D$503,260))=0,"",INDEX('Aides'!$D$4:$D$503,260)))=0,"","Registry no.: "&amp;IF(LEN(INDEX('Aides'!$D$4:$D$503,260))=0,"",INDEX('Aides'!$D$4:$D$503,260))&amp;". ")&amp;IF(LEN(IF(ISNUMBER(INDEX('Aides'!$F$4:$F$503,260)),TEXT(INDEX('Aides'!$F$4:$F$503,260),"yyyy-mm-dd"),""))=0,"","Registry expiry: "&amp;IF(ISNUMBER(INDEX('Aides'!$F$4:$F$503,260)),TEXT(INDEX('Aides'!$F$4:$F$503,260),"yyyy-mm-dd"),"")&amp;". ")&amp;IF(LEN(IF(ISNUMBER(INDEX('Aides'!$G$4:$G$503,260)),TEXT(INDEX('Aides'!$G$4:$G$503,260),"yyyy-mm-dd"),""))=0,"","Last paid nursing work: "&amp;IF(ISNUMBER(INDEX('Aides'!$G$4:$G$503,260)),TEXT(INDEX('Aides'!$G$4:$G$503,260),"yyyy-mm-dd"),"")&amp;". ")&amp;IF(LEN(IF(ISNUMBER(INDEX('Aides'!$H$4:$H$503,260)),TEXT(INDEX('Aides'!$H$4:$H$503,260),"yyyy-mm-dd"),""))=0,"","24-month cut-off: "&amp;IF(ISNUMBER(INDEX('Aides'!$H$4:$H$503,260)),TEXT(INDEX('Aides'!$H$4:$H$503,260),"yyyy-mm-dd"),"")&amp;". ")&amp;IF(LEN(IF(LEN(INDEX('Aides'!$U$4:$U$503,260))=0,"",INDEX('Aides'!$U$4:$U$503,260)))=0,"","Owner: "&amp;IF(LEN(INDEX('Aides'!$U$4:$U$503,260))=0,"",INDEX('Aides'!$U$4:$U$503,260))&amp;". ")&amp;IF(LEN(IF(LEN(INDEX('Aides'!$X$4:$X$503,260))=0,"",INDEX('Aides'!$X$4:$X$503,260)))=0,"",IF(LEN(INDEX('Aides'!$X$4:$X$503,260))=0,"",INDEX('Aides'!$X$4:$X$503,260))))</f>
        <v/>
      </c>
      <c r="I263">
        <f>IF(LEN(INDEX('Aides'!$W$4:$W$503,260))=0,"",INDEX('Aides'!$W$4:$W$503,260))</f>
        <v/>
      </c>
      <c r="J263">
        <f>IF(LEN(INDEX('Aides'!$V$4:$V$503,260))=0,"",INDEX('Aides'!$V$4:$V$503,260))</f>
        <v/>
      </c>
    </row>
    <row r="264">
      <c r="A264">
        <f>IF(AND(LEN('Aides'!A264)&gt;0,ISNUMBER('Aides'!I264)),1,0)</f>
        <v/>
      </c>
      <c r="B264">
        <f>B263+A264</f>
        <v/>
      </c>
      <c r="C264">
        <f>IF(261&gt;$B$1503,"",MATCH(261-0.5,$B$3:$B$1503,1))</f>
        <v/>
      </c>
      <c r="D264">
        <f>"CNA certification ("&amp;IF(LEN(INDEX('Aides'!$C$4:$C$503,261))=0,"",INDEX('Aides'!$C$4:$C$503,261))&amp;") – "&amp;IF(LEN(INDEX('Aides'!$A$4:$A$503,261))=0,"",INDEX('Aides'!$A$4:$A$503,261))</f>
        <v/>
      </c>
      <c r="E264">
        <f>IF(ISNUMBER(INDEX('Aides'!$I$4:$I$503,261)),TEXT(INDEX('Aides'!$I$4:$I$503,261),"yyyy-mm-dd"),"")</f>
        <v/>
      </c>
      <c r="F264">
        <f>"Certification"</f>
        <v/>
      </c>
      <c r="G264">
        <f>"High"</f>
        <v/>
      </c>
      <c r="H264">
        <f>TRIM(IF(LEN(IF(LEN(INDEX('Aides'!$D$4:$D$503,261))=0,"",INDEX('Aides'!$D$4:$D$503,261)))=0,"","Registry no.: "&amp;IF(LEN(INDEX('Aides'!$D$4:$D$503,261))=0,"",INDEX('Aides'!$D$4:$D$503,261))&amp;". ")&amp;IF(LEN(IF(ISNUMBER(INDEX('Aides'!$F$4:$F$503,261)),TEXT(INDEX('Aides'!$F$4:$F$503,261),"yyyy-mm-dd"),""))=0,"","Registry expiry: "&amp;IF(ISNUMBER(INDEX('Aides'!$F$4:$F$503,261)),TEXT(INDEX('Aides'!$F$4:$F$503,261),"yyyy-mm-dd"),"")&amp;". ")&amp;IF(LEN(IF(ISNUMBER(INDEX('Aides'!$G$4:$G$503,261)),TEXT(INDEX('Aides'!$G$4:$G$503,261),"yyyy-mm-dd"),""))=0,"","Last paid nursing work: "&amp;IF(ISNUMBER(INDEX('Aides'!$G$4:$G$503,261)),TEXT(INDEX('Aides'!$G$4:$G$503,261),"yyyy-mm-dd"),"")&amp;". ")&amp;IF(LEN(IF(ISNUMBER(INDEX('Aides'!$H$4:$H$503,261)),TEXT(INDEX('Aides'!$H$4:$H$503,261),"yyyy-mm-dd"),""))=0,"","24-month cut-off: "&amp;IF(ISNUMBER(INDEX('Aides'!$H$4:$H$503,261)),TEXT(INDEX('Aides'!$H$4:$H$503,261),"yyyy-mm-dd"),"")&amp;". ")&amp;IF(LEN(IF(LEN(INDEX('Aides'!$U$4:$U$503,261))=0,"",INDEX('Aides'!$U$4:$U$503,261)))=0,"","Owner: "&amp;IF(LEN(INDEX('Aides'!$U$4:$U$503,261))=0,"",INDEX('Aides'!$U$4:$U$503,261))&amp;". ")&amp;IF(LEN(IF(LEN(INDEX('Aides'!$X$4:$X$503,261))=0,"",INDEX('Aides'!$X$4:$X$503,261)))=0,"",IF(LEN(INDEX('Aides'!$X$4:$X$503,261))=0,"",INDEX('Aides'!$X$4:$X$503,261))))</f>
        <v/>
      </c>
      <c r="I264">
        <f>IF(LEN(INDEX('Aides'!$W$4:$W$503,261))=0,"",INDEX('Aides'!$W$4:$W$503,261))</f>
        <v/>
      </c>
      <c r="J264">
        <f>IF(LEN(INDEX('Aides'!$V$4:$V$503,261))=0,"",INDEX('Aides'!$V$4:$V$503,261))</f>
        <v/>
      </c>
    </row>
    <row r="265">
      <c r="A265">
        <f>IF(AND(LEN('Aides'!A265)&gt;0,ISNUMBER('Aides'!I265)),1,0)</f>
        <v/>
      </c>
      <c r="B265">
        <f>B264+A265</f>
        <v/>
      </c>
      <c r="C265">
        <f>IF(262&gt;$B$1503,"",MATCH(262-0.5,$B$3:$B$1503,1))</f>
        <v/>
      </c>
      <c r="D265">
        <f>"CNA certification ("&amp;IF(LEN(INDEX('Aides'!$C$4:$C$503,262))=0,"",INDEX('Aides'!$C$4:$C$503,262))&amp;") – "&amp;IF(LEN(INDEX('Aides'!$A$4:$A$503,262))=0,"",INDEX('Aides'!$A$4:$A$503,262))</f>
        <v/>
      </c>
      <c r="E265">
        <f>IF(ISNUMBER(INDEX('Aides'!$I$4:$I$503,262)),TEXT(INDEX('Aides'!$I$4:$I$503,262),"yyyy-mm-dd"),"")</f>
        <v/>
      </c>
      <c r="F265">
        <f>"Certification"</f>
        <v/>
      </c>
      <c r="G265">
        <f>"High"</f>
        <v/>
      </c>
      <c r="H265">
        <f>TRIM(IF(LEN(IF(LEN(INDEX('Aides'!$D$4:$D$503,262))=0,"",INDEX('Aides'!$D$4:$D$503,262)))=0,"","Registry no.: "&amp;IF(LEN(INDEX('Aides'!$D$4:$D$503,262))=0,"",INDEX('Aides'!$D$4:$D$503,262))&amp;". ")&amp;IF(LEN(IF(ISNUMBER(INDEX('Aides'!$F$4:$F$503,262)),TEXT(INDEX('Aides'!$F$4:$F$503,262),"yyyy-mm-dd"),""))=0,"","Registry expiry: "&amp;IF(ISNUMBER(INDEX('Aides'!$F$4:$F$503,262)),TEXT(INDEX('Aides'!$F$4:$F$503,262),"yyyy-mm-dd"),"")&amp;". ")&amp;IF(LEN(IF(ISNUMBER(INDEX('Aides'!$G$4:$G$503,262)),TEXT(INDEX('Aides'!$G$4:$G$503,262),"yyyy-mm-dd"),""))=0,"","Last paid nursing work: "&amp;IF(ISNUMBER(INDEX('Aides'!$G$4:$G$503,262)),TEXT(INDEX('Aides'!$G$4:$G$503,262),"yyyy-mm-dd"),"")&amp;". ")&amp;IF(LEN(IF(ISNUMBER(INDEX('Aides'!$H$4:$H$503,262)),TEXT(INDEX('Aides'!$H$4:$H$503,262),"yyyy-mm-dd"),""))=0,"","24-month cut-off: "&amp;IF(ISNUMBER(INDEX('Aides'!$H$4:$H$503,262)),TEXT(INDEX('Aides'!$H$4:$H$503,262),"yyyy-mm-dd"),"")&amp;". ")&amp;IF(LEN(IF(LEN(INDEX('Aides'!$U$4:$U$503,262))=0,"",INDEX('Aides'!$U$4:$U$503,262)))=0,"","Owner: "&amp;IF(LEN(INDEX('Aides'!$U$4:$U$503,262))=0,"",INDEX('Aides'!$U$4:$U$503,262))&amp;". ")&amp;IF(LEN(IF(LEN(INDEX('Aides'!$X$4:$X$503,262))=0,"",INDEX('Aides'!$X$4:$X$503,262)))=0,"",IF(LEN(INDEX('Aides'!$X$4:$X$503,262))=0,"",INDEX('Aides'!$X$4:$X$503,262))))</f>
        <v/>
      </c>
      <c r="I265">
        <f>IF(LEN(INDEX('Aides'!$W$4:$W$503,262))=0,"",INDEX('Aides'!$W$4:$W$503,262))</f>
        <v/>
      </c>
      <c r="J265">
        <f>IF(LEN(INDEX('Aides'!$V$4:$V$503,262))=0,"",INDEX('Aides'!$V$4:$V$503,262))</f>
        <v/>
      </c>
    </row>
    <row r="266">
      <c r="A266">
        <f>IF(AND(LEN('Aides'!A266)&gt;0,ISNUMBER('Aides'!I266)),1,0)</f>
        <v/>
      </c>
      <c r="B266">
        <f>B265+A266</f>
        <v/>
      </c>
      <c r="C266">
        <f>IF(263&gt;$B$1503,"",MATCH(263-0.5,$B$3:$B$1503,1))</f>
        <v/>
      </c>
      <c r="D266">
        <f>"CNA certification ("&amp;IF(LEN(INDEX('Aides'!$C$4:$C$503,263))=0,"",INDEX('Aides'!$C$4:$C$503,263))&amp;") – "&amp;IF(LEN(INDEX('Aides'!$A$4:$A$503,263))=0,"",INDEX('Aides'!$A$4:$A$503,263))</f>
        <v/>
      </c>
      <c r="E266">
        <f>IF(ISNUMBER(INDEX('Aides'!$I$4:$I$503,263)),TEXT(INDEX('Aides'!$I$4:$I$503,263),"yyyy-mm-dd"),"")</f>
        <v/>
      </c>
      <c r="F266">
        <f>"Certification"</f>
        <v/>
      </c>
      <c r="G266">
        <f>"High"</f>
        <v/>
      </c>
      <c r="H266">
        <f>TRIM(IF(LEN(IF(LEN(INDEX('Aides'!$D$4:$D$503,263))=0,"",INDEX('Aides'!$D$4:$D$503,263)))=0,"","Registry no.: "&amp;IF(LEN(INDEX('Aides'!$D$4:$D$503,263))=0,"",INDEX('Aides'!$D$4:$D$503,263))&amp;". ")&amp;IF(LEN(IF(ISNUMBER(INDEX('Aides'!$F$4:$F$503,263)),TEXT(INDEX('Aides'!$F$4:$F$503,263),"yyyy-mm-dd"),""))=0,"","Registry expiry: "&amp;IF(ISNUMBER(INDEX('Aides'!$F$4:$F$503,263)),TEXT(INDEX('Aides'!$F$4:$F$503,263),"yyyy-mm-dd"),"")&amp;". ")&amp;IF(LEN(IF(ISNUMBER(INDEX('Aides'!$G$4:$G$503,263)),TEXT(INDEX('Aides'!$G$4:$G$503,263),"yyyy-mm-dd"),""))=0,"","Last paid nursing work: "&amp;IF(ISNUMBER(INDEX('Aides'!$G$4:$G$503,263)),TEXT(INDEX('Aides'!$G$4:$G$503,263),"yyyy-mm-dd"),"")&amp;". ")&amp;IF(LEN(IF(ISNUMBER(INDEX('Aides'!$H$4:$H$503,263)),TEXT(INDEX('Aides'!$H$4:$H$503,263),"yyyy-mm-dd"),""))=0,"","24-month cut-off: "&amp;IF(ISNUMBER(INDEX('Aides'!$H$4:$H$503,263)),TEXT(INDEX('Aides'!$H$4:$H$503,263),"yyyy-mm-dd"),"")&amp;". ")&amp;IF(LEN(IF(LEN(INDEX('Aides'!$U$4:$U$503,263))=0,"",INDEX('Aides'!$U$4:$U$503,263)))=0,"","Owner: "&amp;IF(LEN(INDEX('Aides'!$U$4:$U$503,263))=0,"",INDEX('Aides'!$U$4:$U$503,263))&amp;". ")&amp;IF(LEN(IF(LEN(INDEX('Aides'!$X$4:$X$503,263))=0,"",INDEX('Aides'!$X$4:$X$503,263)))=0,"",IF(LEN(INDEX('Aides'!$X$4:$X$503,263))=0,"",INDEX('Aides'!$X$4:$X$503,263))))</f>
        <v/>
      </c>
      <c r="I266">
        <f>IF(LEN(INDEX('Aides'!$W$4:$W$503,263))=0,"",INDEX('Aides'!$W$4:$W$503,263))</f>
        <v/>
      </c>
      <c r="J266">
        <f>IF(LEN(INDEX('Aides'!$V$4:$V$503,263))=0,"",INDEX('Aides'!$V$4:$V$503,263))</f>
        <v/>
      </c>
    </row>
    <row r="267">
      <c r="A267">
        <f>IF(AND(LEN('Aides'!A267)&gt;0,ISNUMBER('Aides'!I267)),1,0)</f>
        <v/>
      </c>
      <c r="B267">
        <f>B266+A267</f>
        <v/>
      </c>
      <c r="C267">
        <f>IF(264&gt;$B$1503,"",MATCH(264-0.5,$B$3:$B$1503,1))</f>
        <v/>
      </c>
      <c r="D267">
        <f>"CNA certification ("&amp;IF(LEN(INDEX('Aides'!$C$4:$C$503,264))=0,"",INDEX('Aides'!$C$4:$C$503,264))&amp;") – "&amp;IF(LEN(INDEX('Aides'!$A$4:$A$503,264))=0,"",INDEX('Aides'!$A$4:$A$503,264))</f>
        <v/>
      </c>
      <c r="E267">
        <f>IF(ISNUMBER(INDEX('Aides'!$I$4:$I$503,264)),TEXT(INDEX('Aides'!$I$4:$I$503,264),"yyyy-mm-dd"),"")</f>
        <v/>
      </c>
      <c r="F267">
        <f>"Certification"</f>
        <v/>
      </c>
      <c r="G267">
        <f>"High"</f>
        <v/>
      </c>
      <c r="H267">
        <f>TRIM(IF(LEN(IF(LEN(INDEX('Aides'!$D$4:$D$503,264))=0,"",INDEX('Aides'!$D$4:$D$503,264)))=0,"","Registry no.: "&amp;IF(LEN(INDEX('Aides'!$D$4:$D$503,264))=0,"",INDEX('Aides'!$D$4:$D$503,264))&amp;". ")&amp;IF(LEN(IF(ISNUMBER(INDEX('Aides'!$F$4:$F$503,264)),TEXT(INDEX('Aides'!$F$4:$F$503,264),"yyyy-mm-dd"),""))=0,"","Registry expiry: "&amp;IF(ISNUMBER(INDEX('Aides'!$F$4:$F$503,264)),TEXT(INDEX('Aides'!$F$4:$F$503,264),"yyyy-mm-dd"),"")&amp;". ")&amp;IF(LEN(IF(ISNUMBER(INDEX('Aides'!$G$4:$G$503,264)),TEXT(INDEX('Aides'!$G$4:$G$503,264),"yyyy-mm-dd"),""))=0,"","Last paid nursing work: "&amp;IF(ISNUMBER(INDEX('Aides'!$G$4:$G$503,264)),TEXT(INDEX('Aides'!$G$4:$G$503,264),"yyyy-mm-dd"),"")&amp;". ")&amp;IF(LEN(IF(ISNUMBER(INDEX('Aides'!$H$4:$H$503,264)),TEXT(INDEX('Aides'!$H$4:$H$503,264),"yyyy-mm-dd"),""))=0,"","24-month cut-off: "&amp;IF(ISNUMBER(INDEX('Aides'!$H$4:$H$503,264)),TEXT(INDEX('Aides'!$H$4:$H$503,264),"yyyy-mm-dd"),"")&amp;". ")&amp;IF(LEN(IF(LEN(INDEX('Aides'!$U$4:$U$503,264))=0,"",INDEX('Aides'!$U$4:$U$503,264)))=0,"","Owner: "&amp;IF(LEN(INDEX('Aides'!$U$4:$U$503,264))=0,"",INDEX('Aides'!$U$4:$U$503,264))&amp;". ")&amp;IF(LEN(IF(LEN(INDEX('Aides'!$X$4:$X$503,264))=0,"",INDEX('Aides'!$X$4:$X$503,264)))=0,"",IF(LEN(INDEX('Aides'!$X$4:$X$503,264))=0,"",INDEX('Aides'!$X$4:$X$503,264))))</f>
        <v/>
      </c>
      <c r="I267">
        <f>IF(LEN(INDEX('Aides'!$W$4:$W$503,264))=0,"",INDEX('Aides'!$W$4:$W$503,264))</f>
        <v/>
      </c>
      <c r="J267">
        <f>IF(LEN(INDEX('Aides'!$V$4:$V$503,264))=0,"",INDEX('Aides'!$V$4:$V$503,264))</f>
        <v/>
      </c>
    </row>
    <row r="268">
      <c r="A268">
        <f>IF(AND(LEN('Aides'!A268)&gt;0,ISNUMBER('Aides'!I268)),1,0)</f>
        <v/>
      </c>
      <c r="B268">
        <f>B267+A268</f>
        <v/>
      </c>
      <c r="C268">
        <f>IF(265&gt;$B$1503,"",MATCH(265-0.5,$B$3:$B$1503,1))</f>
        <v/>
      </c>
      <c r="D268">
        <f>"CNA certification ("&amp;IF(LEN(INDEX('Aides'!$C$4:$C$503,265))=0,"",INDEX('Aides'!$C$4:$C$503,265))&amp;") – "&amp;IF(LEN(INDEX('Aides'!$A$4:$A$503,265))=0,"",INDEX('Aides'!$A$4:$A$503,265))</f>
        <v/>
      </c>
      <c r="E268">
        <f>IF(ISNUMBER(INDEX('Aides'!$I$4:$I$503,265)),TEXT(INDEX('Aides'!$I$4:$I$503,265),"yyyy-mm-dd"),"")</f>
        <v/>
      </c>
      <c r="F268">
        <f>"Certification"</f>
        <v/>
      </c>
      <c r="G268">
        <f>"High"</f>
        <v/>
      </c>
      <c r="H268">
        <f>TRIM(IF(LEN(IF(LEN(INDEX('Aides'!$D$4:$D$503,265))=0,"",INDEX('Aides'!$D$4:$D$503,265)))=0,"","Registry no.: "&amp;IF(LEN(INDEX('Aides'!$D$4:$D$503,265))=0,"",INDEX('Aides'!$D$4:$D$503,265))&amp;". ")&amp;IF(LEN(IF(ISNUMBER(INDEX('Aides'!$F$4:$F$503,265)),TEXT(INDEX('Aides'!$F$4:$F$503,265),"yyyy-mm-dd"),""))=0,"","Registry expiry: "&amp;IF(ISNUMBER(INDEX('Aides'!$F$4:$F$503,265)),TEXT(INDEX('Aides'!$F$4:$F$503,265),"yyyy-mm-dd"),"")&amp;". ")&amp;IF(LEN(IF(ISNUMBER(INDEX('Aides'!$G$4:$G$503,265)),TEXT(INDEX('Aides'!$G$4:$G$503,265),"yyyy-mm-dd"),""))=0,"","Last paid nursing work: "&amp;IF(ISNUMBER(INDEX('Aides'!$G$4:$G$503,265)),TEXT(INDEX('Aides'!$G$4:$G$503,265),"yyyy-mm-dd"),"")&amp;". ")&amp;IF(LEN(IF(ISNUMBER(INDEX('Aides'!$H$4:$H$503,265)),TEXT(INDEX('Aides'!$H$4:$H$503,265),"yyyy-mm-dd"),""))=0,"","24-month cut-off: "&amp;IF(ISNUMBER(INDEX('Aides'!$H$4:$H$503,265)),TEXT(INDEX('Aides'!$H$4:$H$503,265),"yyyy-mm-dd"),"")&amp;". ")&amp;IF(LEN(IF(LEN(INDEX('Aides'!$U$4:$U$503,265))=0,"",INDEX('Aides'!$U$4:$U$503,265)))=0,"","Owner: "&amp;IF(LEN(INDEX('Aides'!$U$4:$U$503,265))=0,"",INDEX('Aides'!$U$4:$U$503,265))&amp;". ")&amp;IF(LEN(IF(LEN(INDEX('Aides'!$X$4:$X$503,265))=0,"",INDEX('Aides'!$X$4:$X$503,265)))=0,"",IF(LEN(INDEX('Aides'!$X$4:$X$503,265))=0,"",INDEX('Aides'!$X$4:$X$503,265))))</f>
        <v/>
      </c>
      <c r="I268">
        <f>IF(LEN(INDEX('Aides'!$W$4:$W$503,265))=0,"",INDEX('Aides'!$W$4:$W$503,265))</f>
        <v/>
      </c>
      <c r="J268">
        <f>IF(LEN(INDEX('Aides'!$V$4:$V$503,265))=0,"",INDEX('Aides'!$V$4:$V$503,265))</f>
        <v/>
      </c>
    </row>
    <row r="269">
      <c r="A269">
        <f>IF(AND(LEN('Aides'!A269)&gt;0,ISNUMBER('Aides'!I269)),1,0)</f>
        <v/>
      </c>
      <c r="B269">
        <f>B268+A269</f>
        <v/>
      </c>
      <c r="C269">
        <f>IF(266&gt;$B$1503,"",MATCH(266-0.5,$B$3:$B$1503,1))</f>
        <v/>
      </c>
      <c r="D269">
        <f>"CNA certification ("&amp;IF(LEN(INDEX('Aides'!$C$4:$C$503,266))=0,"",INDEX('Aides'!$C$4:$C$503,266))&amp;") – "&amp;IF(LEN(INDEX('Aides'!$A$4:$A$503,266))=0,"",INDEX('Aides'!$A$4:$A$503,266))</f>
        <v/>
      </c>
      <c r="E269">
        <f>IF(ISNUMBER(INDEX('Aides'!$I$4:$I$503,266)),TEXT(INDEX('Aides'!$I$4:$I$503,266),"yyyy-mm-dd"),"")</f>
        <v/>
      </c>
      <c r="F269">
        <f>"Certification"</f>
        <v/>
      </c>
      <c r="G269">
        <f>"High"</f>
        <v/>
      </c>
      <c r="H269">
        <f>TRIM(IF(LEN(IF(LEN(INDEX('Aides'!$D$4:$D$503,266))=0,"",INDEX('Aides'!$D$4:$D$503,266)))=0,"","Registry no.: "&amp;IF(LEN(INDEX('Aides'!$D$4:$D$503,266))=0,"",INDEX('Aides'!$D$4:$D$503,266))&amp;". ")&amp;IF(LEN(IF(ISNUMBER(INDEX('Aides'!$F$4:$F$503,266)),TEXT(INDEX('Aides'!$F$4:$F$503,266),"yyyy-mm-dd"),""))=0,"","Registry expiry: "&amp;IF(ISNUMBER(INDEX('Aides'!$F$4:$F$503,266)),TEXT(INDEX('Aides'!$F$4:$F$503,266),"yyyy-mm-dd"),"")&amp;". ")&amp;IF(LEN(IF(ISNUMBER(INDEX('Aides'!$G$4:$G$503,266)),TEXT(INDEX('Aides'!$G$4:$G$503,266),"yyyy-mm-dd"),""))=0,"","Last paid nursing work: "&amp;IF(ISNUMBER(INDEX('Aides'!$G$4:$G$503,266)),TEXT(INDEX('Aides'!$G$4:$G$503,266),"yyyy-mm-dd"),"")&amp;". ")&amp;IF(LEN(IF(ISNUMBER(INDEX('Aides'!$H$4:$H$503,266)),TEXT(INDEX('Aides'!$H$4:$H$503,266),"yyyy-mm-dd"),""))=0,"","24-month cut-off: "&amp;IF(ISNUMBER(INDEX('Aides'!$H$4:$H$503,266)),TEXT(INDEX('Aides'!$H$4:$H$503,266),"yyyy-mm-dd"),"")&amp;". ")&amp;IF(LEN(IF(LEN(INDEX('Aides'!$U$4:$U$503,266))=0,"",INDEX('Aides'!$U$4:$U$503,266)))=0,"","Owner: "&amp;IF(LEN(INDEX('Aides'!$U$4:$U$503,266))=0,"",INDEX('Aides'!$U$4:$U$503,266))&amp;". ")&amp;IF(LEN(IF(LEN(INDEX('Aides'!$X$4:$X$503,266))=0,"",INDEX('Aides'!$X$4:$X$503,266)))=0,"",IF(LEN(INDEX('Aides'!$X$4:$X$503,266))=0,"",INDEX('Aides'!$X$4:$X$503,266))))</f>
        <v/>
      </c>
      <c r="I269">
        <f>IF(LEN(INDEX('Aides'!$W$4:$W$503,266))=0,"",INDEX('Aides'!$W$4:$W$503,266))</f>
        <v/>
      </c>
      <c r="J269">
        <f>IF(LEN(INDEX('Aides'!$V$4:$V$503,266))=0,"",INDEX('Aides'!$V$4:$V$503,266))</f>
        <v/>
      </c>
    </row>
    <row r="270">
      <c r="A270">
        <f>IF(AND(LEN('Aides'!A270)&gt;0,ISNUMBER('Aides'!I270)),1,0)</f>
        <v/>
      </c>
      <c r="B270">
        <f>B269+A270</f>
        <v/>
      </c>
      <c r="C270">
        <f>IF(267&gt;$B$1503,"",MATCH(267-0.5,$B$3:$B$1503,1))</f>
        <v/>
      </c>
      <c r="D270">
        <f>"CNA certification ("&amp;IF(LEN(INDEX('Aides'!$C$4:$C$503,267))=0,"",INDEX('Aides'!$C$4:$C$503,267))&amp;") – "&amp;IF(LEN(INDEX('Aides'!$A$4:$A$503,267))=0,"",INDEX('Aides'!$A$4:$A$503,267))</f>
        <v/>
      </c>
      <c r="E270">
        <f>IF(ISNUMBER(INDEX('Aides'!$I$4:$I$503,267)),TEXT(INDEX('Aides'!$I$4:$I$503,267),"yyyy-mm-dd"),"")</f>
        <v/>
      </c>
      <c r="F270">
        <f>"Certification"</f>
        <v/>
      </c>
      <c r="G270">
        <f>"High"</f>
        <v/>
      </c>
      <c r="H270">
        <f>TRIM(IF(LEN(IF(LEN(INDEX('Aides'!$D$4:$D$503,267))=0,"",INDEX('Aides'!$D$4:$D$503,267)))=0,"","Registry no.: "&amp;IF(LEN(INDEX('Aides'!$D$4:$D$503,267))=0,"",INDEX('Aides'!$D$4:$D$503,267))&amp;". ")&amp;IF(LEN(IF(ISNUMBER(INDEX('Aides'!$F$4:$F$503,267)),TEXT(INDEX('Aides'!$F$4:$F$503,267),"yyyy-mm-dd"),""))=0,"","Registry expiry: "&amp;IF(ISNUMBER(INDEX('Aides'!$F$4:$F$503,267)),TEXT(INDEX('Aides'!$F$4:$F$503,267),"yyyy-mm-dd"),"")&amp;". ")&amp;IF(LEN(IF(ISNUMBER(INDEX('Aides'!$G$4:$G$503,267)),TEXT(INDEX('Aides'!$G$4:$G$503,267),"yyyy-mm-dd"),""))=0,"","Last paid nursing work: "&amp;IF(ISNUMBER(INDEX('Aides'!$G$4:$G$503,267)),TEXT(INDEX('Aides'!$G$4:$G$503,267),"yyyy-mm-dd"),"")&amp;". ")&amp;IF(LEN(IF(ISNUMBER(INDEX('Aides'!$H$4:$H$503,267)),TEXT(INDEX('Aides'!$H$4:$H$503,267),"yyyy-mm-dd"),""))=0,"","24-month cut-off: "&amp;IF(ISNUMBER(INDEX('Aides'!$H$4:$H$503,267)),TEXT(INDEX('Aides'!$H$4:$H$503,267),"yyyy-mm-dd"),"")&amp;". ")&amp;IF(LEN(IF(LEN(INDEX('Aides'!$U$4:$U$503,267))=0,"",INDEX('Aides'!$U$4:$U$503,267)))=0,"","Owner: "&amp;IF(LEN(INDEX('Aides'!$U$4:$U$503,267))=0,"",INDEX('Aides'!$U$4:$U$503,267))&amp;". ")&amp;IF(LEN(IF(LEN(INDEX('Aides'!$X$4:$X$503,267))=0,"",INDEX('Aides'!$X$4:$X$503,267)))=0,"",IF(LEN(INDEX('Aides'!$X$4:$X$503,267))=0,"",INDEX('Aides'!$X$4:$X$503,267))))</f>
        <v/>
      </c>
      <c r="I270">
        <f>IF(LEN(INDEX('Aides'!$W$4:$W$503,267))=0,"",INDEX('Aides'!$W$4:$W$503,267))</f>
        <v/>
      </c>
      <c r="J270">
        <f>IF(LEN(INDEX('Aides'!$V$4:$V$503,267))=0,"",INDEX('Aides'!$V$4:$V$503,267))</f>
        <v/>
      </c>
    </row>
    <row r="271">
      <c r="A271">
        <f>IF(AND(LEN('Aides'!A271)&gt;0,ISNUMBER('Aides'!I271)),1,0)</f>
        <v/>
      </c>
      <c r="B271">
        <f>B270+A271</f>
        <v/>
      </c>
      <c r="C271">
        <f>IF(268&gt;$B$1503,"",MATCH(268-0.5,$B$3:$B$1503,1))</f>
        <v/>
      </c>
      <c r="D271">
        <f>"CNA certification ("&amp;IF(LEN(INDEX('Aides'!$C$4:$C$503,268))=0,"",INDEX('Aides'!$C$4:$C$503,268))&amp;") – "&amp;IF(LEN(INDEX('Aides'!$A$4:$A$503,268))=0,"",INDEX('Aides'!$A$4:$A$503,268))</f>
        <v/>
      </c>
      <c r="E271">
        <f>IF(ISNUMBER(INDEX('Aides'!$I$4:$I$503,268)),TEXT(INDEX('Aides'!$I$4:$I$503,268),"yyyy-mm-dd"),"")</f>
        <v/>
      </c>
      <c r="F271">
        <f>"Certification"</f>
        <v/>
      </c>
      <c r="G271">
        <f>"High"</f>
        <v/>
      </c>
      <c r="H271">
        <f>TRIM(IF(LEN(IF(LEN(INDEX('Aides'!$D$4:$D$503,268))=0,"",INDEX('Aides'!$D$4:$D$503,268)))=0,"","Registry no.: "&amp;IF(LEN(INDEX('Aides'!$D$4:$D$503,268))=0,"",INDEX('Aides'!$D$4:$D$503,268))&amp;". ")&amp;IF(LEN(IF(ISNUMBER(INDEX('Aides'!$F$4:$F$503,268)),TEXT(INDEX('Aides'!$F$4:$F$503,268),"yyyy-mm-dd"),""))=0,"","Registry expiry: "&amp;IF(ISNUMBER(INDEX('Aides'!$F$4:$F$503,268)),TEXT(INDEX('Aides'!$F$4:$F$503,268),"yyyy-mm-dd"),"")&amp;". ")&amp;IF(LEN(IF(ISNUMBER(INDEX('Aides'!$G$4:$G$503,268)),TEXT(INDEX('Aides'!$G$4:$G$503,268),"yyyy-mm-dd"),""))=0,"","Last paid nursing work: "&amp;IF(ISNUMBER(INDEX('Aides'!$G$4:$G$503,268)),TEXT(INDEX('Aides'!$G$4:$G$503,268),"yyyy-mm-dd"),"")&amp;". ")&amp;IF(LEN(IF(ISNUMBER(INDEX('Aides'!$H$4:$H$503,268)),TEXT(INDEX('Aides'!$H$4:$H$503,268),"yyyy-mm-dd"),""))=0,"","24-month cut-off: "&amp;IF(ISNUMBER(INDEX('Aides'!$H$4:$H$503,268)),TEXT(INDEX('Aides'!$H$4:$H$503,268),"yyyy-mm-dd"),"")&amp;". ")&amp;IF(LEN(IF(LEN(INDEX('Aides'!$U$4:$U$503,268))=0,"",INDEX('Aides'!$U$4:$U$503,268)))=0,"","Owner: "&amp;IF(LEN(INDEX('Aides'!$U$4:$U$503,268))=0,"",INDEX('Aides'!$U$4:$U$503,268))&amp;". ")&amp;IF(LEN(IF(LEN(INDEX('Aides'!$X$4:$X$503,268))=0,"",INDEX('Aides'!$X$4:$X$503,268)))=0,"",IF(LEN(INDEX('Aides'!$X$4:$X$503,268))=0,"",INDEX('Aides'!$X$4:$X$503,268))))</f>
        <v/>
      </c>
      <c r="I271">
        <f>IF(LEN(INDEX('Aides'!$W$4:$W$503,268))=0,"",INDEX('Aides'!$W$4:$W$503,268))</f>
        <v/>
      </c>
      <c r="J271">
        <f>IF(LEN(INDEX('Aides'!$V$4:$V$503,268))=0,"",INDEX('Aides'!$V$4:$V$503,268))</f>
        <v/>
      </c>
    </row>
    <row r="272">
      <c r="A272">
        <f>IF(AND(LEN('Aides'!A272)&gt;0,ISNUMBER('Aides'!I272)),1,0)</f>
        <v/>
      </c>
      <c r="B272">
        <f>B271+A272</f>
        <v/>
      </c>
      <c r="C272">
        <f>IF(269&gt;$B$1503,"",MATCH(269-0.5,$B$3:$B$1503,1))</f>
        <v/>
      </c>
      <c r="D272">
        <f>"CNA certification ("&amp;IF(LEN(INDEX('Aides'!$C$4:$C$503,269))=0,"",INDEX('Aides'!$C$4:$C$503,269))&amp;") – "&amp;IF(LEN(INDEX('Aides'!$A$4:$A$503,269))=0,"",INDEX('Aides'!$A$4:$A$503,269))</f>
        <v/>
      </c>
      <c r="E272">
        <f>IF(ISNUMBER(INDEX('Aides'!$I$4:$I$503,269)),TEXT(INDEX('Aides'!$I$4:$I$503,269),"yyyy-mm-dd"),"")</f>
        <v/>
      </c>
      <c r="F272">
        <f>"Certification"</f>
        <v/>
      </c>
      <c r="G272">
        <f>"High"</f>
        <v/>
      </c>
      <c r="H272">
        <f>TRIM(IF(LEN(IF(LEN(INDEX('Aides'!$D$4:$D$503,269))=0,"",INDEX('Aides'!$D$4:$D$503,269)))=0,"","Registry no.: "&amp;IF(LEN(INDEX('Aides'!$D$4:$D$503,269))=0,"",INDEX('Aides'!$D$4:$D$503,269))&amp;". ")&amp;IF(LEN(IF(ISNUMBER(INDEX('Aides'!$F$4:$F$503,269)),TEXT(INDEX('Aides'!$F$4:$F$503,269),"yyyy-mm-dd"),""))=0,"","Registry expiry: "&amp;IF(ISNUMBER(INDEX('Aides'!$F$4:$F$503,269)),TEXT(INDEX('Aides'!$F$4:$F$503,269),"yyyy-mm-dd"),"")&amp;". ")&amp;IF(LEN(IF(ISNUMBER(INDEX('Aides'!$G$4:$G$503,269)),TEXT(INDEX('Aides'!$G$4:$G$503,269),"yyyy-mm-dd"),""))=0,"","Last paid nursing work: "&amp;IF(ISNUMBER(INDEX('Aides'!$G$4:$G$503,269)),TEXT(INDEX('Aides'!$G$4:$G$503,269),"yyyy-mm-dd"),"")&amp;". ")&amp;IF(LEN(IF(ISNUMBER(INDEX('Aides'!$H$4:$H$503,269)),TEXT(INDEX('Aides'!$H$4:$H$503,269),"yyyy-mm-dd"),""))=0,"","24-month cut-off: "&amp;IF(ISNUMBER(INDEX('Aides'!$H$4:$H$503,269)),TEXT(INDEX('Aides'!$H$4:$H$503,269),"yyyy-mm-dd"),"")&amp;". ")&amp;IF(LEN(IF(LEN(INDEX('Aides'!$U$4:$U$503,269))=0,"",INDEX('Aides'!$U$4:$U$503,269)))=0,"","Owner: "&amp;IF(LEN(INDEX('Aides'!$U$4:$U$503,269))=0,"",INDEX('Aides'!$U$4:$U$503,269))&amp;". ")&amp;IF(LEN(IF(LEN(INDEX('Aides'!$X$4:$X$503,269))=0,"",INDEX('Aides'!$X$4:$X$503,269)))=0,"",IF(LEN(INDEX('Aides'!$X$4:$X$503,269))=0,"",INDEX('Aides'!$X$4:$X$503,269))))</f>
        <v/>
      </c>
      <c r="I272">
        <f>IF(LEN(INDEX('Aides'!$W$4:$W$503,269))=0,"",INDEX('Aides'!$W$4:$W$503,269))</f>
        <v/>
      </c>
      <c r="J272">
        <f>IF(LEN(INDEX('Aides'!$V$4:$V$503,269))=0,"",INDEX('Aides'!$V$4:$V$503,269))</f>
        <v/>
      </c>
    </row>
    <row r="273">
      <c r="A273">
        <f>IF(AND(LEN('Aides'!A273)&gt;0,ISNUMBER('Aides'!I273)),1,0)</f>
        <v/>
      </c>
      <c r="B273">
        <f>B272+A273</f>
        <v/>
      </c>
      <c r="C273">
        <f>IF(270&gt;$B$1503,"",MATCH(270-0.5,$B$3:$B$1503,1))</f>
        <v/>
      </c>
      <c r="D273">
        <f>"CNA certification ("&amp;IF(LEN(INDEX('Aides'!$C$4:$C$503,270))=0,"",INDEX('Aides'!$C$4:$C$503,270))&amp;") – "&amp;IF(LEN(INDEX('Aides'!$A$4:$A$503,270))=0,"",INDEX('Aides'!$A$4:$A$503,270))</f>
        <v/>
      </c>
      <c r="E273">
        <f>IF(ISNUMBER(INDEX('Aides'!$I$4:$I$503,270)),TEXT(INDEX('Aides'!$I$4:$I$503,270),"yyyy-mm-dd"),"")</f>
        <v/>
      </c>
      <c r="F273">
        <f>"Certification"</f>
        <v/>
      </c>
      <c r="G273">
        <f>"High"</f>
        <v/>
      </c>
      <c r="H273">
        <f>TRIM(IF(LEN(IF(LEN(INDEX('Aides'!$D$4:$D$503,270))=0,"",INDEX('Aides'!$D$4:$D$503,270)))=0,"","Registry no.: "&amp;IF(LEN(INDEX('Aides'!$D$4:$D$503,270))=0,"",INDEX('Aides'!$D$4:$D$503,270))&amp;". ")&amp;IF(LEN(IF(ISNUMBER(INDEX('Aides'!$F$4:$F$503,270)),TEXT(INDEX('Aides'!$F$4:$F$503,270),"yyyy-mm-dd"),""))=0,"","Registry expiry: "&amp;IF(ISNUMBER(INDEX('Aides'!$F$4:$F$503,270)),TEXT(INDEX('Aides'!$F$4:$F$503,270),"yyyy-mm-dd"),"")&amp;". ")&amp;IF(LEN(IF(ISNUMBER(INDEX('Aides'!$G$4:$G$503,270)),TEXT(INDEX('Aides'!$G$4:$G$503,270),"yyyy-mm-dd"),""))=0,"","Last paid nursing work: "&amp;IF(ISNUMBER(INDEX('Aides'!$G$4:$G$503,270)),TEXT(INDEX('Aides'!$G$4:$G$503,270),"yyyy-mm-dd"),"")&amp;". ")&amp;IF(LEN(IF(ISNUMBER(INDEX('Aides'!$H$4:$H$503,270)),TEXT(INDEX('Aides'!$H$4:$H$503,270),"yyyy-mm-dd"),""))=0,"","24-month cut-off: "&amp;IF(ISNUMBER(INDEX('Aides'!$H$4:$H$503,270)),TEXT(INDEX('Aides'!$H$4:$H$503,270),"yyyy-mm-dd"),"")&amp;". ")&amp;IF(LEN(IF(LEN(INDEX('Aides'!$U$4:$U$503,270))=0,"",INDEX('Aides'!$U$4:$U$503,270)))=0,"","Owner: "&amp;IF(LEN(INDEX('Aides'!$U$4:$U$503,270))=0,"",INDEX('Aides'!$U$4:$U$503,270))&amp;". ")&amp;IF(LEN(IF(LEN(INDEX('Aides'!$X$4:$X$503,270))=0,"",INDEX('Aides'!$X$4:$X$503,270)))=0,"",IF(LEN(INDEX('Aides'!$X$4:$X$503,270))=0,"",INDEX('Aides'!$X$4:$X$503,270))))</f>
        <v/>
      </c>
      <c r="I273">
        <f>IF(LEN(INDEX('Aides'!$W$4:$W$503,270))=0,"",INDEX('Aides'!$W$4:$W$503,270))</f>
        <v/>
      </c>
      <c r="J273">
        <f>IF(LEN(INDEX('Aides'!$V$4:$V$503,270))=0,"",INDEX('Aides'!$V$4:$V$503,270))</f>
        <v/>
      </c>
    </row>
    <row r="274">
      <c r="A274">
        <f>IF(AND(LEN('Aides'!A274)&gt;0,ISNUMBER('Aides'!I274)),1,0)</f>
        <v/>
      </c>
      <c r="B274">
        <f>B273+A274</f>
        <v/>
      </c>
      <c r="C274">
        <f>IF(271&gt;$B$1503,"",MATCH(271-0.5,$B$3:$B$1503,1))</f>
        <v/>
      </c>
      <c r="D274">
        <f>"CNA certification ("&amp;IF(LEN(INDEX('Aides'!$C$4:$C$503,271))=0,"",INDEX('Aides'!$C$4:$C$503,271))&amp;") – "&amp;IF(LEN(INDEX('Aides'!$A$4:$A$503,271))=0,"",INDEX('Aides'!$A$4:$A$503,271))</f>
        <v/>
      </c>
      <c r="E274">
        <f>IF(ISNUMBER(INDEX('Aides'!$I$4:$I$503,271)),TEXT(INDEX('Aides'!$I$4:$I$503,271),"yyyy-mm-dd"),"")</f>
        <v/>
      </c>
      <c r="F274">
        <f>"Certification"</f>
        <v/>
      </c>
      <c r="G274">
        <f>"High"</f>
        <v/>
      </c>
      <c r="H274">
        <f>TRIM(IF(LEN(IF(LEN(INDEX('Aides'!$D$4:$D$503,271))=0,"",INDEX('Aides'!$D$4:$D$503,271)))=0,"","Registry no.: "&amp;IF(LEN(INDEX('Aides'!$D$4:$D$503,271))=0,"",INDEX('Aides'!$D$4:$D$503,271))&amp;". ")&amp;IF(LEN(IF(ISNUMBER(INDEX('Aides'!$F$4:$F$503,271)),TEXT(INDEX('Aides'!$F$4:$F$503,271),"yyyy-mm-dd"),""))=0,"","Registry expiry: "&amp;IF(ISNUMBER(INDEX('Aides'!$F$4:$F$503,271)),TEXT(INDEX('Aides'!$F$4:$F$503,271),"yyyy-mm-dd"),"")&amp;". ")&amp;IF(LEN(IF(ISNUMBER(INDEX('Aides'!$G$4:$G$503,271)),TEXT(INDEX('Aides'!$G$4:$G$503,271),"yyyy-mm-dd"),""))=0,"","Last paid nursing work: "&amp;IF(ISNUMBER(INDEX('Aides'!$G$4:$G$503,271)),TEXT(INDEX('Aides'!$G$4:$G$503,271),"yyyy-mm-dd"),"")&amp;". ")&amp;IF(LEN(IF(ISNUMBER(INDEX('Aides'!$H$4:$H$503,271)),TEXT(INDEX('Aides'!$H$4:$H$503,271),"yyyy-mm-dd"),""))=0,"","24-month cut-off: "&amp;IF(ISNUMBER(INDEX('Aides'!$H$4:$H$503,271)),TEXT(INDEX('Aides'!$H$4:$H$503,271),"yyyy-mm-dd"),"")&amp;". ")&amp;IF(LEN(IF(LEN(INDEX('Aides'!$U$4:$U$503,271))=0,"",INDEX('Aides'!$U$4:$U$503,271)))=0,"","Owner: "&amp;IF(LEN(INDEX('Aides'!$U$4:$U$503,271))=0,"",INDEX('Aides'!$U$4:$U$503,271))&amp;". ")&amp;IF(LEN(IF(LEN(INDEX('Aides'!$X$4:$X$503,271))=0,"",INDEX('Aides'!$X$4:$X$503,271)))=0,"",IF(LEN(INDEX('Aides'!$X$4:$X$503,271))=0,"",INDEX('Aides'!$X$4:$X$503,271))))</f>
        <v/>
      </c>
      <c r="I274">
        <f>IF(LEN(INDEX('Aides'!$W$4:$W$503,271))=0,"",INDEX('Aides'!$W$4:$W$503,271))</f>
        <v/>
      </c>
      <c r="J274">
        <f>IF(LEN(INDEX('Aides'!$V$4:$V$503,271))=0,"",INDEX('Aides'!$V$4:$V$503,271))</f>
        <v/>
      </c>
    </row>
    <row r="275">
      <c r="A275">
        <f>IF(AND(LEN('Aides'!A275)&gt;0,ISNUMBER('Aides'!I275)),1,0)</f>
        <v/>
      </c>
      <c r="B275">
        <f>B274+A275</f>
        <v/>
      </c>
      <c r="C275">
        <f>IF(272&gt;$B$1503,"",MATCH(272-0.5,$B$3:$B$1503,1))</f>
        <v/>
      </c>
      <c r="D275">
        <f>"CNA certification ("&amp;IF(LEN(INDEX('Aides'!$C$4:$C$503,272))=0,"",INDEX('Aides'!$C$4:$C$503,272))&amp;") – "&amp;IF(LEN(INDEX('Aides'!$A$4:$A$503,272))=0,"",INDEX('Aides'!$A$4:$A$503,272))</f>
        <v/>
      </c>
      <c r="E275">
        <f>IF(ISNUMBER(INDEX('Aides'!$I$4:$I$503,272)),TEXT(INDEX('Aides'!$I$4:$I$503,272),"yyyy-mm-dd"),"")</f>
        <v/>
      </c>
      <c r="F275">
        <f>"Certification"</f>
        <v/>
      </c>
      <c r="G275">
        <f>"High"</f>
        <v/>
      </c>
      <c r="H275">
        <f>TRIM(IF(LEN(IF(LEN(INDEX('Aides'!$D$4:$D$503,272))=0,"",INDEX('Aides'!$D$4:$D$503,272)))=0,"","Registry no.: "&amp;IF(LEN(INDEX('Aides'!$D$4:$D$503,272))=0,"",INDEX('Aides'!$D$4:$D$503,272))&amp;". ")&amp;IF(LEN(IF(ISNUMBER(INDEX('Aides'!$F$4:$F$503,272)),TEXT(INDEX('Aides'!$F$4:$F$503,272),"yyyy-mm-dd"),""))=0,"","Registry expiry: "&amp;IF(ISNUMBER(INDEX('Aides'!$F$4:$F$503,272)),TEXT(INDEX('Aides'!$F$4:$F$503,272),"yyyy-mm-dd"),"")&amp;". ")&amp;IF(LEN(IF(ISNUMBER(INDEX('Aides'!$G$4:$G$503,272)),TEXT(INDEX('Aides'!$G$4:$G$503,272),"yyyy-mm-dd"),""))=0,"","Last paid nursing work: "&amp;IF(ISNUMBER(INDEX('Aides'!$G$4:$G$503,272)),TEXT(INDEX('Aides'!$G$4:$G$503,272),"yyyy-mm-dd"),"")&amp;". ")&amp;IF(LEN(IF(ISNUMBER(INDEX('Aides'!$H$4:$H$503,272)),TEXT(INDEX('Aides'!$H$4:$H$503,272),"yyyy-mm-dd"),""))=0,"","24-month cut-off: "&amp;IF(ISNUMBER(INDEX('Aides'!$H$4:$H$503,272)),TEXT(INDEX('Aides'!$H$4:$H$503,272),"yyyy-mm-dd"),"")&amp;". ")&amp;IF(LEN(IF(LEN(INDEX('Aides'!$U$4:$U$503,272))=0,"",INDEX('Aides'!$U$4:$U$503,272)))=0,"","Owner: "&amp;IF(LEN(INDEX('Aides'!$U$4:$U$503,272))=0,"",INDEX('Aides'!$U$4:$U$503,272))&amp;". ")&amp;IF(LEN(IF(LEN(INDEX('Aides'!$X$4:$X$503,272))=0,"",INDEX('Aides'!$X$4:$X$503,272)))=0,"",IF(LEN(INDEX('Aides'!$X$4:$X$503,272))=0,"",INDEX('Aides'!$X$4:$X$503,272))))</f>
        <v/>
      </c>
      <c r="I275">
        <f>IF(LEN(INDEX('Aides'!$W$4:$W$503,272))=0,"",INDEX('Aides'!$W$4:$W$503,272))</f>
        <v/>
      </c>
      <c r="J275">
        <f>IF(LEN(INDEX('Aides'!$V$4:$V$503,272))=0,"",INDEX('Aides'!$V$4:$V$503,272))</f>
        <v/>
      </c>
    </row>
    <row r="276">
      <c r="A276">
        <f>IF(AND(LEN('Aides'!A276)&gt;0,ISNUMBER('Aides'!I276)),1,0)</f>
        <v/>
      </c>
      <c r="B276">
        <f>B275+A276</f>
        <v/>
      </c>
      <c r="C276">
        <f>IF(273&gt;$B$1503,"",MATCH(273-0.5,$B$3:$B$1503,1))</f>
        <v/>
      </c>
      <c r="D276">
        <f>"CNA certification ("&amp;IF(LEN(INDEX('Aides'!$C$4:$C$503,273))=0,"",INDEX('Aides'!$C$4:$C$503,273))&amp;") – "&amp;IF(LEN(INDEX('Aides'!$A$4:$A$503,273))=0,"",INDEX('Aides'!$A$4:$A$503,273))</f>
        <v/>
      </c>
      <c r="E276">
        <f>IF(ISNUMBER(INDEX('Aides'!$I$4:$I$503,273)),TEXT(INDEX('Aides'!$I$4:$I$503,273),"yyyy-mm-dd"),"")</f>
        <v/>
      </c>
      <c r="F276">
        <f>"Certification"</f>
        <v/>
      </c>
      <c r="G276">
        <f>"High"</f>
        <v/>
      </c>
      <c r="H276">
        <f>TRIM(IF(LEN(IF(LEN(INDEX('Aides'!$D$4:$D$503,273))=0,"",INDEX('Aides'!$D$4:$D$503,273)))=0,"","Registry no.: "&amp;IF(LEN(INDEX('Aides'!$D$4:$D$503,273))=0,"",INDEX('Aides'!$D$4:$D$503,273))&amp;". ")&amp;IF(LEN(IF(ISNUMBER(INDEX('Aides'!$F$4:$F$503,273)),TEXT(INDEX('Aides'!$F$4:$F$503,273),"yyyy-mm-dd"),""))=0,"","Registry expiry: "&amp;IF(ISNUMBER(INDEX('Aides'!$F$4:$F$503,273)),TEXT(INDEX('Aides'!$F$4:$F$503,273),"yyyy-mm-dd"),"")&amp;". ")&amp;IF(LEN(IF(ISNUMBER(INDEX('Aides'!$G$4:$G$503,273)),TEXT(INDEX('Aides'!$G$4:$G$503,273),"yyyy-mm-dd"),""))=0,"","Last paid nursing work: "&amp;IF(ISNUMBER(INDEX('Aides'!$G$4:$G$503,273)),TEXT(INDEX('Aides'!$G$4:$G$503,273),"yyyy-mm-dd"),"")&amp;". ")&amp;IF(LEN(IF(ISNUMBER(INDEX('Aides'!$H$4:$H$503,273)),TEXT(INDEX('Aides'!$H$4:$H$503,273),"yyyy-mm-dd"),""))=0,"","24-month cut-off: "&amp;IF(ISNUMBER(INDEX('Aides'!$H$4:$H$503,273)),TEXT(INDEX('Aides'!$H$4:$H$503,273),"yyyy-mm-dd"),"")&amp;". ")&amp;IF(LEN(IF(LEN(INDEX('Aides'!$U$4:$U$503,273))=0,"",INDEX('Aides'!$U$4:$U$503,273)))=0,"","Owner: "&amp;IF(LEN(INDEX('Aides'!$U$4:$U$503,273))=0,"",INDEX('Aides'!$U$4:$U$503,273))&amp;". ")&amp;IF(LEN(IF(LEN(INDEX('Aides'!$X$4:$X$503,273))=0,"",INDEX('Aides'!$X$4:$X$503,273)))=0,"",IF(LEN(INDEX('Aides'!$X$4:$X$503,273))=0,"",INDEX('Aides'!$X$4:$X$503,273))))</f>
        <v/>
      </c>
      <c r="I276">
        <f>IF(LEN(INDEX('Aides'!$W$4:$W$503,273))=0,"",INDEX('Aides'!$W$4:$W$503,273))</f>
        <v/>
      </c>
      <c r="J276">
        <f>IF(LEN(INDEX('Aides'!$V$4:$V$503,273))=0,"",INDEX('Aides'!$V$4:$V$503,273))</f>
        <v/>
      </c>
    </row>
    <row r="277">
      <c r="A277">
        <f>IF(AND(LEN('Aides'!A277)&gt;0,ISNUMBER('Aides'!I277)),1,0)</f>
        <v/>
      </c>
      <c r="B277">
        <f>B276+A277</f>
        <v/>
      </c>
      <c r="C277">
        <f>IF(274&gt;$B$1503,"",MATCH(274-0.5,$B$3:$B$1503,1))</f>
        <v/>
      </c>
      <c r="D277">
        <f>"CNA certification ("&amp;IF(LEN(INDEX('Aides'!$C$4:$C$503,274))=0,"",INDEX('Aides'!$C$4:$C$503,274))&amp;") – "&amp;IF(LEN(INDEX('Aides'!$A$4:$A$503,274))=0,"",INDEX('Aides'!$A$4:$A$503,274))</f>
        <v/>
      </c>
      <c r="E277">
        <f>IF(ISNUMBER(INDEX('Aides'!$I$4:$I$503,274)),TEXT(INDEX('Aides'!$I$4:$I$503,274),"yyyy-mm-dd"),"")</f>
        <v/>
      </c>
      <c r="F277">
        <f>"Certification"</f>
        <v/>
      </c>
      <c r="G277">
        <f>"High"</f>
        <v/>
      </c>
      <c r="H277">
        <f>TRIM(IF(LEN(IF(LEN(INDEX('Aides'!$D$4:$D$503,274))=0,"",INDEX('Aides'!$D$4:$D$503,274)))=0,"","Registry no.: "&amp;IF(LEN(INDEX('Aides'!$D$4:$D$503,274))=0,"",INDEX('Aides'!$D$4:$D$503,274))&amp;". ")&amp;IF(LEN(IF(ISNUMBER(INDEX('Aides'!$F$4:$F$503,274)),TEXT(INDEX('Aides'!$F$4:$F$503,274),"yyyy-mm-dd"),""))=0,"","Registry expiry: "&amp;IF(ISNUMBER(INDEX('Aides'!$F$4:$F$503,274)),TEXT(INDEX('Aides'!$F$4:$F$503,274),"yyyy-mm-dd"),"")&amp;". ")&amp;IF(LEN(IF(ISNUMBER(INDEX('Aides'!$G$4:$G$503,274)),TEXT(INDEX('Aides'!$G$4:$G$503,274),"yyyy-mm-dd"),""))=0,"","Last paid nursing work: "&amp;IF(ISNUMBER(INDEX('Aides'!$G$4:$G$503,274)),TEXT(INDEX('Aides'!$G$4:$G$503,274),"yyyy-mm-dd"),"")&amp;". ")&amp;IF(LEN(IF(ISNUMBER(INDEX('Aides'!$H$4:$H$503,274)),TEXT(INDEX('Aides'!$H$4:$H$503,274),"yyyy-mm-dd"),""))=0,"","24-month cut-off: "&amp;IF(ISNUMBER(INDEX('Aides'!$H$4:$H$503,274)),TEXT(INDEX('Aides'!$H$4:$H$503,274),"yyyy-mm-dd"),"")&amp;". ")&amp;IF(LEN(IF(LEN(INDEX('Aides'!$U$4:$U$503,274))=0,"",INDEX('Aides'!$U$4:$U$503,274)))=0,"","Owner: "&amp;IF(LEN(INDEX('Aides'!$U$4:$U$503,274))=0,"",INDEX('Aides'!$U$4:$U$503,274))&amp;". ")&amp;IF(LEN(IF(LEN(INDEX('Aides'!$X$4:$X$503,274))=0,"",INDEX('Aides'!$X$4:$X$503,274)))=0,"",IF(LEN(INDEX('Aides'!$X$4:$X$503,274))=0,"",INDEX('Aides'!$X$4:$X$503,274))))</f>
        <v/>
      </c>
      <c r="I277">
        <f>IF(LEN(INDEX('Aides'!$W$4:$W$503,274))=0,"",INDEX('Aides'!$W$4:$W$503,274))</f>
        <v/>
      </c>
      <c r="J277">
        <f>IF(LEN(INDEX('Aides'!$V$4:$V$503,274))=0,"",INDEX('Aides'!$V$4:$V$503,274))</f>
        <v/>
      </c>
    </row>
    <row r="278">
      <c r="A278">
        <f>IF(AND(LEN('Aides'!A278)&gt;0,ISNUMBER('Aides'!I278)),1,0)</f>
        <v/>
      </c>
      <c r="B278">
        <f>B277+A278</f>
        <v/>
      </c>
      <c r="C278">
        <f>IF(275&gt;$B$1503,"",MATCH(275-0.5,$B$3:$B$1503,1))</f>
        <v/>
      </c>
      <c r="D278">
        <f>"CNA certification ("&amp;IF(LEN(INDEX('Aides'!$C$4:$C$503,275))=0,"",INDEX('Aides'!$C$4:$C$503,275))&amp;") – "&amp;IF(LEN(INDEX('Aides'!$A$4:$A$503,275))=0,"",INDEX('Aides'!$A$4:$A$503,275))</f>
        <v/>
      </c>
      <c r="E278">
        <f>IF(ISNUMBER(INDEX('Aides'!$I$4:$I$503,275)),TEXT(INDEX('Aides'!$I$4:$I$503,275),"yyyy-mm-dd"),"")</f>
        <v/>
      </c>
      <c r="F278">
        <f>"Certification"</f>
        <v/>
      </c>
      <c r="G278">
        <f>"High"</f>
        <v/>
      </c>
      <c r="H278">
        <f>TRIM(IF(LEN(IF(LEN(INDEX('Aides'!$D$4:$D$503,275))=0,"",INDEX('Aides'!$D$4:$D$503,275)))=0,"","Registry no.: "&amp;IF(LEN(INDEX('Aides'!$D$4:$D$503,275))=0,"",INDEX('Aides'!$D$4:$D$503,275))&amp;". ")&amp;IF(LEN(IF(ISNUMBER(INDEX('Aides'!$F$4:$F$503,275)),TEXT(INDEX('Aides'!$F$4:$F$503,275),"yyyy-mm-dd"),""))=0,"","Registry expiry: "&amp;IF(ISNUMBER(INDEX('Aides'!$F$4:$F$503,275)),TEXT(INDEX('Aides'!$F$4:$F$503,275),"yyyy-mm-dd"),"")&amp;". ")&amp;IF(LEN(IF(ISNUMBER(INDEX('Aides'!$G$4:$G$503,275)),TEXT(INDEX('Aides'!$G$4:$G$503,275),"yyyy-mm-dd"),""))=0,"","Last paid nursing work: "&amp;IF(ISNUMBER(INDEX('Aides'!$G$4:$G$503,275)),TEXT(INDEX('Aides'!$G$4:$G$503,275),"yyyy-mm-dd"),"")&amp;". ")&amp;IF(LEN(IF(ISNUMBER(INDEX('Aides'!$H$4:$H$503,275)),TEXT(INDEX('Aides'!$H$4:$H$503,275),"yyyy-mm-dd"),""))=0,"","24-month cut-off: "&amp;IF(ISNUMBER(INDEX('Aides'!$H$4:$H$503,275)),TEXT(INDEX('Aides'!$H$4:$H$503,275),"yyyy-mm-dd"),"")&amp;". ")&amp;IF(LEN(IF(LEN(INDEX('Aides'!$U$4:$U$503,275))=0,"",INDEX('Aides'!$U$4:$U$503,275)))=0,"","Owner: "&amp;IF(LEN(INDEX('Aides'!$U$4:$U$503,275))=0,"",INDEX('Aides'!$U$4:$U$503,275))&amp;". ")&amp;IF(LEN(IF(LEN(INDEX('Aides'!$X$4:$X$503,275))=0,"",INDEX('Aides'!$X$4:$X$503,275)))=0,"",IF(LEN(INDEX('Aides'!$X$4:$X$503,275))=0,"",INDEX('Aides'!$X$4:$X$503,275))))</f>
        <v/>
      </c>
      <c r="I278">
        <f>IF(LEN(INDEX('Aides'!$W$4:$W$503,275))=0,"",INDEX('Aides'!$W$4:$W$503,275))</f>
        <v/>
      </c>
      <c r="J278">
        <f>IF(LEN(INDEX('Aides'!$V$4:$V$503,275))=0,"",INDEX('Aides'!$V$4:$V$503,275))</f>
        <v/>
      </c>
    </row>
    <row r="279">
      <c r="A279">
        <f>IF(AND(LEN('Aides'!A279)&gt;0,ISNUMBER('Aides'!I279)),1,0)</f>
        <v/>
      </c>
      <c r="B279">
        <f>B278+A279</f>
        <v/>
      </c>
      <c r="C279">
        <f>IF(276&gt;$B$1503,"",MATCH(276-0.5,$B$3:$B$1503,1))</f>
        <v/>
      </c>
      <c r="D279">
        <f>"CNA certification ("&amp;IF(LEN(INDEX('Aides'!$C$4:$C$503,276))=0,"",INDEX('Aides'!$C$4:$C$503,276))&amp;") – "&amp;IF(LEN(INDEX('Aides'!$A$4:$A$503,276))=0,"",INDEX('Aides'!$A$4:$A$503,276))</f>
        <v/>
      </c>
      <c r="E279">
        <f>IF(ISNUMBER(INDEX('Aides'!$I$4:$I$503,276)),TEXT(INDEX('Aides'!$I$4:$I$503,276),"yyyy-mm-dd"),"")</f>
        <v/>
      </c>
      <c r="F279">
        <f>"Certification"</f>
        <v/>
      </c>
      <c r="G279">
        <f>"High"</f>
        <v/>
      </c>
      <c r="H279">
        <f>TRIM(IF(LEN(IF(LEN(INDEX('Aides'!$D$4:$D$503,276))=0,"",INDEX('Aides'!$D$4:$D$503,276)))=0,"","Registry no.: "&amp;IF(LEN(INDEX('Aides'!$D$4:$D$503,276))=0,"",INDEX('Aides'!$D$4:$D$503,276))&amp;". ")&amp;IF(LEN(IF(ISNUMBER(INDEX('Aides'!$F$4:$F$503,276)),TEXT(INDEX('Aides'!$F$4:$F$503,276),"yyyy-mm-dd"),""))=0,"","Registry expiry: "&amp;IF(ISNUMBER(INDEX('Aides'!$F$4:$F$503,276)),TEXT(INDEX('Aides'!$F$4:$F$503,276),"yyyy-mm-dd"),"")&amp;". ")&amp;IF(LEN(IF(ISNUMBER(INDEX('Aides'!$G$4:$G$503,276)),TEXT(INDEX('Aides'!$G$4:$G$503,276),"yyyy-mm-dd"),""))=0,"","Last paid nursing work: "&amp;IF(ISNUMBER(INDEX('Aides'!$G$4:$G$503,276)),TEXT(INDEX('Aides'!$G$4:$G$503,276),"yyyy-mm-dd"),"")&amp;". ")&amp;IF(LEN(IF(ISNUMBER(INDEX('Aides'!$H$4:$H$503,276)),TEXT(INDEX('Aides'!$H$4:$H$503,276),"yyyy-mm-dd"),""))=0,"","24-month cut-off: "&amp;IF(ISNUMBER(INDEX('Aides'!$H$4:$H$503,276)),TEXT(INDEX('Aides'!$H$4:$H$503,276),"yyyy-mm-dd"),"")&amp;". ")&amp;IF(LEN(IF(LEN(INDEX('Aides'!$U$4:$U$503,276))=0,"",INDEX('Aides'!$U$4:$U$503,276)))=0,"","Owner: "&amp;IF(LEN(INDEX('Aides'!$U$4:$U$503,276))=0,"",INDEX('Aides'!$U$4:$U$503,276))&amp;". ")&amp;IF(LEN(IF(LEN(INDEX('Aides'!$X$4:$X$503,276))=0,"",INDEX('Aides'!$X$4:$X$503,276)))=0,"",IF(LEN(INDEX('Aides'!$X$4:$X$503,276))=0,"",INDEX('Aides'!$X$4:$X$503,276))))</f>
        <v/>
      </c>
      <c r="I279">
        <f>IF(LEN(INDEX('Aides'!$W$4:$W$503,276))=0,"",INDEX('Aides'!$W$4:$W$503,276))</f>
        <v/>
      </c>
      <c r="J279">
        <f>IF(LEN(INDEX('Aides'!$V$4:$V$503,276))=0,"",INDEX('Aides'!$V$4:$V$503,276))</f>
        <v/>
      </c>
    </row>
    <row r="280">
      <c r="A280">
        <f>IF(AND(LEN('Aides'!A280)&gt;0,ISNUMBER('Aides'!I280)),1,0)</f>
        <v/>
      </c>
      <c r="B280">
        <f>B279+A280</f>
        <v/>
      </c>
      <c r="C280">
        <f>IF(277&gt;$B$1503,"",MATCH(277-0.5,$B$3:$B$1503,1))</f>
        <v/>
      </c>
      <c r="D280">
        <f>"CNA certification ("&amp;IF(LEN(INDEX('Aides'!$C$4:$C$503,277))=0,"",INDEX('Aides'!$C$4:$C$503,277))&amp;") – "&amp;IF(LEN(INDEX('Aides'!$A$4:$A$503,277))=0,"",INDEX('Aides'!$A$4:$A$503,277))</f>
        <v/>
      </c>
      <c r="E280">
        <f>IF(ISNUMBER(INDEX('Aides'!$I$4:$I$503,277)),TEXT(INDEX('Aides'!$I$4:$I$503,277),"yyyy-mm-dd"),"")</f>
        <v/>
      </c>
      <c r="F280">
        <f>"Certification"</f>
        <v/>
      </c>
      <c r="G280">
        <f>"High"</f>
        <v/>
      </c>
      <c r="H280">
        <f>TRIM(IF(LEN(IF(LEN(INDEX('Aides'!$D$4:$D$503,277))=0,"",INDEX('Aides'!$D$4:$D$503,277)))=0,"","Registry no.: "&amp;IF(LEN(INDEX('Aides'!$D$4:$D$503,277))=0,"",INDEX('Aides'!$D$4:$D$503,277))&amp;". ")&amp;IF(LEN(IF(ISNUMBER(INDEX('Aides'!$F$4:$F$503,277)),TEXT(INDEX('Aides'!$F$4:$F$503,277),"yyyy-mm-dd"),""))=0,"","Registry expiry: "&amp;IF(ISNUMBER(INDEX('Aides'!$F$4:$F$503,277)),TEXT(INDEX('Aides'!$F$4:$F$503,277),"yyyy-mm-dd"),"")&amp;". ")&amp;IF(LEN(IF(ISNUMBER(INDEX('Aides'!$G$4:$G$503,277)),TEXT(INDEX('Aides'!$G$4:$G$503,277),"yyyy-mm-dd"),""))=0,"","Last paid nursing work: "&amp;IF(ISNUMBER(INDEX('Aides'!$G$4:$G$503,277)),TEXT(INDEX('Aides'!$G$4:$G$503,277),"yyyy-mm-dd"),"")&amp;". ")&amp;IF(LEN(IF(ISNUMBER(INDEX('Aides'!$H$4:$H$503,277)),TEXT(INDEX('Aides'!$H$4:$H$503,277),"yyyy-mm-dd"),""))=0,"","24-month cut-off: "&amp;IF(ISNUMBER(INDEX('Aides'!$H$4:$H$503,277)),TEXT(INDEX('Aides'!$H$4:$H$503,277),"yyyy-mm-dd"),"")&amp;". ")&amp;IF(LEN(IF(LEN(INDEX('Aides'!$U$4:$U$503,277))=0,"",INDEX('Aides'!$U$4:$U$503,277)))=0,"","Owner: "&amp;IF(LEN(INDEX('Aides'!$U$4:$U$503,277))=0,"",INDEX('Aides'!$U$4:$U$503,277))&amp;". ")&amp;IF(LEN(IF(LEN(INDEX('Aides'!$X$4:$X$503,277))=0,"",INDEX('Aides'!$X$4:$X$503,277)))=0,"",IF(LEN(INDEX('Aides'!$X$4:$X$503,277))=0,"",INDEX('Aides'!$X$4:$X$503,277))))</f>
        <v/>
      </c>
      <c r="I280">
        <f>IF(LEN(INDEX('Aides'!$W$4:$W$503,277))=0,"",INDEX('Aides'!$W$4:$W$503,277))</f>
        <v/>
      </c>
      <c r="J280">
        <f>IF(LEN(INDEX('Aides'!$V$4:$V$503,277))=0,"",INDEX('Aides'!$V$4:$V$503,277))</f>
        <v/>
      </c>
    </row>
    <row r="281">
      <c r="A281">
        <f>IF(AND(LEN('Aides'!A281)&gt;0,ISNUMBER('Aides'!I281)),1,0)</f>
        <v/>
      </c>
      <c r="B281">
        <f>B280+A281</f>
        <v/>
      </c>
      <c r="C281">
        <f>IF(278&gt;$B$1503,"",MATCH(278-0.5,$B$3:$B$1503,1))</f>
        <v/>
      </c>
      <c r="D281">
        <f>"CNA certification ("&amp;IF(LEN(INDEX('Aides'!$C$4:$C$503,278))=0,"",INDEX('Aides'!$C$4:$C$503,278))&amp;") – "&amp;IF(LEN(INDEX('Aides'!$A$4:$A$503,278))=0,"",INDEX('Aides'!$A$4:$A$503,278))</f>
        <v/>
      </c>
      <c r="E281">
        <f>IF(ISNUMBER(INDEX('Aides'!$I$4:$I$503,278)),TEXT(INDEX('Aides'!$I$4:$I$503,278),"yyyy-mm-dd"),"")</f>
        <v/>
      </c>
      <c r="F281">
        <f>"Certification"</f>
        <v/>
      </c>
      <c r="G281">
        <f>"High"</f>
        <v/>
      </c>
      <c r="H281">
        <f>TRIM(IF(LEN(IF(LEN(INDEX('Aides'!$D$4:$D$503,278))=0,"",INDEX('Aides'!$D$4:$D$503,278)))=0,"","Registry no.: "&amp;IF(LEN(INDEX('Aides'!$D$4:$D$503,278))=0,"",INDEX('Aides'!$D$4:$D$503,278))&amp;". ")&amp;IF(LEN(IF(ISNUMBER(INDEX('Aides'!$F$4:$F$503,278)),TEXT(INDEX('Aides'!$F$4:$F$503,278),"yyyy-mm-dd"),""))=0,"","Registry expiry: "&amp;IF(ISNUMBER(INDEX('Aides'!$F$4:$F$503,278)),TEXT(INDEX('Aides'!$F$4:$F$503,278),"yyyy-mm-dd"),"")&amp;". ")&amp;IF(LEN(IF(ISNUMBER(INDEX('Aides'!$G$4:$G$503,278)),TEXT(INDEX('Aides'!$G$4:$G$503,278),"yyyy-mm-dd"),""))=0,"","Last paid nursing work: "&amp;IF(ISNUMBER(INDEX('Aides'!$G$4:$G$503,278)),TEXT(INDEX('Aides'!$G$4:$G$503,278),"yyyy-mm-dd"),"")&amp;". ")&amp;IF(LEN(IF(ISNUMBER(INDEX('Aides'!$H$4:$H$503,278)),TEXT(INDEX('Aides'!$H$4:$H$503,278),"yyyy-mm-dd"),""))=0,"","24-month cut-off: "&amp;IF(ISNUMBER(INDEX('Aides'!$H$4:$H$503,278)),TEXT(INDEX('Aides'!$H$4:$H$503,278),"yyyy-mm-dd"),"")&amp;". ")&amp;IF(LEN(IF(LEN(INDEX('Aides'!$U$4:$U$503,278))=0,"",INDEX('Aides'!$U$4:$U$503,278)))=0,"","Owner: "&amp;IF(LEN(INDEX('Aides'!$U$4:$U$503,278))=0,"",INDEX('Aides'!$U$4:$U$503,278))&amp;". ")&amp;IF(LEN(IF(LEN(INDEX('Aides'!$X$4:$X$503,278))=0,"",INDEX('Aides'!$X$4:$X$503,278)))=0,"",IF(LEN(INDEX('Aides'!$X$4:$X$503,278))=0,"",INDEX('Aides'!$X$4:$X$503,278))))</f>
        <v/>
      </c>
      <c r="I281">
        <f>IF(LEN(INDEX('Aides'!$W$4:$W$503,278))=0,"",INDEX('Aides'!$W$4:$W$503,278))</f>
        <v/>
      </c>
      <c r="J281">
        <f>IF(LEN(INDEX('Aides'!$V$4:$V$503,278))=0,"",INDEX('Aides'!$V$4:$V$503,278))</f>
        <v/>
      </c>
    </row>
    <row r="282">
      <c r="A282">
        <f>IF(AND(LEN('Aides'!A282)&gt;0,ISNUMBER('Aides'!I282)),1,0)</f>
        <v/>
      </c>
      <c r="B282">
        <f>B281+A282</f>
        <v/>
      </c>
      <c r="C282">
        <f>IF(279&gt;$B$1503,"",MATCH(279-0.5,$B$3:$B$1503,1))</f>
        <v/>
      </c>
      <c r="D282">
        <f>"CNA certification ("&amp;IF(LEN(INDEX('Aides'!$C$4:$C$503,279))=0,"",INDEX('Aides'!$C$4:$C$503,279))&amp;") – "&amp;IF(LEN(INDEX('Aides'!$A$4:$A$503,279))=0,"",INDEX('Aides'!$A$4:$A$503,279))</f>
        <v/>
      </c>
      <c r="E282">
        <f>IF(ISNUMBER(INDEX('Aides'!$I$4:$I$503,279)),TEXT(INDEX('Aides'!$I$4:$I$503,279),"yyyy-mm-dd"),"")</f>
        <v/>
      </c>
      <c r="F282">
        <f>"Certification"</f>
        <v/>
      </c>
      <c r="G282">
        <f>"High"</f>
        <v/>
      </c>
      <c r="H282">
        <f>TRIM(IF(LEN(IF(LEN(INDEX('Aides'!$D$4:$D$503,279))=0,"",INDEX('Aides'!$D$4:$D$503,279)))=0,"","Registry no.: "&amp;IF(LEN(INDEX('Aides'!$D$4:$D$503,279))=0,"",INDEX('Aides'!$D$4:$D$503,279))&amp;". ")&amp;IF(LEN(IF(ISNUMBER(INDEX('Aides'!$F$4:$F$503,279)),TEXT(INDEX('Aides'!$F$4:$F$503,279),"yyyy-mm-dd"),""))=0,"","Registry expiry: "&amp;IF(ISNUMBER(INDEX('Aides'!$F$4:$F$503,279)),TEXT(INDEX('Aides'!$F$4:$F$503,279),"yyyy-mm-dd"),"")&amp;". ")&amp;IF(LEN(IF(ISNUMBER(INDEX('Aides'!$G$4:$G$503,279)),TEXT(INDEX('Aides'!$G$4:$G$503,279),"yyyy-mm-dd"),""))=0,"","Last paid nursing work: "&amp;IF(ISNUMBER(INDEX('Aides'!$G$4:$G$503,279)),TEXT(INDEX('Aides'!$G$4:$G$503,279),"yyyy-mm-dd"),"")&amp;". ")&amp;IF(LEN(IF(ISNUMBER(INDEX('Aides'!$H$4:$H$503,279)),TEXT(INDEX('Aides'!$H$4:$H$503,279),"yyyy-mm-dd"),""))=0,"","24-month cut-off: "&amp;IF(ISNUMBER(INDEX('Aides'!$H$4:$H$503,279)),TEXT(INDEX('Aides'!$H$4:$H$503,279),"yyyy-mm-dd"),"")&amp;". ")&amp;IF(LEN(IF(LEN(INDEX('Aides'!$U$4:$U$503,279))=0,"",INDEX('Aides'!$U$4:$U$503,279)))=0,"","Owner: "&amp;IF(LEN(INDEX('Aides'!$U$4:$U$503,279))=0,"",INDEX('Aides'!$U$4:$U$503,279))&amp;". ")&amp;IF(LEN(IF(LEN(INDEX('Aides'!$X$4:$X$503,279))=0,"",INDEX('Aides'!$X$4:$X$503,279)))=0,"",IF(LEN(INDEX('Aides'!$X$4:$X$503,279))=0,"",INDEX('Aides'!$X$4:$X$503,279))))</f>
        <v/>
      </c>
      <c r="I282">
        <f>IF(LEN(INDEX('Aides'!$W$4:$W$503,279))=0,"",INDEX('Aides'!$W$4:$W$503,279))</f>
        <v/>
      </c>
      <c r="J282">
        <f>IF(LEN(INDEX('Aides'!$V$4:$V$503,279))=0,"",INDEX('Aides'!$V$4:$V$503,279))</f>
        <v/>
      </c>
    </row>
    <row r="283">
      <c r="A283">
        <f>IF(AND(LEN('Aides'!A283)&gt;0,ISNUMBER('Aides'!I283)),1,0)</f>
        <v/>
      </c>
      <c r="B283">
        <f>B282+A283</f>
        <v/>
      </c>
      <c r="C283">
        <f>IF(280&gt;$B$1503,"",MATCH(280-0.5,$B$3:$B$1503,1))</f>
        <v/>
      </c>
      <c r="D283">
        <f>"CNA certification ("&amp;IF(LEN(INDEX('Aides'!$C$4:$C$503,280))=0,"",INDEX('Aides'!$C$4:$C$503,280))&amp;") – "&amp;IF(LEN(INDEX('Aides'!$A$4:$A$503,280))=0,"",INDEX('Aides'!$A$4:$A$503,280))</f>
        <v/>
      </c>
      <c r="E283">
        <f>IF(ISNUMBER(INDEX('Aides'!$I$4:$I$503,280)),TEXT(INDEX('Aides'!$I$4:$I$503,280),"yyyy-mm-dd"),"")</f>
        <v/>
      </c>
      <c r="F283">
        <f>"Certification"</f>
        <v/>
      </c>
      <c r="G283">
        <f>"High"</f>
        <v/>
      </c>
      <c r="H283">
        <f>TRIM(IF(LEN(IF(LEN(INDEX('Aides'!$D$4:$D$503,280))=0,"",INDEX('Aides'!$D$4:$D$503,280)))=0,"","Registry no.: "&amp;IF(LEN(INDEX('Aides'!$D$4:$D$503,280))=0,"",INDEX('Aides'!$D$4:$D$503,280))&amp;". ")&amp;IF(LEN(IF(ISNUMBER(INDEX('Aides'!$F$4:$F$503,280)),TEXT(INDEX('Aides'!$F$4:$F$503,280),"yyyy-mm-dd"),""))=0,"","Registry expiry: "&amp;IF(ISNUMBER(INDEX('Aides'!$F$4:$F$503,280)),TEXT(INDEX('Aides'!$F$4:$F$503,280),"yyyy-mm-dd"),"")&amp;". ")&amp;IF(LEN(IF(ISNUMBER(INDEX('Aides'!$G$4:$G$503,280)),TEXT(INDEX('Aides'!$G$4:$G$503,280),"yyyy-mm-dd"),""))=0,"","Last paid nursing work: "&amp;IF(ISNUMBER(INDEX('Aides'!$G$4:$G$503,280)),TEXT(INDEX('Aides'!$G$4:$G$503,280),"yyyy-mm-dd"),"")&amp;". ")&amp;IF(LEN(IF(ISNUMBER(INDEX('Aides'!$H$4:$H$503,280)),TEXT(INDEX('Aides'!$H$4:$H$503,280),"yyyy-mm-dd"),""))=0,"","24-month cut-off: "&amp;IF(ISNUMBER(INDEX('Aides'!$H$4:$H$503,280)),TEXT(INDEX('Aides'!$H$4:$H$503,280),"yyyy-mm-dd"),"")&amp;". ")&amp;IF(LEN(IF(LEN(INDEX('Aides'!$U$4:$U$503,280))=0,"",INDEX('Aides'!$U$4:$U$503,280)))=0,"","Owner: "&amp;IF(LEN(INDEX('Aides'!$U$4:$U$503,280))=0,"",INDEX('Aides'!$U$4:$U$503,280))&amp;". ")&amp;IF(LEN(IF(LEN(INDEX('Aides'!$X$4:$X$503,280))=0,"",INDEX('Aides'!$X$4:$X$503,280)))=0,"",IF(LEN(INDEX('Aides'!$X$4:$X$503,280))=0,"",INDEX('Aides'!$X$4:$X$503,280))))</f>
        <v/>
      </c>
      <c r="I283">
        <f>IF(LEN(INDEX('Aides'!$W$4:$W$503,280))=0,"",INDEX('Aides'!$W$4:$W$503,280))</f>
        <v/>
      </c>
      <c r="J283">
        <f>IF(LEN(INDEX('Aides'!$V$4:$V$503,280))=0,"",INDEX('Aides'!$V$4:$V$503,280))</f>
        <v/>
      </c>
    </row>
    <row r="284">
      <c r="A284">
        <f>IF(AND(LEN('Aides'!A284)&gt;0,ISNUMBER('Aides'!I284)),1,0)</f>
        <v/>
      </c>
      <c r="B284">
        <f>B283+A284</f>
        <v/>
      </c>
      <c r="C284">
        <f>IF(281&gt;$B$1503,"",MATCH(281-0.5,$B$3:$B$1503,1))</f>
        <v/>
      </c>
      <c r="D284">
        <f>"CNA certification ("&amp;IF(LEN(INDEX('Aides'!$C$4:$C$503,281))=0,"",INDEX('Aides'!$C$4:$C$503,281))&amp;") – "&amp;IF(LEN(INDEX('Aides'!$A$4:$A$503,281))=0,"",INDEX('Aides'!$A$4:$A$503,281))</f>
        <v/>
      </c>
      <c r="E284">
        <f>IF(ISNUMBER(INDEX('Aides'!$I$4:$I$503,281)),TEXT(INDEX('Aides'!$I$4:$I$503,281),"yyyy-mm-dd"),"")</f>
        <v/>
      </c>
      <c r="F284">
        <f>"Certification"</f>
        <v/>
      </c>
      <c r="G284">
        <f>"High"</f>
        <v/>
      </c>
      <c r="H284">
        <f>TRIM(IF(LEN(IF(LEN(INDEX('Aides'!$D$4:$D$503,281))=0,"",INDEX('Aides'!$D$4:$D$503,281)))=0,"","Registry no.: "&amp;IF(LEN(INDEX('Aides'!$D$4:$D$503,281))=0,"",INDEX('Aides'!$D$4:$D$503,281))&amp;". ")&amp;IF(LEN(IF(ISNUMBER(INDEX('Aides'!$F$4:$F$503,281)),TEXT(INDEX('Aides'!$F$4:$F$503,281),"yyyy-mm-dd"),""))=0,"","Registry expiry: "&amp;IF(ISNUMBER(INDEX('Aides'!$F$4:$F$503,281)),TEXT(INDEX('Aides'!$F$4:$F$503,281),"yyyy-mm-dd"),"")&amp;". ")&amp;IF(LEN(IF(ISNUMBER(INDEX('Aides'!$G$4:$G$503,281)),TEXT(INDEX('Aides'!$G$4:$G$503,281),"yyyy-mm-dd"),""))=0,"","Last paid nursing work: "&amp;IF(ISNUMBER(INDEX('Aides'!$G$4:$G$503,281)),TEXT(INDEX('Aides'!$G$4:$G$503,281),"yyyy-mm-dd"),"")&amp;". ")&amp;IF(LEN(IF(ISNUMBER(INDEX('Aides'!$H$4:$H$503,281)),TEXT(INDEX('Aides'!$H$4:$H$503,281),"yyyy-mm-dd"),""))=0,"","24-month cut-off: "&amp;IF(ISNUMBER(INDEX('Aides'!$H$4:$H$503,281)),TEXT(INDEX('Aides'!$H$4:$H$503,281),"yyyy-mm-dd"),"")&amp;". ")&amp;IF(LEN(IF(LEN(INDEX('Aides'!$U$4:$U$503,281))=0,"",INDEX('Aides'!$U$4:$U$503,281)))=0,"","Owner: "&amp;IF(LEN(INDEX('Aides'!$U$4:$U$503,281))=0,"",INDEX('Aides'!$U$4:$U$503,281))&amp;". ")&amp;IF(LEN(IF(LEN(INDEX('Aides'!$X$4:$X$503,281))=0,"",INDEX('Aides'!$X$4:$X$503,281)))=0,"",IF(LEN(INDEX('Aides'!$X$4:$X$503,281))=0,"",INDEX('Aides'!$X$4:$X$503,281))))</f>
        <v/>
      </c>
      <c r="I284">
        <f>IF(LEN(INDEX('Aides'!$W$4:$W$503,281))=0,"",INDEX('Aides'!$W$4:$W$503,281))</f>
        <v/>
      </c>
      <c r="J284">
        <f>IF(LEN(INDEX('Aides'!$V$4:$V$503,281))=0,"",INDEX('Aides'!$V$4:$V$503,281))</f>
        <v/>
      </c>
    </row>
    <row r="285">
      <c r="A285">
        <f>IF(AND(LEN('Aides'!A285)&gt;0,ISNUMBER('Aides'!I285)),1,0)</f>
        <v/>
      </c>
      <c r="B285">
        <f>B284+A285</f>
        <v/>
      </c>
      <c r="C285">
        <f>IF(282&gt;$B$1503,"",MATCH(282-0.5,$B$3:$B$1503,1))</f>
        <v/>
      </c>
      <c r="D285">
        <f>"CNA certification ("&amp;IF(LEN(INDEX('Aides'!$C$4:$C$503,282))=0,"",INDEX('Aides'!$C$4:$C$503,282))&amp;") – "&amp;IF(LEN(INDEX('Aides'!$A$4:$A$503,282))=0,"",INDEX('Aides'!$A$4:$A$503,282))</f>
        <v/>
      </c>
      <c r="E285">
        <f>IF(ISNUMBER(INDEX('Aides'!$I$4:$I$503,282)),TEXT(INDEX('Aides'!$I$4:$I$503,282),"yyyy-mm-dd"),"")</f>
        <v/>
      </c>
      <c r="F285">
        <f>"Certification"</f>
        <v/>
      </c>
      <c r="G285">
        <f>"High"</f>
        <v/>
      </c>
      <c r="H285">
        <f>TRIM(IF(LEN(IF(LEN(INDEX('Aides'!$D$4:$D$503,282))=0,"",INDEX('Aides'!$D$4:$D$503,282)))=0,"","Registry no.: "&amp;IF(LEN(INDEX('Aides'!$D$4:$D$503,282))=0,"",INDEX('Aides'!$D$4:$D$503,282))&amp;". ")&amp;IF(LEN(IF(ISNUMBER(INDEX('Aides'!$F$4:$F$503,282)),TEXT(INDEX('Aides'!$F$4:$F$503,282),"yyyy-mm-dd"),""))=0,"","Registry expiry: "&amp;IF(ISNUMBER(INDEX('Aides'!$F$4:$F$503,282)),TEXT(INDEX('Aides'!$F$4:$F$503,282),"yyyy-mm-dd"),"")&amp;". ")&amp;IF(LEN(IF(ISNUMBER(INDEX('Aides'!$G$4:$G$503,282)),TEXT(INDEX('Aides'!$G$4:$G$503,282),"yyyy-mm-dd"),""))=0,"","Last paid nursing work: "&amp;IF(ISNUMBER(INDEX('Aides'!$G$4:$G$503,282)),TEXT(INDEX('Aides'!$G$4:$G$503,282),"yyyy-mm-dd"),"")&amp;". ")&amp;IF(LEN(IF(ISNUMBER(INDEX('Aides'!$H$4:$H$503,282)),TEXT(INDEX('Aides'!$H$4:$H$503,282),"yyyy-mm-dd"),""))=0,"","24-month cut-off: "&amp;IF(ISNUMBER(INDEX('Aides'!$H$4:$H$503,282)),TEXT(INDEX('Aides'!$H$4:$H$503,282),"yyyy-mm-dd"),"")&amp;". ")&amp;IF(LEN(IF(LEN(INDEX('Aides'!$U$4:$U$503,282))=0,"",INDEX('Aides'!$U$4:$U$503,282)))=0,"","Owner: "&amp;IF(LEN(INDEX('Aides'!$U$4:$U$503,282))=0,"",INDEX('Aides'!$U$4:$U$503,282))&amp;". ")&amp;IF(LEN(IF(LEN(INDEX('Aides'!$X$4:$X$503,282))=0,"",INDEX('Aides'!$X$4:$X$503,282)))=0,"",IF(LEN(INDEX('Aides'!$X$4:$X$503,282))=0,"",INDEX('Aides'!$X$4:$X$503,282))))</f>
        <v/>
      </c>
      <c r="I285">
        <f>IF(LEN(INDEX('Aides'!$W$4:$W$503,282))=0,"",INDEX('Aides'!$W$4:$W$503,282))</f>
        <v/>
      </c>
      <c r="J285">
        <f>IF(LEN(INDEX('Aides'!$V$4:$V$503,282))=0,"",INDEX('Aides'!$V$4:$V$503,282))</f>
        <v/>
      </c>
    </row>
    <row r="286">
      <c r="A286">
        <f>IF(AND(LEN('Aides'!A286)&gt;0,ISNUMBER('Aides'!I286)),1,0)</f>
        <v/>
      </c>
      <c r="B286">
        <f>B285+A286</f>
        <v/>
      </c>
      <c r="C286">
        <f>IF(283&gt;$B$1503,"",MATCH(283-0.5,$B$3:$B$1503,1))</f>
        <v/>
      </c>
      <c r="D286">
        <f>"CNA certification ("&amp;IF(LEN(INDEX('Aides'!$C$4:$C$503,283))=0,"",INDEX('Aides'!$C$4:$C$503,283))&amp;") – "&amp;IF(LEN(INDEX('Aides'!$A$4:$A$503,283))=0,"",INDEX('Aides'!$A$4:$A$503,283))</f>
        <v/>
      </c>
      <c r="E286">
        <f>IF(ISNUMBER(INDEX('Aides'!$I$4:$I$503,283)),TEXT(INDEX('Aides'!$I$4:$I$503,283),"yyyy-mm-dd"),"")</f>
        <v/>
      </c>
      <c r="F286">
        <f>"Certification"</f>
        <v/>
      </c>
      <c r="G286">
        <f>"High"</f>
        <v/>
      </c>
      <c r="H286">
        <f>TRIM(IF(LEN(IF(LEN(INDEX('Aides'!$D$4:$D$503,283))=0,"",INDEX('Aides'!$D$4:$D$503,283)))=0,"","Registry no.: "&amp;IF(LEN(INDEX('Aides'!$D$4:$D$503,283))=0,"",INDEX('Aides'!$D$4:$D$503,283))&amp;". ")&amp;IF(LEN(IF(ISNUMBER(INDEX('Aides'!$F$4:$F$503,283)),TEXT(INDEX('Aides'!$F$4:$F$503,283),"yyyy-mm-dd"),""))=0,"","Registry expiry: "&amp;IF(ISNUMBER(INDEX('Aides'!$F$4:$F$503,283)),TEXT(INDEX('Aides'!$F$4:$F$503,283),"yyyy-mm-dd"),"")&amp;". ")&amp;IF(LEN(IF(ISNUMBER(INDEX('Aides'!$G$4:$G$503,283)),TEXT(INDEX('Aides'!$G$4:$G$503,283),"yyyy-mm-dd"),""))=0,"","Last paid nursing work: "&amp;IF(ISNUMBER(INDEX('Aides'!$G$4:$G$503,283)),TEXT(INDEX('Aides'!$G$4:$G$503,283),"yyyy-mm-dd"),"")&amp;". ")&amp;IF(LEN(IF(ISNUMBER(INDEX('Aides'!$H$4:$H$503,283)),TEXT(INDEX('Aides'!$H$4:$H$503,283),"yyyy-mm-dd"),""))=0,"","24-month cut-off: "&amp;IF(ISNUMBER(INDEX('Aides'!$H$4:$H$503,283)),TEXT(INDEX('Aides'!$H$4:$H$503,283),"yyyy-mm-dd"),"")&amp;". ")&amp;IF(LEN(IF(LEN(INDEX('Aides'!$U$4:$U$503,283))=0,"",INDEX('Aides'!$U$4:$U$503,283)))=0,"","Owner: "&amp;IF(LEN(INDEX('Aides'!$U$4:$U$503,283))=0,"",INDEX('Aides'!$U$4:$U$503,283))&amp;". ")&amp;IF(LEN(IF(LEN(INDEX('Aides'!$X$4:$X$503,283))=0,"",INDEX('Aides'!$X$4:$X$503,283)))=0,"",IF(LEN(INDEX('Aides'!$X$4:$X$503,283))=0,"",INDEX('Aides'!$X$4:$X$503,283))))</f>
        <v/>
      </c>
      <c r="I286">
        <f>IF(LEN(INDEX('Aides'!$W$4:$W$503,283))=0,"",INDEX('Aides'!$W$4:$W$503,283))</f>
        <v/>
      </c>
      <c r="J286">
        <f>IF(LEN(INDEX('Aides'!$V$4:$V$503,283))=0,"",INDEX('Aides'!$V$4:$V$503,283))</f>
        <v/>
      </c>
    </row>
    <row r="287">
      <c r="A287">
        <f>IF(AND(LEN('Aides'!A287)&gt;0,ISNUMBER('Aides'!I287)),1,0)</f>
        <v/>
      </c>
      <c r="B287">
        <f>B286+A287</f>
        <v/>
      </c>
      <c r="C287">
        <f>IF(284&gt;$B$1503,"",MATCH(284-0.5,$B$3:$B$1503,1))</f>
        <v/>
      </c>
      <c r="D287">
        <f>"CNA certification ("&amp;IF(LEN(INDEX('Aides'!$C$4:$C$503,284))=0,"",INDEX('Aides'!$C$4:$C$503,284))&amp;") – "&amp;IF(LEN(INDEX('Aides'!$A$4:$A$503,284))=0,"",INDEX('Aides'!$A$4:$A$503,284))</f>
        <v/>
      </c>
      <c r="E287">
        <f>IF(ISNUMBER(INDEX('Aides'!$I$4:$I$503,284)),TEXT(INDEX('Aides'!$I$4:$I$503,284),"yyyy-mm-dd"),"")</f>
        <v/>
      </c>
      <c r="F287">
        <f>"Certification"</f>
        <v/>
      </c>
      <c r="G287">
        <f>"High"</f>
        <v/>
      </c>
      <c r="H287">
        <f>TRIM(IF(LEN(IF(LEN(INDEX('Aides'!$D$4:$D$503,284))=0,"",INDEX('Aides'!$D$4:$D$503,284)))=0,"","Registry no.: "&amp;IF(LEN(INDEX('Aides'!$D$4:$D$503,284))=0,"",INDEX('Aides'!$D$4:$D$503,284))&amp;". ")&amp;IF(LEN(IF(ISNUMBER(INDEX('Aides'!$F$4:$F$503,284)),TEXT(INDEX('Aides'!$F$4:$F$503,284),"yyyy-mm-dd"),""))=0,"","Registry expiry: "&amp;IF(ISNUMBER(INDEX('Aides'!$F$4:$F$503,284)),TEXT(INDEX('Aides'!$F$4:$F$503,284),"yyyy-mm-dd"),"")&amp;". ")&amp;IF(LEN(IF(ISNUMBER(INDEX('Aides'!$G$4:$G$503,284)),TEXT(INDEX('Aides'!$G$4:$G$503,284),"yyyy-mm-dd"),""))=0,"","Last paid nursing work: "&amp;IF(ISNUMBER(INDEX('Aides'!$G$4:$G$503,284)),TEXT(INDEX('Aides'!$G$4:$G$503,284),"yyyy-mm-dd"),"")&amp;". ")&amp;IF(LEN(IF(ISNUMBER(INDEX('Aides'!$H$4:$H$503,284)),TEXT(INDEX('Aides'!$H$4:$H$503,284),"yyyy-mm-dd"),""))=0,"","24-month cut-off: "&amp;IF(ISNUMBER(INDEX('Aides'!$H$4:$H$503,284)),TEXT(INDEX('Aides'!$H$4:$H$503,284),"yyyy-mm-dd"),"")&amp;". ")&amp;IF(LEN(IF(LEN(INDEX('Aides'!$U$4:$U$503,284))=0,"",INDEX('Aides'!$U$4:$U$503,284)))=0,"","Owner: "&amp;IF(LEN(INDEX('Aides'!$U$4:$U$503,284))=0,"",INDEX('Aides'!$U$4:$U$503,284))&amp;". ")&amp;IF(LEN(IF(LEN(INDEX('Aides'!$X$4:$X$503,284))=0,"",INDEX('Aides'!$X$4:$X$503,284)))=0,"",IF(LEN(INDEX('Aides'!$X$4:$X$503,284))=0,"",INDEX('Aides'!$X$4:$X$503,284))))</f>
        <v/>
      </c>
      <c r="I287">
        <f>IF(LEN(INDEX('Aides'!$W$4:$W$503,284))=0,"",INDEX('Aides'!$W$4:$W$503,284))</f>
        <v/>
      </c>
      <c r="J287">
        <f>IF(LEN(INDEX('Aides'!$V$4:$V$503,284))=0,"",INDEX('Aides'!$V$4:$V$503,284))</f>
        <v/>
      </c>
    </row>
    <row r="288">
      <c r="A288">
        <f>IF(AND(LEN('Aides'!A288)&gt;0,ISNUMBER('Aides'!I288)),1,0)</f>
        <v/>
      </c>
      <c r="B288">
        <f>B287+A288</f>
        <v/>
      </c>
      <c r="C288">
        <f>IF(285&gt;$B$1503,"",MATCH(285-0.5,$B$3:$B$1503,1))</f>
        <v/>
      </c>
      <c r="D288">
        <f>"CNA certification ("&amp;IF(LEN(INDEX('Aides'!$C$4:$C$503,285))=0,"",INDEX('Aides'!$C$4:$C$503,285))&amp;") – "&amp;IF(LEN(INDEX('Aides'!$A$4:$A$503,285))=0,"",INDEX('Aides'!$A$4:$A$503,285))</f>
        <v/>
      </c>
      <c r="E288">
        <f>IF(ISNUMBER(INDEX('Aides'!$I$4:$I$503,285)),TEXT(INDEX('Aides'!$I$4:$I$503,285),"yyyy-mm-dd"),"")</f>
        <v/>
      </c>
      <c r="F288">
        <f>"Certification"</f>
        <v/>
      </c>
      <c r="G288">
        <f>"High"</f>
        <v/>
      </c>
      <c r="H288">
        <f>TRIM(IF(LEN(IF(LEN(INDEX('Aides'!$D$4:$D$503,285))=0,"",INDEX('Aides'!$D$4:$D$503,285)))=0,"","Registry no.: "&amp;IF(LEN(INDEX('Aides'!$D$4:$D$503,285))=0,"",INDEX('Aides'!$D$4:$D$503,285))&amp;". ")&amp;IF(LEN(IF(ISNUMBER(INDEX('Aides'!$F$4:$F$503,285)),TEXT(INDEX('Aides'!$F$4:$F$503,285),"yyyy-mm-dd"),""))=0,"","Registry expiry: "&amp;IF(ISNUMBER(INDEX('Aides'!$F$4:$F$503,285)),TEXT(INDEX('Aides'!$F$4:$F$503,285),"yyyy-mm-dd"),"")&amp;". ")&amp;IF(LEN(IF(ISNUMBER(INDEX('Aides'!$G$4:$G$503,285)),TEXT(INDEX('Aides'!$G$4:$G$503,285),"yyyy-mm-dd"),""))=0,"","Last paid nursing work: "&amp;IF(ISNUMBER(INDEX('Aides'!$G$4:$G$503,285)),TEXT(INDEX('Aides'!$G$4:$G$503,285),"yyyy-mm-dd"),"")&amp;". ")&amp;IF(LEN(IF(ISNUMBER(INDEX('Aides'!$H$4:$H$503,285)),TEXT(INDEX('Aides'!$H$4:$H$503,285),"yyyy-mm-dd"),""))=0,"","24-month cut-off: "&amp;IF(ISNUMBER(INDEX('Aides'!$H$4:$H$503,285)),TEXT(INDEX('Aides'!$H$4:$H$503,285),"yyyy-mm-dd"),"")&amp;". ")&amp;IF(LEN(IF(LEN(INDEX('Aides'!$U$4:$U$503,285))=0,"",INDEX('Aides'!$U$4:$U$503,285)))=0,"","Owner: "&amp;IF(LEN(INDEX('Aides'!$U$4:$U$503,285))=0,"",INDEX('Aides'!$U$4:$U$503,285))&amp;". ")&amp;IF(LEN(IF(LEN(INDEX('Aides'!$X$4:$X$503,285))=0,"",INDEX('Aides'!$X$4:$X$503,285)))=0,"",IF(LEN(INDEX('Aides'!$X$4:$X$503,285))=0,"",INDEX('Aides'!$X$4:$X$503,285))))</f>
        <v/>
      </c>
      <c r="I288">
        <f>IF(LEN(INDEX('Aides'!$W$4:$W$503,285))=0,"",INDEX('Aides'!$W$4:$W$503,285))</f>
        <v/>
      </c>
      <c r="J288">
        <f>IF(LEN(INDEX('Aides'!$V$4:$V$503,285))=0,"",INDEX('Aides'!$V$4:$V$503,285))</f>
        <v/>
      </c>
    </row>
    <row r="289">
      <c r="A289">
        <f>IF(AND(LEN('Aides'!A289)&gt;0,ISNUMBER('Aides'!I289)),1,0)</f>
        <v/>
      </c>
      <c r="B289">
        <f>B288+A289</f>
        <v/>
      </c>
      <c r="C289">
        <f>IF(286&gt;$B$1503,"",MATCH(286-0.5,$B$3:$B$1503,1))</f>
        <v/>
      </c>
      <c r="D289">
        <f>"CNA certification ("&amp;IF(LEN(INDEX('Aides'!$C$4:$C$503,286))=0,"",INDEX('Aides'!$C$4:$C$503,286))&amp;") – "&amp;IF(LEN(INDEX('Aides'!$A$4:$A$503,286))=0,"",INDEX('Aides'!$A$4:$A$503,286))</f>
        <v/>
      </c>
      <c r="E289">
        <f>IF(ISNUMBER(INDEX('Aides'!$I$4:$I$503,286)),TEXT(INDEX('Aides'!$I$4:$I$503,286),"yyyy-mm-dd"),"")</f>
        <v/>
      </c>
      <c r="F289">
        <f>"Certification"</f>
        <v/>
      </c>
      <c r="G289">
        <f>"High"</f>
        <v/>
      </c>
      <c r="H289">
        <f>TRIM(IF(LEN(IF(LEN(INDEX('Aides'!$D$4:$D$503,286))=0,"",INDEX('Aides'!$D$4:$D$503,286)))=0,"","Registry no.: "&amp;IF(LEN(INDEX('Aides'!$D$4:$D$503,286))=0,"",INDEX('Aides'!$D$4:$D$503,286))&amp;". ")&amp;IF(LEN(IF(ISNUMBER(INDEX('Aides'!$F$4:$F$503,286)),TEXT(INDEX('Aides'!$F$4:$F$503,286),"yyyy-mm-dd"),""))=0,"","Registry expiry: "&amp;IF(ISNUMBER(INDEX('Aides'!$F$4:$F$503,286)),TEXT(INDEX('Aides'!$F$4:$F$503,286),"yyyy-mm-dd"),"")&amp;". ")&amp;IF(LEN(IF(ISNUMBER(INDEX('Aides'!$G$4:$G$503,286)),TEXT(INDEX('Aides'!$G$4:$G$503,286),"yyyy-mm-dd"),""))=0,"","Last paid nursing work: "&amp;IF(ISNUMBER(INDEX('Aides'!$G$4:$G$503,286)),TEXT(INDEX('Aides'!$G$4:$G$503,286),"yyyy-mm-dd"),"")&amp;". ")&amp;IF(LEN(IF(ISNUMBER(INDEX('Aides'!$H$4:$H$503,286)),TEXT(INDEX('Aides'!$H$4:$H$503,286),"yyyy-mm-dd"),""))=0,"","24-month cut-off: "&amp;IF(ISNUMBER(INDEX('Aides'!$H$4:$H$503,286)),TEXT(INDEX('Aides'!$H$4:$H$503,286),"yyyy-mm-dd"),"")&amp;". ")&amp;IF(LEN(IF(LEN(INDEX('Aides'!$U$4:$U$503,286))=0,"",INDEX('Aides'!$U$4:$U$503,286)))=0,"","Owner: "&amp;IF(LEN(INDEX('Aides'!$U$4:$U$503,286))=0,"",INDEX('Aides'!$U$4:$U$503,286))&amp;". ")&amp;IF(LEN(IF(LEN(INDEX('Aides'!$X$4:$X$503,286))=0,"",INDEX('Aides'!$X$4:$X$503,286)))=0,"",IF(LEN(INDEX('Aides'!$X$4:$X$503,286))=0,"",INDEX('Aides'!$X$4:$X$503,286))))</f>
        <v/>
      </c>
      <c r="I289">
        <f>IF(LEN(INDEX('Aides'!$W$4:$W$503,286))=0,"",INDEX('Aides'!$W$4:$W$503,286))</f>
        <v/>
      </c>
      <c r="J289">
        <f>IF(LEN(INDEX('Aides'!$V$4:$V$503,286))=0,"",INDEX('Aides'!$V$4:$V$503,286))</f>
        <v/>
      </c>
    </row>
    <row r="290">
      <c r="A290">
        <f>IF(AND(LEN('Aides'!A290)&gt;0,ISNUMBER('Aides'!I290)),1,0)</f>
        <v/>
      </c>
      <c r="B290">
        <f>B289+A290</f>
        <v/>
      </c>
      <c r="C290">
        <f>IF(287&gt;$B$1503,"",MATCH(287-0.5,$B$3:$B$1503,1))</f>
        <v/>
      </c>
      <c r="D290">
        <f>"CNA certification ("&amp;IF(LEN(INDEX('Aides'!$C$4:$C$503,287))=0,"",INDEX('Aides'!$C$4:$C$503,287))&amp;") – "&amp;IF(LEN(INDEX('Aides'!$A$4:$A$503,287))=0,"",INDEX('Aides'!$A$4:$A$503,287))</f>
        <v/>
      </c>
      <c r="E290">
        <f>IF(ISNUMBER(INDEX('Aides'!$I$4:$I$503,287)),TEXT(INDEX('Aides'!$I$4:$I$503,287),"yyyy-mm-dd"),"")</f>
        <v/>
      </c>
      <c r="F290">
        <f>"Certification"</f>
        <v/>
      </c>
      <c r="G290">
        <f>"High"</f>
        <v/>
      </c>
      <c r="H290">
        <f>TRIM(IF(LEN(IF(LEN(INDEX('Aides'!$D$4:$D$503,287))=0,"",INDEX('Aides'!$D$4:$D$503,287)))=0,"","Registry no.: "&amp;IF(LEN(INDEX('Aides'!$D$4:$D$503,287))=0,"",INDEX('Aides'!$D$4:$D$503,287))&amp;". ")&amp;IF(LEN(IF(ISNUMBER(INDEX('Aides'!$F$4:$F$503,287)),TEXT(INDEX('Aides'!$F$4:$F$503,287),"yyyy-mm-dd"),""))=0,"","Registry expiry: "&amp;IF(ISNUMBER(INDEX('Aides'!$F$4:$F$503,287)),TEXT(INDEX('Aides'!$F$4:$F$503,287),"yyyy-mm-dd"),"")&amp;". ")&amp;IF(LEN(IF(ISNUMBER(INDEX('Aides'!$G$4:$G$503,287)),TEXT(INDEX('Aides'!$G$4:$G$503,287),"yyyy-mm-dd"),""))=0,"","Last paid nursing work: "&amp;IF(ISNUMBER(INDEX('Aides'!$G$4:$G$503,287)),TEXT(INDEX('Aides'!$G$4:$G$503,287),"yyyy-mm-dd"),"")&amp;". ")&amp;IF(LEN(IF(ISNUMBER(INDEX('Aides'!$H$4:$H$503,287)),TEXT(INDEX('Aides'!$H$4:$H$503,287),"yyyy-mm-dd"),""))=0,"","24-month cut-off: "&amp;IF(ISNUMBER(INDEX('Aides'!$H$4:$H$503,287)),TEXT(INDEX('Aides'!$H$4:$H$503,287),"yyyy-mm-dd"),"")&amp;". ")&amp;IF(LEN(IF(LEN(INDEX('Aides'!$U$4:$U$503,287))=0,"",INDEX('Aides'!$U$4:$U$503,287)))=0,"","Owner: "&amp;IF(LEN(INDEX('Aides'!$U$4:$U$503,287))=0,"",INDEX('Aides'!$U$4:$U$503,287))&amp;". ")&amp;IF(LEN(IF(LEN(INDEX('Aides'!$X$4:$X$503,287))=0,"",INDEX('Aides'!$X$4:$X$503,287)))=0,"",IF(LEN(INDEX('Aides'!$X$4:$X$503,287))=0,"",INDEX('Aides'!$X$4:$X$503,287))))</f>
        <v/>
      </c>
      <c r="I290">
        <f>IF(LEN(INDEX('Aides'!$W$4:$W$503,287))=0,"",INDEX('Aides'!$W$4:$W$503,287))</f>
        <v/>
      </c>
      <c r="J290">
        <f>IF(LEN(INDEX('Aides'!$V$4:$V$503,287))=0,"",INDEX('Aides'!$V$4:$V$503,287))</f>
        <v/>
      </c>
    </row>
    <row r="291">
      <c r="A291">
        <f>IF(AND(LEN('Aides'!A291)&gt;0,ISNUMBER('Aides'!I291)),1,0)</f>
        <v/>
      </c>
      <c r="B291">
        <f>B290+A291</f>
        <v/>
      </c>
      <c r="C291">
        <f>IF(288&gt;$B$1503,"",MATCH(288-0.5,$B$3:$B$1503,1))</f>
        <v/>
      </c>
      <c r="D291">
        <f>"CNA certification ("&amp;IF(LEN(INDEX('Aides'!$C$4:$C$503,288))=0,"",INDEX('Aides'!$C$4:$C$503,288))&amp;") – "&amp;IF(LEN(INDEX('Aides'!$A$4:$A$503,288))=0,"",INDEX('Aides'!$A$4:$A$503,288))</f>
        <v/>
      </c>
      <c r="E291">
        <f>IF(ISNUMBER(INDEX('Aides'!$I$4:$I$503,288)),TEXT(INDEX('Aides'!$I$4:$I$503,288),"yyyy-mm-dd"),"")</f>
        <v/>
      </c>
      <c r="F291">
        <f>"Certification"</f>
        <v/>
      </c>
      <c r="G291">
        <f>"High"</f>
        <v/>
      </c>
      <c r="H291">
        <f>TRIM(IF(LEN(IF(LEN(INDEX('Aides'!$D$4:$D$503,288))=0,"",INDEX('Aides'!$D$4:$D$503,288)))=0,"","Registry no.: "&amp;IF(LEN(INDEX('Aides'!$D$4:$D$503,288))=0,"",INDEX('Aides'!$D$4:$D$503,288))&amp;". ")&amp;IF(LEN(IF(ISNUMBER(INDEX('Aides'!$F$4:$F$503,288)),TEXT(INDEX('Aides'!$F$4:$F$503,288),"yyyy-mm-dd"),""))=0,"","Registry expiry: "&amp;IF(ISNUMBER(INDEX('Aides'!$F$4:$F$503,288)),TEXT(INDEX('Aides'!$F$4:$F$503,288),"yyyy-mm-dd"),"")&amp;". ")&amp;IF(LEN(IF(ISNUMBER(INDEX('Aides'!$G$4:$G$503,288)),TEXT(INDEX('Aides'!$G$4:$G$503,288),"yyyy-mm-dd"),""))=0,"","Last paid nursing work: "&amp;IF(ISNUMBER(INDEX('Aides'!$G$4:$G$503,288)),TEXT(INDEX('Aides'!$G$4:$G$503,288),"yyyy-mm-dd"),"")&amp;". ")&amp;IF(LEN(IF(ISNUMBER(INDEX('Aides'!$H$4:$H$503,288)),TEXT(INDEX('Aides'!$H$4:$H$503,288),"yyyy-mm-dd"),""))=0,"","24-month cut-off: "&amp;IF(ISNUMBER(INDEX('Aides'!$H$4:$H$503,288)),TEXT(INDEX('Aides'!$H$4:$H$503,288),"yyyy-mm-dd"),"")&amp;". ")&amp;IF(LEN(IF(LEN(INDEX('Aides'!$U$4:$U$503,288))=0,"",INDEX('Aides'!$U$4:$U$503,288)))=0,"","Owner: "&amp;IF(LEN(INDEX('Aides'!$U$4:$U$503,288))=0,"",INDEX('Aides'!$U$4:$U$503,288))&amp;". ")&amp;IF(LEN(IF(LEN(INDEX('Aides'!$X$4:$X$503,288))=0,"",INDEX('Aides'!$X$4:$X$503,288)))=0,"",IF(LEN(INDEX('Aides'!$X$4:$X$503,288))=0,"",INDEX('Aides'!$X$4:$X$503,288))))</f>
        <v/>
      </c>
      <c r="I291">
        <f>IF(LEN(INDEX('Aides'!$W$4:$W$503,288))=0,"",INDEX('Aides'!$W$4:$W$503,288))</f>
        <v/>
      </c>
      <c r="J291">
        <f>IF(LEN(INDEX('Aides'!$V$4:$V$503,288))=0,"",INDEX('Aides'!$V$4:$V$503,288))</f>
        <v/>
      </c>
    </row>
    <row r="292">
      <c r="A292">
        <f>IF(AND(LEN('Aides'!A292)&gt;0,ISNUMBER('Aides'!I292)),1,0)</f>
        <v/>
      </c>
      <c r="B292">
        <f>B291+A292</f>
        <v/>
      </c>
      <c r="C292">
        <f>IF(289&gt;$B$1503,"",MATCH(289-0.5,$B$3:$B$1503,1))</f>
        <v/>
      </c>
      <c r="D292">
        <f>"CNA certification ("&amp;IF(LEN(INDEX('Aides'!$C$4:$C$503,289))=0,"",INDEX('Aides'!$C$4:$C$503,289))&amp;") – "&amp;IF(LEN(INDEX('Aides'!$A$4:$A$503,289))=0,"",INDEX('Aides'!$A$4:$A$503,289))</f>
        <v/>
      </c>
      <c r="E292">
        <f>IF(ISNUMBER(INDEX('Aides'!$I$4:$I$503,289)),TEXT(INDEX('Aides'!$I$4:$I$503,289),"yyyy-mm-dd"),"")</f>
        <v/>
      </c>
      <c r="F292">
        <f>"Certification"</f>
        <v/>
      </c>
      <c r="G292">
        <f>"High"</f>
        <v/>
      </c>
      <c r="H292">
        <f>TRIM(IF(LEN(IF(LEN(INDEX('Aides'!$D$4:$D$503,289))=0,"",INDEX('Aides'!$D$4:$D$503,289)))=0,"","Registry no.: "&amp;IF(LEN(INDEX('Aides'!$D$4:$D$503,289))=0,"",INDEX('Aides'!$D$4:$D$503,289))&amp;". ")&amp;IF(LEN(IF(ISNUMBER(INDEX('Aides'!$F$4:$F$503,289)),TEXT(INDEX('Aides'!$F$4:$F$503,289),"yyyy-mm-dd"),""))=0,"","Registry expiry: "&amp;IF(ISNUMBER(INDEX('Aides'!$F$4:$F$503,289)),TEXT(INDEX('Aides'!$F$4:$F$503,289),"yyyy-mm-dd"),"")&amp;". ")&amp;IF(LEN(IF(ISNUMBER(INDEX('Aides'!$G$4:$G$503,289)),TEXT(INDEX('Aides'!$G$4:$G$503,289),"yyyy-mm-dd"),""))=0,"","Last paid nursing work: "&amp;IF(ISNUMBER(INDEX('Aides'!$G$4:$G$503,289)),TEXT(INDEX('Aides'!$G$4:$G$503,289),"yyyy-mm-dd"),"")&amp;". ")&amp;IF(LEN(IF(ISNUMBER(INDEX('Aides'!$H$4:$H$503,289)),TEXT(INDEX('Aides'!$H$4:$H$503,289),"yyyy-mm-dd"),""))=0,"","24-month cut-off: "&amp;IF(ISNUMBER(INDEX('Aides'!$H$4:$H$503,289)),TEXT(INDEX('Aides'!$H$4:$H$503,289),"yyyy-mm-dd"),"")&amp;". ")&amp;IF(LEN(IF(LEN(INDEX('Aides'!$U$4:$U$503,289))=0,"",INDEX('Aides'!$U$4:$U$503,289)))=0,"","Owner: "&amp;IF(LEN(INDEX('Aides'!$U$4:$U$503,289))=0,"",INDEX('Aides'!$U$4:$U$503,289))&amp;". ")&amp;IF(LEN(IF(LEN(INDEX('Aides'!$X$4:$X$503,289))=0,"",INDEX('Aides'!$X$4:$X$503,289)))=0,"",IF(LEN(INDEX('Aides'!$X$4:$X$503,289))=0,"",INDEX('Aides'!$X$4:$X$503,289))))</f>
        <v/>
      </c>
      <c r="I292">
        <f>IF(LEN(INDEX('Aides'!$W$4:$W$503,289))=0,"",INDEX('Aides'!$W$4:$W$503,289))</f>
        <v/>
      </c>
      <c r="J292">
        <f>IF(LEN(INDEX('Aides'!$V$4:$V$503,289))=0,"",INDEX('Aides'!$V$4:$V$503,289))</f>
        <v/>
      </c>
    </row>
    <row r="293">
      <c r="A293">
        <f>IF(AND(LEN('Aides'!A293)&gt;0,ISNUMBER('Aides'!I293)),1,0)</f>
        <v/>
      </c>
      <c r="B293">
        <f>B292+A293</f>
        <v/>
      </c>
      <c r="C293">
        <f>IF(290&gt;$B$1503,"",MATCH(290-0.5,$B$3:$B$1503,1))</f>
        <v/>
      </c>
      <c r="D293">
        <f>"CNA certification ("&amp;IF(LEN(INDEX('Aides'!$C$4:$C$503,290))=0,"",INDEX('Aides'!$C$4:$C$503,290))&amp;") – "&amp;IF(LEN(INDEX('Aides'!$A$4:$A$503,290))=0,"",INDEX('Aides'!$A$4:$A$503,290))</f>
        <v/>
      </c>
      <c r="E293">
        <f>IF(ISNUMBER(INDEX('Aides'!$I$4:$I$503,290)),TEXT(INDEX('Aides'!$I$4:$I$503,290),"yyyy-mm-dd"),"")</f>
        <v/>
      </c>
      <c r="F293">
        <f>"Certification"</f>
        <v/>
      </c>
      <c r="G293">
        <f>"High"</f>
        <v/>
      </c>
      <c r="H293">
        <f>TRIM(IF(LEN(IF(LEN(INDEX('Aides'!$D$4:$D$503,290))=0,"",INDEX('Aides'!$D$4:$D$503,290)))=0,"","Registry no.: "&amp;IF(LEN(INDEX('Aides'!$D$4:$D$503,290))=0,"",INDEX('Aides'!$D$4:$D$503,290))&amp;". ")&amp;IF(LEN(IF(ISNUMBER(INDEX('Aides'!$F$4:$F$503,290)),TEXT(INDEX('Aides'!$F$4:$F$503,290),"yyyy-mm-dd"),""))=0,"","Registry expiry: "&amp;IF(ISNUMBER(INDEX('Aides'!$F$4:$F$503,290)),TEXT(INDEX('Aides'!$F$4:$F$503,290),"yyyy-mm-dd"),"")&amp;". ")&amp;IF(LEN(IF(ISNUMBER(INDEX('Aides'!$G$4:$G$503,290)),TEXT(INDEX('Aides'!$G$4:$G$503,290),"yyyy-mm-dd"),""))=0,"","Last paid nursing work: "&amp;IF(ISNUMBER(INDEX('Aides'!$G$4:$G$503,290)),TEXT(INDEX('Aides'!$G$4:$G$503,290),"yyyy-mm-dd"),"")&amp;". ")&amp;IF(LEN(IF(ISNUMBER(INDEX('Aides'!$H$4:$H$503,290)),TEXT(INDEX('Aides'!$H$4:$H$503,290),"yyyy-mm-dd"),""))=0,"","24-month cut-off: "&amp;IF(ISNUMBER(INDEX('Aides'!$H$4:$H$503,290)),TEXT(INDEX('Aides'!$H$4:$H$503,290),"yyyy-mm-dd"),"")&amp;". ")&amp;IF(LEN(IF(LEN(INDEX('Aides'!$U$4:$U$503,290))=0,"",INDEX('Aides'!$U$4:$U$503,290)))=0,"","Owner: "&amp;IF(LEN(INDEX('Aides'!$U$4:$U$503,290))=0,"",INDEX('Aides'!$U$4:$U$503,290))&amp;". ")&amp;IF(LEN(IF(LEN(INDEX('Aides'!$X$4:$X$503,290))=0,"",INDEX('Aides'!$X$4:$X$503,290)))=0,"",IF(LEN(INDEX('Aides'!$X$4:$X$503,290))=0,"",INDEX('Aides'!$X$4:$X$503,290))))</f>
        <v/>
      </c>
      <c r="I293">
        <f>IF(LEN(INDEX('Aides'!$W$4:$W$503,290))=0,"",INDEX('Aides'!$W$4:$W$503,290))</f>
        <v/>
      </c>
      <c r="J293">
        <f>IF(LEN(INDEX('Aides'!$V$4:$V$503,290))=0,"",INDEX('Aides'!$V$4:$V$503,290))</f>
        <v/>
      </c>
    </row>
    <row r="294">
      <c r="A294">
        <f>IF(AND(LEN('Aides'!A294)&gt;0,ISNUMBER('Aides'!I294)),1,0)</f>
        <v/>
      </c>
      <c r="B294">
        <f>B293+A294</f>
        <v/>
      </c>
      <c r="C294">
        <f>IF(291&gt;$B$1503,"",MATCH(291-0.5,$B$3:$B$1503,1))</f>
        <v/>
      </c>
      <c r="D294">
        <f>"CNA certification ("&amp;IF(LEN(INDEX('Aides'!$C$4:$C$503,291))=0,"",INDEX('Aides'!$C$4:$C$503,291))&amp;") – "&amp;IF(LEN(INDEX('Aides'!$A$4:$A$503,291))=0,"",INDEX('Aides'!$A$4:$A$503,291))</f>
        <v/>
      </c>
      <c r="E294">
        <f>IF(ISNUMBER(INDEX('Aides'!$I$4:$I$503,291)),TEXT(INDEX('Aides'!$I$4:$I$503,291),"yyyy-mm-dd"),"")</f>
        <v/>
      </c>
      <c r="F294">
        <f>"Certification"</f>
        <v/>
      </c>
      <c r="G294">
        <f>"High"</f>
        <v/>
      </c>
      <c r="H294">
        <f>TRIM(IF(LEN(IF(LEN(INDEX('Aides'!$D$4:$D$503,291))=0,"",INDEX('Aides'!$D$4:$D$503,291)))=0,"","Registry no.: "&amp;IF(LEN(INDEX('Aides'!$D$4:$D$503,291))=0,"",INDEX('Aides'!$D$4:$D$503,291))&amp;". ")&amp;IF(LEN(IF(ISNUMBER(INDEX('Aides'!$F$4:$F$503,291)),TEXT(INDEX('Aides'!$F$4:$F$503,291),"yyyy-mm-dd"),""))=0,"","Registry expiry: "&amp;IF(ISNUMBER(INDEX('Aides'!$F$4:$F$503,291)),TEXT(INDEX('Aides'!$F$4:$F$503,291),"yyyy-mm-dd"),"")&amp;". ")&amp;IF(LEN(IF(ISNUMBER(INDEX('Aides'!$G$4:$G$503,291)),TEXT(INDEX('Aides'!$G$4:$G$503,291),"yyyy-mm-dd"),""))=0,"","Last paid nursing work: "&amp;IF(ISNUMBER(INDEX('Aides'!$G$4:$G$503,291)),TEXT(INDEX('Aides'!$G$4:$G$503,291),"yyyy-mm-dd"),"")&amp;". ")&amp;IF(LEN(IF(ISNUMBER(INDEX('Aides'!$H$4:$H$503,291)),TEXT(INDEX('Aides'!$H$4:$H$503,291),"yyyy-mm-dd"),""))=0,"","24-month cut-off: "&amp;IF(ISNUMBER(INDEX('Aides'!$H$4:$H$503,291)),TEXT(INDEX('Aides'!$H$4:$H$503,291),"yyyy-mm-dd"),"")&amp;". ")&amp;IF(LEN(IF(LEN(INDEX('Aides'!$U$4:$U$503,291))=0,"",INDEX('Aides'!$U$4:$U$503,291)))=0,"","Owner: "&amp;IF(LEN(INDEX('Aides'!$U$4:$U$503,291))=0,"",INDEX('Aides'!$U$4:$U$503,291))&amp;". ")&amp;IF(LEN(IF(LEN(INDEX('Aides'!$X$4:$X$503,291))=0,"",INDEX('Aides'!$X$4:$X$503,291)))=0,"",IF(LEN(INDEX('Aides'!$X$4:$X$503,291))=0,"",INDEX('Aides'!$X$4:$X$503,291))))</f>
        <v/>
      </c>
      <c r="I294">
        <f>IF(LEN(INDEX('Aides'!$W$4:$W$503,291))=0,"",INDEX('Aides'!$W$4:$W$503,291))</f>
        <v/>
      </c>
      <c r="J294">
        <f>IF(LEN(INDEX('Aides'!$V$4:$V$503,291))=0,"",INDEX('Aides'!$V$4:$V$503,291))</f>
        <v/>
      </c>
    </row>
    <row r="295">
      <c r="A295">
        <f>IF(AND(LEN('Aides'!A295)&gt;0,ISNUMBER('Aides'!I295)),1,0)</f>
        <v/>
      </c>
      <c r="B295">
        <f>B294+A295</f>
        <v/>
      </c>
      <c r="C295">
        <f>IF(292&gt;$B$1503,"",MATCH(292-0.5,$B$3:$B$1503,1))</f>
        <v/>
      </c>
      <c r="D295">
        <f>"CNA certification ("&amp;IF(LEN(INDEX('Aides'!$C$4:$C$503,292))=0,"",INDEX('Aides'!$C$4:$C$503,292))&amp;") – "&amp;IF(LEN(INDEX('Aides'!$A$4:$A$503,292))=0,"",INDEX('Aides'!$A$4:$A$503,292))</f>
        <v/>
      </c>
      <c r="E295">
        <f>IF(ISNUMBER(INDEX('Aides'!$I$4:$I$503,292)),TEXT(INDEX('Aides'!$I$4:$I$503,292),"yyyy-mm-dd"),"")</f>
        <v/>
      </c>
      <c r="F295">
        <f>"Certification"</f>
        <v/>
      </c>
      <c r="G295">
        <f>"High"</f>
        <v/>
      </c>
      <c r="H295">
        <f>TRIM(IF(LEN(IF(LEN(INDEX('Aides'!$D$4:$D$503,292))=0,"",INDEX('Aides'!$D$4:$D$503,292)))=0,"","Registry no.: "&amp;IF(LEN(INDEX('Aides'!$D$4:$D$503,292))=0,"",INDEX('Aides'!$D$4:$D$503,292))&amp;". ")&amp;IF(LEN(IF(ISNUMBER(INDEX('Aides'!$F$4:$F$503,292)),TEXT(INDEX('Aides'!$F$4:$F$503,292),"yyyy-mm-dd"),""))=0,"","Registry expiry: "&amp;IF(ISNUMBER(INDEX('Aides'!$F$4:$F$503,292)),TEXT(INDEX('Aides'!$F$4:$F$503,292),"yyyy-mm-dd"),"")&amp;". ")&amp;IF(LEN(IF(ISNUMBER(INDEX('Aides'!$G$4:$G$503,292)),TEXT(INDEX('Aides'!$G$4:$G$503,292),"yyyy-mm-dd"),""))=0,"","Last paid nursing work: "&amp;IF(ISNUMBER(INDEX('Aides'!$G$4:$G$503,292)),TEXT(INDEX('Aides'!$G$4:$G$503,292),"yyyy-mm-dd"),"")&amp;". ")&amp;IF(LEN(IF(ISNUMBER(INDEX('Aides'!$H$4:$H$503,292)),TEXT(INDEX('Aides'!$H$4:$H$503,292),"yyyy-mm-dd"),""))=0,"","24-month cut-off: "&amp;IF(ISNUMBER(INDEX('Aides'!$H$4:$H$503,292)),TEXT(INDEX('Aides'!$H$4:$H$503,292),"yyyy-mm-dd"),"")&amp;". ")&amp;IF(LEN(IF(LEN(INDEX('Aides'!$U$4:$U$503,292))=0,"",INDEX('Aides'!$U$4:$U$503,292)))=0,"","Owner: "&amp;IF(LEN(INDEX('Aides'!$U$4:$U$503,292))=0,"",INDEX('Aides'!$U$4:$U$503,292))&amp;". ")&amp;IF(LEN(IF(LEN(INDEX('Aides'!$X$4:$X$503,292))=0,"",INDEX('Aides'!$X$4:$X$503,292)))=0,"",IF(LEN(INDEX('Aides'!$X$4:$X$503,292))=0,"",INDEX('Aides'!$X$4:$X$503,292))))</f>
        <v/>
      </c>
      <c r="I295">
        <f>IF(LEN(INDEX('Aides'!$W$4:$W$503,292))=0,"",INDEX('Aides'!$W$4:$W$503,292))</f>
        <v/>
      </c>
      <c r="J295">
        <f>IF(LEN(INDEX('Aides'!$V$4:$V$503,292))=0,"",INDEX('Aides'!$V$4:$V$503,292))</f>
        <v/>
      </c>
    </row>
    <row r="296">
      <c r="A296">
        <f>IF(AND(LEN('Aides'!A296)&gt;0,ISNUMBER('Aides'!I296)),1,0)</f>
        <v/>
      </c>
      <c r="B296">
        <f>B295+A296</f>
        <v/>
      </c>
      <c r="C296">
        <f>IF(293&gt;$B$1503,"",MATCH(293-0.5,$B$3:$B$1503,1))</f>
        <v/>
      </c>
      <c r="D296">
        <f>"CNA certification ("&amp;IF(LEN(INDEX('Aides'!$C$4:$C$503,293))=0,"",INDEX('Aides'!$C$4:$C$503,293))&amp;") – "&amp;IF(LEN(INDEX('Aides'!$A$4:$A$503,293))=0,"",INDEX('Aides'!$A$4:$A$503,293))</f>
        <v/>
      </c>
      <c r="E296">
        <f>IF(ISNUMBER(INDEX('Aides'!$I$4:$I$503,293)),TEXT(INDEX('Aides'!$I$4:$I$503,293),"yyyy-mm-dd"),"")</f>
        <v/>
      </c>
      <c r="F296">
        <f>"Certification"</f>
        <v/>
      </c>
      <c r="G296">
        <f>"High"</f>
        <v/>
      </c>
      <c r="H296">
        <f>TRIM(IF(LEN(IF(LEN(INDEX('Aides'!$D$4:$D$503,293))=0,"",INDEX('Aides'!$D$4:$D$503,293)))=0,"","Registry no.: "&amp;IF(LEN(INDEX('Aides'!$D$4:$D$503,293))=0,"",INDEX('Aides'!$D$4:$D$503,293))&amp;". ")&amp;IF(LEN(IF(ISNUMBER(INDEX('Aides'!$F$4:$F$503,293)),TEXT(INDEX('Aides'!$F$4:$F$503,293),"yyyy-mm-dd"),""))=0,"","Registry expiry: "&amp;IF(ISNUMBER(INDEX('Aides'!$F$4:$F$503,293)),TEXT(INDEX('Aides'!$F$4:$F$503,293),"yyyy-mm-dd"),"")&amp;". ")&amp;IF(LEN(IF(ISNUMBER(INDEX('Aides'!$G$4:$G$503,293)),TEXT(INDEX('Aides'!$G$4:$G$503,293),"yyyy-mm-dd"),""))=0,"","Last paid nursing work: "&amp;IF(ISNUMBER(INDEX('Aides'!$G$4:$G$503,293)),TEXT(INDEX('Aides'!$G$4:$G$503,293),"yyyy-mm-dd"),"")&amp;". ")&amp;IF(LEN(IF(ISNUMBER(INDEX('Aides'!$H$4:$H$503,293)),TEXT(INDEX('Aides'!$H$4:$H$503,293),"yyyy-mm-dd"),""))=0,"","24-month cut-off: "&amp;IF(ISNUMBER(INDEX('Aides'!$H$4:$H$503,293)),TEXT(INDEX('Aides'!$H$4:$H$503,293),"yyyy-mm-dd"),"")&amp;". ")&amp;IF(LEN(IF(LEN(INDEX('Aides'!$U$4:$U$503,293))=0,"",INDEX('Aides'!$U$4:$U$503,293)))=0,"","Owner: "&amp;IF(LEN(INDEX('Aides'!$U$4:$U$503,293))=0,"",INDEX('Aides'!$U$4:$U$503,293))&amp;". ")&amp;IF(LEN(IF(LEN(INDEX('Aides'!$X$4:$X$503,293))=0,"",INDEX('Aides'!$X$4:$X$503,293)))=0,"",IF(LEN(INDEX('Aides'!$X$4:$X$503,293))=0,"",INDEX('Aides'!$X$4:$X$503,293))))</f>
        <v/>
      </c>
      <c r="I296">
        <f>IF(LEN(INDEX('Aides'!$W$4:$W$503,293))=0,"",INDEX('Aides'!$W$4:$W$503,293))</f>
        <v/>
      </c>
      <c r="J296">
        <f>IF(LEN(INDEX('Aides'!$V$4:$V$503,293))=0,"",INDEX('Aides'!$V$4:$V$503,293))</f>
        <v/>
      </c>
    </row>
    <row r="297">
      <c r="A297">
        <f>IF(AND(LEN('Aides'!A297)&gt;0,ISNUMBER('Aides'!I297)),1,0)</f>
        <v/>
      </c>
      <c r="B297">
        <f>B296+A297</f>
        <v/>
      </c>
      <c r="C297">
        <f>IF(294&gt;$B$1503,"",MATCH(294-0.5,$B$3:$B$1503,1))</f>
        <v/>
      </c>
      <c r="D297">
        <f>"CNA certification ("&amp;IF(LEN(INDEX('Aides'!$C$4:$C$503,294))=0,"",INDEX('Aides'!$C$4:$C$503,294))&amp;") – "&amp;IF(LEN(INDEX('Aides'!$A$4:$A$503,294))=0,"",INDEX('Aides'!$A$4:$A$503,294))</f>
        <v/>
      </c>
      <c r="E297">
        <f>IF(ISNUMBER(INDEX('Aides'!$I$4:$I$503,294)),TEXT(INDEX('Aides'!$I$4:$I$503,294),"yyyy-mm-dd"),"")</f>
        <v/>
      </c>
      <c r="F297">
        <f>"Certification"</f>
        <v/>
      </c>
      <c r="G297">
        <f>"High"</f>
        <v/>
      </c>
      <c r="H297">
        <f>TRIM(IF(LEN(IF(LEN(INDEX('Aides'!$D$4:$D$503,294))=0,"",INDEX('Aides'!$D$4:$D$503,294)))=0,"","Registry no.: "&amp;IF(LEN(INDEX('Aides'!$D$4:$D$503,294))=0,"",INDEX('Aides'!$D$4:$D$503,294))&amp;". ")&amp;IF(LEN(IF(ISNUMBER(INDEX('Aides'!$F$4:$F$503,294)),TEXT(INDEX('Aides'!$F$4:$F$503,294),"yyyy-mm-dd"),""))=0,"","Registry expiry: "&amp;IF(ISNUMBER(INDEX('Aides'!$F$4:$F$503,294)),TEXT(INDEX('Aides'!$F$4:$F$503,294),"yyyy-mm-dd"),"")&amp;". ")&amp;IF(LEN(IF(ISNUMBER(INDEX('Aides'!$G$4:$G$503,294)),TEXT(INDEX('Aides'!$G$4:$G$503,294),"yyyy-mm-dd"),""))=0,"","Last paid nursing work: "&amp;IF(ISNUMBER(INDEX('Aides'!$G$4:$G$503,294)),TEXT(INDEX('Aides'!$G$4:$G$503,294),"yyyy-mm-dd"),"")&amp;". ")&amp;IF(LEN(IF(ISNUMBER(INDEX('Aides'!$H$4:$H$503,294)),TEXT(INDEX('Aides'!$H$4:$H$503,294),"yyyy-mm-dd"),""))=0,"","24-month cut-off: "&amp;IF(ISNUMBER(INDEX('Aides'!$H$4:$H$503,294)),TEXT(INDEX('Aides'!$H$4:$H$503,294),"yyyy-mm-dd"),"")&amp;". ")&amp;IF(LEN(IF(LEN(INDEX('Aides'!$U$4:$U$503,294))=0,"",INDEX('Aides'!$U$4:$U$503,294)))=0,"","Owner: "&amp;IF(LEN(INDEX('Aides'!$U$4:$U$503,294))=0,"",INDEX('Aides'!$U$4:$U$503,294))&amp;". ")&amp;IF(LEN(IF(LEN(INDEX('Aides'!$X$4:$X$503,294))=0,"",INDEX('Aides'!$X$4:$X$503,294)))=0,"",IF(LEN(INDEX('Aides'!$X$4:$X$503,294))=0,"",INDEX('Aides'!$X$4:$X$503,294))))</f>
        <v/>
      </c>
      <c r="I297">
        <f>IF(LEN(INDEX('Aides'!$W$4:$W$503,294))=0,"",INDEX('Aides'!$W$4:$W$503,294))</f>
        <v/>
      </c>
      <c r="J297">
        <f>IF(LEN(INDEX('Aides'!$V$4:$V$503,294))=0,"",INDEX('Aides'!$V$4:$V$503,294))</f>
        <v/>
      </c>
    </row>
    <row r="298">
      <c r="A298">
        <f>IF(AND(LEN('Aides'!A298)&gt;0,ISNUMBER('Aides'!I298)),1,0)</f>
        <v/>
      </c>
      <c r="B298">
        <f>B297+A298</f>
        <v/>
      </c>
      <c r="C298">
        <f>IF(295&gt;$B$1503,"",MATCH(295-0.5,$B$3:$B$1503,1))</f>
        <v/>
      </c>
      <c r="D298">
        <f>"CNA certification ("&amp;IF(LEN(INDEX('Aides'!$C$4:$C$503,295))=0,"",INDEX('Aides'!$C$4:$C$503,295))&amp;") – "&amp;IF(LEN(INDEX('Aides'!$A$4:$A$503,295))=0,"",INDEX('Aides'!$A$4:$A$503,295))</f>
        <v/>
      </c>
      <c r="E298">
        <f>IF(ISNUMBER(INDEX('Aides'!$I$4:$I$503,295)),TEXT(INDEX('Aides'!$I$4:$I$503,295),"yyyy-mm-dd"),"")</f>
        <v/>
      </c>
      <c r="F298">
        <f>"Certification"</f>
        <v/>
      </c>
      <c r="G298">
        <f>"High"</f>
        <v/>
      </c>
      <c r="H298">
        <f>TRIM(IF(LEN(IF(LEN(INDEX('Aides'!$D$4:$D$503,295))=0,"",INDEX('Aides'!$D$4:$D$503,295)))=0,"","Registry no.: "&amp;IF(LEN(INDEX('Aides'!$D$4:$D$503,295))=0,"",INDEX('Aides'!$D$4:$D$503,295))&amp;". ")&amp;IF(LEN(IF(ISNUMBER(INDEX('Aides'!$F$4:$F$503,295)),TEXT(INDEX('Aides'!$F$4:$F$503,295),"yyyy-mm-dd"),""))=0,"","Registry expiry: "&amp;IF(ISNUMBER(INDEX('Aides'!$F$4:$F$503,295)),TEXT(INDEX('Aides'!$F$4:$F$503,295),"yyyy-mm-dd"),"")&amp;". ")&amp;IF(LEN(IF(ISNUMBER(INDEX('Aides'!$G$4:$G$503,295)),TEXT(INDEX('Aides'!$G$4:$G$503,295),"yyyy-mm-dd"),""))=0,"","Last paid nursing work: "&amp;IF(ISNUMBER(INDEX('Aides'!$G$4:$G$503,295)),TEXT(INDEX('Aides'!$G$4:$G$503,295),"yyyy-mm-dd"),"")&amp;". ")&amp;IF(LEN(IF(ISNUMBER(INDEX('Aides'!$H$4:$H$503,295)),TEXT(INDEX('Aides'!$H$4:$H$503,295),"yyyy-mm-dd"),""))=0,"","24-month cut-off: "&amp;IF(ISNUMBER(INDEX('Aides'!$H$4:$H$503,295)),TEXT(INDEX('Aides'!$H$4:$H$503,295),"yyyy-mm-dd"),"")&amp;". ")&amp;IF(LEN(IF(LEN(INDEX('Aides'!$U$4:$U$503,295))=0,"",INDEX('Aides'!$U$4:$U$503,295)))=0,"","Owner: "&amp;IF(LEN(INDEX('Aides'!$U$4:$U$503,295))=0,"",INDEX('Aides'!$U$4:$U$503,295))&amp;". ")&amp;IF(LEN(IF(LEN(INDEX('Aides'!$X$4:$X$503,295))=0,"",INDEX('Aides'!$X$4:$X$503,295)))=0,"",IF(LEN(INDEX('Aides'!$X$4:$X$503,295))=0,"",INDEX('Aides'!$X$4:$X$503,295))))</f>
        <v/>
      </c>
      <c r="I298">
        <f>IF(LEN(INDEX('Aides'!$W$4:$W$503,295))=0,"",INDEX('Aides'!$W$4:$W$503,295))</f>
        <v/>
      </c>
      <c r="J298">
        <f>IF(LEN(INDEX('Aides'!$V$4:$V$503,295))=0,"",INDEX('Aides'!$V$4:$V$503,295))</f>
        <v/>
      </c>
    </row>
    <row r="299">
      <c r="A299">
        <f>IF(AND(LEN('Aides'!A299)&gt;0,ISNUMBER('Aides'!I299)),1,0)</f>
        <v/>
      </c>
      <c r="B299">
        <f>B298+A299</f>
        <v/>
      </c>
      <c r="C299">
        <f>IF(296&gt;$B$1503,"",MATCH(296-0.5,$B$3:$B$1503,1))</f>
        <v/>
      </c>
      <c r="D299">
        <f>"CNA certification ("&amp;IF(LEN(INDEX('Aides'!$C$4:$C$503,296))=0,"",INDEX('Aides'!$C$4:$C$503,296))&amp;") – "&amp;IF(LEN(INDEX('Aides'!$A$4:$A$503,296))=0,"",INDEX('Aides'!$A$4:$A$503,296))</f>
        <v/>
      </c>
      <c r="E299">
        <f>IF(ISNUMBER(INDEX('Aides'!$I$4:$I$503,296)),TEXT(INDEX('Aides'!$I$4:$I$503,296),"yyyy-mm-dd"),"")</f>
        <v/>
      </c>
      <c r="F299">
        <f>"Certification"</f>
        <v/>
      </c>
      <c r="G299">
        <f>"High"</f>
        <v/>
      </c>
      <c r="H299">
        <f>TRIM(IF(LEN(IF(LEN(INDEX('Aides'!$D$4:$D$503,296))=0,"",INDEX('Aides'!$D$4:$D$503,296)))=0,"","Registry no.: "&amp;IF(LEN(INDEX('Aides'!$D$4:$D$503,296))=0,"",INDEX('Aides'!$D$4:$D$503,296))&amp;". ")&amp;IF(LEN(IF(ISNUMBER(INDEX('Aides'!$F$4:$F$503,296)),TEXT(INDEX('Aides'!$F$4:$F$503,296),"yyyy-mm-dd"),""))=0,"","Registry expiry: "&amp;IF(ISNUMBER(INDEX('Aides'!$F$4:$F$503,296)),TEXT(INDEX('Aides'!$F$4:$F$503,296),"yyyy-mm-dd"),"")&amp;". ")&amp;IF(LEN(IF(ISNUMBER(INDEX('Aides'!$G$4:$G$503,296)),TEXT(INDEX('Aides'!$G$4:$G$503,296),"yyyy-mm-dd"),""))=0,"","Last paid nursing work: "&amp;IF(ISNUMBER(INDEX('Aides'!$G$4:$G$503,296)),TEXT(INDEX('Aides'!$G$4:$G$503,296),"yyyy-mm-dd"),"")&amp;". ")&amp;IF(LEN(IF(ISNUMBER(INDEX('Aides'!$H$4:$H$503,296)),TEXT(INDEX('Aides'!$H$4:$H$503,296),"yyyy-mm-dd"),""))=0,"","24-month cut-off: "&amp;IF(ISNUMBER(INDEX('Aides'!$H$4:$H$503,296)),TEXT(INDEX('Aides'!$H$4:$H$503,296),"yyyy-mm-dd"),"")&amp;". ")&amp;IF(LEN(IF(LEN(INDEX('Aides'!$U$4:$U$503,296))=0,"",INDEX('Aides'!$U$4:$U$503,296)))=0,"","Owner: "&amp;IF(LEN(INDEX('Aides'!$U$4:$U$503,296))=0,"",INDEX('Aides'!$U$4:$U$503,296))&amp;". ")&amp;IF(LEN(IF(LEN(INDEX('Aides'!$X$4:$X$503,296))=0,"",INDEX('Aides'!$X$4:$X$503,296)))=0,"",IF(LEN(INDEX('Aides'!$X$4:$X$503,296))=0,"",INDEX('Aides'!$X$4:$X$503,296))))</f>
        <v/>
      </c>
      <c r="I299">
        <f>IF(LEN(INDEX('Aides'!$W$4:$W$503,296))=0,"",INDEX('Aides'!$W$4:$W$503,296))</f>
        <v/>
      </c>
      <c r="J299">
        <f>IF(LEN(INDEX('Aides'!$V$4:$V$503,296))=0,"",INDEX('Aides'!$V$4:$V$503,296))</f>
        <v/>
      </c>
    </row>
    <row r="300">
      <c r="A300">
        <f>IF(AND(LEN('Aides'!A300)&gt;0,ISNUMBER('Aides'!I300)),1,0)</f>
        <v/>
      </c>
      <c r="B300">
        <f>B299+A300</f>
        <v/>
      </c>
      <c r="C300">
        <f>IF(297&gt;$B$1503,"",MATCH(297-0.5,$B$3:$B$1503,1))</f>
        <v/>
      </c>
      <c r="D300">
        <f>"CNA certification ("&amp;IF(LEN(INDEX('Aides'!$C$4:$C$503,297))=0,"",INDEX('Aides'!$C$4:$C$503,297))&amp;") – "&amp;IF(LEN(INDEX('Aides'!$A$4:$A$503,297))=0,"",INDEX('Aides'!$A$4:$A$503,297))</f>
        <v/>
      </c>
      <c r="E300">
        <f>IF(ISNUMBER(INDEX('Aides'!$I$4:$I$503,297)),TEXT(INDEX('Aides'!$I$4:$I$503,297),"yyyy-mm-dd"),"")</f>
        <v/>
      </c>
      <c r="F300">
        <f>"Certification"</f>
        <v/>
      </c>
      <c r="G300">
        <f>"High"</f>
        <v/>
      </c>
      <c r="H300">
        <f>TRIM(IF(LEN(IF(LEN(INDEX('Aides'!$D$4:$D$503,297))=0,"",INDEX('Aides'!$D$4:$D$503,297)))=0,"","Registry no.: "&amp;IF(LEN(INDEX('Aides'!$D$4:$D$503,297))=0,"",INDEX('Aides'!$D$4:$D$503,297))&amp;". ")&amp;IF(LEN(IF(ISNUMBER(INDEX('Aides'!$F$4:$F$503,297)),TEXT(INDEX('Aides'!$F$4:$F$503,297),"yyyy-mm-dd"),""))=0,"","Registry expiry: "&amp;IF(ISNUMBER(INDEX('Aides'!$F$4:$F$503,297)),TEXT(INDEX('Aides'!$F$4:$F$503,297),"yyyy-mm-dd"),"")&amp;". ")&amp;IF(LEN(IF(ISNUMBER(INDEX('Aides'!$G$4:$G$503,297)),TEXT(INDEX('Aides'!$G$4:$G$503,297),"yyyy-mm-dd"),""))=0,"","Last paid nursing work: "&amp;IF(ISNUMBER(INDEX('Aides'!$G$4:$G$503,297)),TEXT(INDEX('Aides'!$G$4:$G$503,297),"yyyy-mm-dd"),"")&amp;". ")&amp;IF(LEN(IF(ISNUMBER(INDEX('Aides'!$H$4:$H$503,297)),TEXT(INDEX('Aides'!$H$4:$H$503,297),"yyyy-mm-dd"),""))=0,"","24-month cut-off: "&amp;IF(ISNUMBER(INDEX('Aides'!$H$4:$H$503,297)),TEXT(INDEX('Aides'!$H$4:$H$503,297),"yyyy-mm-dd"),"")&amp;". ")&amp;IF(LEN(IF(LEN(INDEX('Aides'!$U$4:$U$503,297))=0,"",INDEX('Aides'!$U$4:$U$503,297)))=0,"","Owner: "&amp;IF(LEN(INDEX('Aides'!$U$4:$U$503,297))=0,"",INDEX('Aides'!$U$4:$U$503,297))&amp;". ")&amp;IF(LEN(IF(LEN(INDEX('Aides'!$X$4:$X$503,297))=0,"",INDEX('Aides'!$X$4:$X$503,297)))=0,"",IF(LEN(INDEX('Aides'!$X$4:$X$503,297))=0,"",INDEX('Aides'!$X$4:$X$503,297))))</f>
        <v/>
      </c>
      <c r="I300">
        <f>IF(LEN(INDEX('Aides'!$W$4:$W$503,297))=0,"",INDEX('Aides'!$W$4:$W$503,297))</f>
        <v/>
      </c>
      <c r="J300">
        <f>IF(LEN(INDEX('Aides'!$V$4:$V$503,297))=0,"",INDEX('Aides'!$V$4:$V$503,297))</f>
        <v/>
      </c>
    </row>
    <row r="301">
      <c r="A301">
        <f>IF(AND(LEN('Aides'!A301)&gt;0,ISNUMBER('Aides'!I301)),1,0)</f>
        <v/>
      </c>
      <c r="B301">
        <f>B300+A301</f>
        <v/>
      </c>
      <c r="C301">
        <f>IF(298&gt;$B$1503,"",MATCH(298-0.5,$B$3:$B$1503,1))</f>
        <v/>
      </c>
      <c r="D301">
        <f>"CNA certification ("&amp;IF(LEN(INDEX('Aides'!$C$4:$C$503,298))=0,"",INDEX('Aides'!$C$4:$C$503,298))&amp;") – "&amp;IF(LEN(INDEX('Aides'!$A$4:$A$503,298))=0,"",INDEX('Aides'!$A$4:$A$503,298))</f>
        <v/>
      </c>
      <c r="E301">
        <f>IF(ISNUMBER(INDEX('Aides'!$I$4:$I$503,298)),TEXT(INDEX('Aides'!$I$4:$I$503,298),"yyyy-mm-dd"),"")</f>
        <v/>
      </c>
      <c r="F301">
        <f>"Certification"</f>
        <v/>
      </c>
      <c r="G301">
        <f>"High"</f>
        <v/>
      </c>
      <c r="H301">
        <f>TRIM(IF(LEN(IF(LEN(INDEX('Aides'!$D$4:$D$503,298))=0,"",INDEX('Aides'!$D$4:$D$503,298)))=0,"","Registry no.: "&amp;IF(LEN(INDEX('Aides'!$D$4:$D$503,298))=0,"",INDEX('Aides'!$D$4:$D$503,298))&amp;". ")&amp;IF(LEN(IF(ISNUMBER(INDEX('Aides'!$F$4:$F$503,298)),TEXT(INDEX('Aides'!$F$4:$F$503,298),"yyyy-mm-dd"),""))=0,"","Registry expiry: "&amp;IF(ISNUMBER(INDEX('Aides'!$F$4:$F$503,298)),TEXT(INDEX('Aides'!$F$4:$F$503,298),"yyyy-mm-dd"),"")&amp;". ")&amp;IF(LEN(IF(ISNUMBER(INDEX('Aides'!$G$4:$G$503,298)),TEXT(INDEX('Aides'!$G$4:$G$503,298),"yyyy-mm-dd"),""))=0,"","Last paid nursing work: "&amp;IF(ISNUMBER(INDEX('Aides'!$G$4:$G$503,298)),TEXT(INDEX('Aides'!$G$4:$G$503,298),"yyyy-mm-dd"),"")&amp;". ")&amp;IF(LEN(IF(ISNUMBER(INDEX('Aides'!$H$4:$H$503,298)),TEXT(INDEX('Aides'!$H$4:$H$503,298),"yyyy-mm-dd"),""))=0,"","24-month cut-off: "&amp;IF(ISNUMBER(INDEX('Aides'!$H$4:$H$503,298)),TEXT(INDEX('Aides'!$H$4:$H$503,298),"yyyy-mm-dd"),"")&amp;". ")&amp;IF(LEN(IF(LEN(INDEX('Aides'!$U$4:$U$503,298))=0,"",INDEX('Aides'!$U$4:$U$503,298)))=0,"","Owner: "&amp;IF(LEN(INDEX('Aides'!$U$4:$U$503,298))=0,"",INDEX('Aides'!$U$4:$U$503,298))&amp;". ")&amp;IF(LEN(IF(LEN(INDEX('Aides'!$X$4:$X$503,298))=0,"",INDEX('Aides'!$X$4:$X$503,298)))=0,"",IF(LEN(INDEX('Aides'!$X$4:$X$503,298))=0,"",INDEX('Aides'!$X$4:$X$503,298))))</f>
        <v/>
      </c>
      <c r="I301">
        <f>IF(LEN(INDEX('Aides'!$W$4:$W$503,298))=0,"",INDEX('Aides'!$W$4:$W$503,298))</f>
        <v/>
      </c>
      <c r="J301">
        <f>IF(LEN(INDEX('Aides'!$V$4:$V$503,298))=0,"",INDEX('Aides'!$V$4:$V$503,298))</f>
        <v/>
      </c>
    </row>
    <row r="302">
      <c r="A302">
        <f>IF(AND(LEN('Aides'!A302)&gt;0,ISNUMBER('Aides'!I302)),1,0)</f>
        <v/>
      </c>
      <c r="B302">
        <f>B301+A302</f>
        <v/>
      </c>
      <c r="C302">
        <f>IF(299&gt;$B$1503,"",MATCH(299-0.5,$B$3:$B$1503,1))</f>
        <v/>
      </c>
      <c r="D302">
        <f>"CNA certification ("&amp;IF(LEN(INDEX('Aides'!$C$4:$C$503,299))=0,"",INDEX('Aides'!$C$4:$C$503,299))&amp;") – "&amp;IF(LEN(INDEX('Aides'!$A$4:$A$503,299))=0,"",INDEX('Aides'!$A$4:$A$503,299))</f>
        <v/>
      </c>
      <c r="E302">
        <f>IF(ISNUMBER(INDEX('Aides'!$I$4:$I$503,299)),TEXT(INDEX('Aides'!$I$4:$I$503,299),"yyyy-mm-dd"),"")</f>
        <v/>
      </c>
      <c r="F302">
        <f>"Certification"</f>
        <v/>
      </c>
      <c r="G302">
        <f>"High"</f>
        <v/>
      </c>
      <c r="H302">
        <f>TRIM(IF(LEN(IF(LEN(INDEX('Aides'!$D$4:$D$503,299))=0,"",INDEX('Aides'!$D$4:$D$503,299)))=0,"","Registry no.: "&amp;IF(LEN(INDEX('Aides'!$D$4:$D$503,299))=0,"",INDEX('Aides'!$D$4:$D$503,299))&amp;". ")&amp;IF(LEN(IF(ISNUMBER(INDEX('Aides'!$F$4:$F$503,299)),TEXT(INDEX('Aides'!$F$4:$F$503,299),"yyyy-mm-dd"),""))=0,"","Registry expiry: "&amp;IF(ISNUMBER(INDEX('Aides'!$F$4:$F$503,299)),TEXT(INDEX('Aides'!$F$4:$F$503,299),"yyyy-mm-dd"),"")&amp;". ")&amp;IF(LEN(IF(ISNUMBER(INDEX('Aides'!$G$4:$G$503,299)),TEXT(INDEX('Aides'!$G$4:$G$503,299),"yyyy-mm-dd"),""))=0,"","Last paid nursing work: "&amp;IF(ISNUMBER(INDEX('Aides'!$G$4:$G$503,299)),TEXT(INDEX('Aides'!$G$4:$G$503,299),"yyyy-mm-dd"),"")&amp;". ")&amp;IF(LEN(IF(ISNUMBER(INDEX('Aides'!$H$4:$H$503,299)),TEXT(INDEX('Aides'!$H$4:$H$503,299),"yyyy-mm-dd"),""))=0,"","24-month cut-off: "&amp;IF(ISNUMBER(INDEX('Aides'!$H$4:$H$503,299)),TEXT(INDEX('Aides'!$H$4:$H$503,299),"yyyy-mm-dd"),"")&amp;". ")&amp;IF(LEN(IF(LEN(INDEX('Aides'!$U$4:$U$503,299))=0,"",INDEX('Aides'!$U$4:$U$503,299)))=0,"","Owner: "&amp;IF(LEN(INDEX('Aides'!$U$4:$U$503,299))=0,"",INDEX('Aides'!$U$4:$U$503,299))&amp;". ")&amp;IF(LEN(IF(LEN(INDEX('Aides'!$X$4:$X$503,299))=0,"",INDEX('Aides'!$X$4:$X$503,299)))=0,"",IF(LEN(INDEX('Aides'!$X$4:$X$503,299))=0,"",INDEX('Aides'!$X$4:$X$503,299))))</f>
        <v/>
      </c>
      <c r="I302">
        <f>IF(LEN(INDEX('Aides'!$W$4:$W$503,299))=0,"",INDEX('Aides'!$W$4:$W$503,299))</f>
        <v/>
      </c>
      <c r="J302">
        <f>IF(LEN(INDEX('Aides'!$V$4:$V$503,299))=0,"",INDEX('Aides'!$V$4:$V$503,299))</f>
        <v/>
      </c>
    </row>
    <row r="303">
      <c r="A303">
        <f>IF(AND(LEN('Aides'!A303)&gt;0,ISNUMBER('Aides'!I303)),1,0)</f>
        <v/>
      </c>
      <c r="B303">
        <f>B302+A303</f>
        <v/>
      </c>
      <c r="C303">
        <f>IF(300&gt;$B$1503,"",MATCH(300-0.5,$B$3:$B$1503,1))</f>
        <v/>
      </c>
      <c r="D303">
        <f>"CNA certification ("&amp;IF(LEN(INDEX('Aides'!$C$4:$C$503,300))=0,"",INDEX('Aides'!$C$4:$C$503,300))&amp;") – "&amp;IF(LEN(INDEX('Aides'!$A$4:$A$503,300))=0,"",INDEX('Aides'!$A$4:$A$503,300))</f>
        <v/>
      </c>
      <c r="E303">
        <f>IF(ISNUMBER(INDEX('Aides'!$I$4:$I$503,300)),TEXT(INDEX('Aides'!$I$4:$I$503,300),"yyyy-mm-dd"),"")</f>
        <v/>
      </c>
      <c r="F303">
        <f>"Certification"</f>
        <v/>
      </c>
      <c r="G303">
        <f>"High"</f>
        <v/>
      </c>
      <c r="H303">
        <f>TRIM(IF(LEN(IF(LEN(INDEX('Aides'!$D$4:$D$503,300))=0,"",INDEX('Aides'!$D$4:$D$503,300)))=0,"","Registry no.: "&amp;IF(LEN(INDEX('Aides'!$D$4:$D$503,300))=0,"",INDEX('Aides'!$D$4:$D$503,300))&amp;". ")&amp;IF(LEN(IF(ISNUMBER(INDEX('Aides'!$F$4:$F$503,300)),TEXT(INDEX('Aides'!$F$4:$F$503,300),"yyyy-mm-dd"),""))=0,"","Registry expiry: "&amp;IF(ISNUMBER(INDEX('Aides'!$F$4:$F$503,300)),TEXT(INDEX('Aides'!$F$4:$F$503,300),"yyyy-mm-dd"),"")&amp;". ")&amp;IF(LEN(IF(ISNUMBER(INDEX('Aides'!$G$4:$G$503,300)),TEXT(INDEX('Aides'!$G$4:$G$503,300),"yyyy-mm-dd"),""))=0,"","Last paid nursing work: "&amp;IF(ISNUMBER(INDEX('Aides'!$G$4:$G$503,300)),TEXT(INDEX('Aides'!$G$4:$G$503,300),"yyyy-mm-dd"),"")&amp;". ")&amp;IF(LEN(IF(ISNUMBER(INDEX('Aides'!$H$4:$H$503,300)),TEXT(INDEX('Aides'!$H$4:$H$503,300),"yyyy-mm-dd"),""))=0,"","24-month cut-off: "&amp;IF(ISNUMBER(INDEX('Aides'!$H$4:$H$503,300)),TEXT(INDEX('Aides'!$H$4:$H$503,300),"yyyy-mm-dd"),"")&amp;". ")&amp;IF(LEN(IF(LEN(INDEX('Aides'!$U$4:$U$503,300))=0,"",INDEX('Aides'!$U$4:$U$503,300)))=0,"","Owner: "&amp;IF(LEN(INDEX('Aides'!$U$4:$U$503,300))=0,"",INDEX('Aides'!$U$4:$U$503,300))&amp;". ")&amp;IF(LEN(IF(LEN(INDEX('Aides'!$X$4:$X$503,300))=0,"",INDEX('Aides'!$X$4:$X$503,300)))=0,"",IF(LEN(INDEX('Aides'!$X$4:$X$503,300))=0,"",INDEX('Aides'!$X$4:$X$503,300))))</f>
        <v/>
      </c>
      <c r="I303">
        <f>IF(LEN(INDEX('Aides'!$W$4:$W$503,300))=0,"",INDEX('Aides'!$W$4:$W$503,300))</f>
        <v/>
      </c>
      <c r="J303">
        <f>IF(LEN(INDEX('Aides'!$V$4:$V$503,300))=0,"",INDEX('Aides'!$V$4:$V$503,300))</f>
        <v/>
      </c>
    </row>
    <row r="304">
      <c r="A304">
        <f>IF(AND(LEN('Aides'!A304)&gt;0,ISNUMBER('Aides'!I304)),1,0)</f>
        <v/>
      </c>
      <c r="B304">
        <f>B303+A304</f>
        <v/>
      </c>
      <c r="C304">
        <f>IF(301&gt;$B$1503,"",MATCH(301-0.5,$B$3:$B$1503,1))</f>
        <v/>
      </c>
      <c r="D304">
        <f>"CNA certification ("&amp;IF(LEN(INDEX('Aides'!$C$4:$C$503,301))=0,"",INDEX('Aides'!$C$4:$C$503,301))&amp;") – "&amp;IF(LEN(INDEX('Aides'!$A$4:$A$503,301))=0,"",INDEX('Aides'!$A$4:$A$503,301))</f>
        <v/>
      </c>
      <c r="E304">
        <f>IF(ISNUMBER(INDEX('Aides'!$I$4:$I$503,301)),TEXT(INDEX('Aides'!$I$4:$I$503,301),"yyyy-mm-dd"),"")</f>
        <v/>
      </c>
      <c r="F304">
        <f>"Certification"</f>
        <v/>
      </c>
      <c r="G304">
        <f>"High"</f>
        <v/>
      </c>
      <c r="H304">
        <f>TRIM(IF(LEN(IF(LEN(INDEX('Aides'!$D$4:$D$503,301))=0,"",INDEX('Aides'!$D$4:$D$503,301)))=0,"","Registry no.: "&amp;IF(LEN(INDEX('Aides'!$D$4:$D$503,301))=0,"",INDEX('Aides'!$D$4:$D$503,301))&amp;". ")&amp;IF(LEN(IF(ISNUMBER(INDEX('Aides'!$F$4:$F$503,301)),TEXT(INDEX('Aides'!$F$4:$F$503,301),"yyyy-mm-dd"),""))=0,"","Registry expiry: "&amp;IF(ISNUMBER(INDEX('Aides'!$F$4:$F$503,301)),TEXT(INDEX('Aides'!$F$4:$F$503,301),"yyyy-mm-dd"),"")&amp;". ")&amp;IF(LEN(IF(ISNUMBER(INDEX('Aides'!$G$4:$G$503,301)),TEXT(INDEX('Aides'!$G$4:$G$503,301),"yyyy-mm-dd"),""))=0,"","Last paid nursing work: "&amp;IF(ISNUMBER(INDEX('Aides'!$G$4:$G$503,301)),TEXT(INDEX('Aides'!$G$4:$G$503,301),"yyyy-mm-dd"),"")&amp;". ")&amp;IF(LEN(IF(ISNUMBER(INDEX('Aides'!$H$4:$H$503,301)),TEXT(INDEX('Aides'!$H$4:$H$503,301),"yyyy-mm-dd"),""))=0,"","24-month cut-off: "&amp;IF(ISNUMBER(INDEX('Aides'!$H$4:$H$503,301)),TEXT(INDEX('Aides'!$H$4:$H$503,301),"yyyy-mm-dd"),"")&amp;". ")&amp;IF(LEN(IF(LEN(INDEX('Aides'!$U$4:$U$503,301))=0,"",INDEX('Aides'!$U$4:$U$503,301)))=0,"","Owner: "&amp;IF(LEN(INDEX('Aides'!$U$4:$U$503,301))=0,"",INDEX('Aides'!$U$4:$U$503,301))&amp;". ")&amp;IF(LEN(IF(LEN(INDEX('Aides'!$X$4:$X$503,301))=0,"",INDEX('Aides'!$X$4:$X$503,301)))=0,"",IF(LEN(INDEX('Aides'!$X$4:$X$503,301))=0,"",INDEX('Aides'!$X$4:$X$503,301))))</f>
        <v/>
      </c>
      <c r="I304">
        <f>IF(LEN(INDEX('Aides'!$W$4:$W$503,301))=0,"",INDEX('Aides'!$W$4:$W$503,301))</f>
        <v/>
      </c>
      <c r="J304">
        <f>IF(LEN(INDEX('Aides'!$V$4:$V$503,301))=0,"",INDEX('Aides'!$V$4:$V$503,301))</f>
        <v/>
      </c>
    </row>
    <row r="305">
      <c r="A305">
        <f>IF(AND(LEN('Aides'!A305)&gt;0,ISNUMBER('Aides'!I305)),1,0)</f>
        <v/>
      </c>
      <c r="B305">
        <f>B304+A305</f>
        <v/>
      </c>
      <c r="C305">
        <f>IF(302&gt;$B$1503,"",MATCH(302-0.5,$B$3:$B$1503,1))</f>
        <v/>
      </c>
      <c r="D305">
        <f>"CNA certification ("&amp;IF(LEN(INDEX('Aides'!$C$4:$C$503,302))=0,"",INDEX('Aides'!$C$4:$C$503,302))&amp;") – "&amp;IF(LEN(INDEX('Aides'!$A$4:$A$503,302))=0,"",INDEX('Aides'!$A$4:$A$503,302))</f>
        <v/>
      </c>
      <c r="E305">
        <f>IF(ISNUMBER(INDEX('Aides'!$I$4:$I$503,302)),TEXT(INDEX('Aides'!$I$4:$I$503,302),"yyyy-mm-dd"),"")</f>
        <v/>
      </c>
      <c r="F305">
        <f>"Certification"</f>
        <v/>
      </c>
      <c r="G305">
        <f>"High"</f>
        <v/>
      </c>
      <c r="H305">
        <f>TRIM(IF(LEN(IF(LEN(INDEX('Aides'!$D$4:$D$503,302))=0,"",INDEX('Aides'!$D$4:$D$503,302)))=0,"","Registry no.: "&amp;IF(LEN(INDEX('Aides'!$D$4:$D$503,302))=0,"",INDEX('Aides'!$D$4:$D$503,302))&amp;". ")&amp;IF(LEN(IF(ISNUMBER(INDEX('Aides'!$F$4:$F$503,302)),TEXT(INDEX('Aides'!$F$4:$F$503,302),"yyyy-mm-dd"),""))=0,"","Registry expiry: "&amp;IF(ISNUMBER(INDEX('Aides'!$F$4:$F$503,302)),TEXT(INDEX('Aides'!$F$4:$F$503,302),"yyyy-mm-dd"),"")&amp;". ")&amp;IF(LEN(IF(ISNUMBER(INDEX('Aides'!$G$4:$G$503,302)),TEXT(INDEX('Aides'!$G$4:$G$503,302),"yyyy-mm-dd"),""))=0,"","Last paid nursing work: "&amp;IF(ISNUMBER(INDEX('Aides'!$G$4:$G$503,302)),TEXT(INDEX('Aides'!$G$4:$G$503,302),"yyyy-mm-dd"),"")&amp;". ")&amp;IF(LEN(IF(ISNUMBER(INDEX('Aides'!$H$4:$H$503,302)),TEXT(INDEX('Aides'!$H$4:$H$503,302),"yyyy-mm-dd"),""))=0,"","24-month cut-off: "&amp;IF(ISNUMBER(INDEX('Aides'!$H$4:$H$503,302)),TEXT(INDEX('Aides'!$H$4:$H$503,302),"yyyy-mm-dd"),"")&amp;". ")&amp;IF(LEN(IF(LEN(INDEX('Aides'!$U$4:$U$503,302))=0,"",INDEX('Aides'!$U$4:$U$503,302)))=0,"","Owner: "&amp;IF(LEN(INDEX('Aides'!$U$4:$U$503,302))=0,"",INDEX('Aides'!$U$4:$U$503,302))&amp;". ")&amp;IF(LEN(IF(LEN(INDEX('Aides'!$X$4:$X$503,302))=0,"",INDEX('Aides'!$X$4:$X$503,302)))=0,"",IF(LEN(INDEX('Aides'!$X$4:$X$503,302))=0,"",INDEX('Aides'!$X$4:$X$503,302))))</f>
        <v/>
      </c>
      <c r="I305">
        <f>IF(LEN(INDEX('Aides'!$W$4:$W$503,302))=0,"",INDEX('Aides'!$W$4:$W$503,302))</f>
        <v/>
      </c>
      <c r="J305">
        <f>IF(LEN(INDEX('Aides'!$V$4:$V$503,302))=0,"",INDEX('Aides'!$V$4:$V$503,302))</f>
        <v/>
      </c>
    </row>
    <row r="306">
      <c r="A306">
        <f>IF(AND(LEN('Aides'!A306)&gt;0,ISNUMBER('Aides'!I306)),1,0)</f>
        <v/>
      </c>
      <c r="B306">
        <f>B305+A306</f>
        <v/>
      </c>
      <c r="C306">
        <f>IF(303&gt;$B$1503,"",MATCH(303-0.5,$B$3:$B$1503,1))</f>
        <v/>
      </c>
      <c r="D306">
        <f>"CNA certification ("&amp;IF(LEN(INDEX('Aides'!$C$4:$C$503,303))=0,"",INDEX('Aides'!$C$4:$C$503,303))&amp;") – "&amp;IF(LEN(INDEX('Aides'!$A$4:$A$503,303))=0,"",INDEX('Aides'!$A$4:$A$503,303))</f>
        <v/>
      </c>
      <c r="E306">
        <f>IF(ISNUMBER(INDEX('Aides'!$I$4:$I$503,303)),TEXT(INDEX('Aides'!$I$4:$I$503,303),"yyyy-mm-dd"),"")</f>
        <v/>
      </c>
      <c r="F306">
        <f>"Certification"</f>
        <v/>
      </c>
      <c r="G306">
        <f>"High"</f>
        <v/>
      </c>
      <c r="H306">
        <f>TRIM(IF(LEN(IF(LEN(INDEX('Aides'!$D$4:$D$503,303))=0,"",INDEX('Aides'!$D$4:$D$503,303)))=0,"","Registry no.: "&amp;IF(LEN(INDEX('Aides'!$D$4:$D$503,303))=0,"",INDEX('Aides'!$D$4:$D$503,303))&amp;". ")&amp;IF(LEN(IF(ISNUMBER(INDEX('Aides'!$F$4:$F$503,303)),TEXT(INDEX('Aides'!$F$4:$F$503,303),"yyyy-mm-dd"),""))=0,"","Registry expiry: "&amp;IF(ISNUMBER(INDEX('Aides'!$F$4:$F$503,303)),TEXT(INDEX('Aides'!$F$4:$F$503,303),"yyyy-mm-dd"),"")&amp;". ")&amp;IF(LEN(IF(ISNUMBER(INDEX('Aides'!$G$4:$G$503,303)),TEXT(INDEX('Aides'!$G$4:$G$503,303),"yyyy-mm-dd"),""))=0,"","Last paid nursing work: "&amp;IF(ISNUMBER(INDEX('Aides'!$G$4:$G$503,303)),TEXT(INDEX('Aides'!$G$4:$G$503,303),"yyyy-mm-dd"),"")&amp;". ")&amp;IF(LEN(IF(ISNUMBER(INDEX('Aides'!$H$4:$H$503,303)),TEXT(INDEX('Aides'!$H$4:$H$503,303),"yyyy-mm-dd"),""))=0,"","24-month cut-off: "&amp;IF(ISNUMBER(INDEX('Aides'!$H$4:$H$503,303)),TEXT(INDEX('Aides'!$H$4:$H$503,303),"yyyy-mm-dd"),"")&amp;". ")&amp;IF(LEN(IF(LEN(INDEX('Aides'!$U$4:$U$503,303))=0,"",INDEX('Aides'!$U$4:$U$503,303)))=0,"","Owner: "&amp;IF(LEN(INDEX('Aides'!$U$4:$U$503,303))=0,"",INDEX('Aides'!$U$4:$U$503,303))&amp;". ")&amp;IF(LEN(IF(LEN(INDEX('Aides'!$X$4:$X$503,303))=0,"",INDEX('Aides'!$X$4:$X$503,303)))=0,"",IF(LEN(INDEX('Aides'!$X$4:$X$503,303))=0,"",INDEX('Aides'!$X$4:$X$503,303))))</f>
        <v/>
      </c>
      <c r="I306">
        <f>IF(LEN(INDEX('Aides'!$W$4:$W$503,303))=0,"",INDEX('Aides'!$W$4:$W$503,303))</f>
        <v/>
      </c>
      <c r="J306">
        <f>IF(LEN(INDEX('Aides'!$V$4:$V$503,303))=0,"",INDEX('Aides'!$V$4:$V$503,303))</f>
        <v/>
      </c>
    </row>
    <row r="307">
      <c r="A307">
        <f>IF(AND(LEN('Aides'!A307)&gt;0,ISNUMBER('Aides'!I307)),1,0)</f>
        <v/>
      </c>
      <c r="B307">
        <f>B306+A307</f>
        <v/>
      </c>
      <c r="C307">
        <f>IF(304&gt;$B$1503,"",MATCH(304-0.5,$B$3:$B$1503,1))</f>
        <v/>
      </c>
      <c r="D307">
        <f>"CNA certification ("&amp;IF(LEN(INDEX('Aides'!$C$4:$C$503,304))=0,"",INDEX('Aides'!$C$4:$C$503,304))&amp;") – "&amp;IF(LEN(INDEX('Aides'!$A$4:$A$503,304))=0,"",INDEX('Aides'!$A$4:$A$503,304))</f>
        <v/>
      </c>
      <c r="E307">
        <f>IF(ISNUMBER(INDEX('Aides'!$I$4:$I$503,304)),TEXT(INDEX('Aides'!$I$4:$I$503,304),"yyyy-mm-dd"),"")</f>
        <v/>
      </c>
      <c r="F307">
        <f>"Certification"</f>
        <v/>
      </c>
      <c r="G307">
        <f>"High"</f>
        <v/>
      </c>
      <c r="H307">
        <f>TRIM(IF(LEN(IF(LEN(INDEX('Aides'!$D$4:$D$503,304))=0,"",INDEX('Aides'!$D$4:$D$503,304)))=0,"","Registry no.: "&amp;IF(LEN(INDEX('Aides'!$D$4:$D$503,304))=0,"",INDEX('Aides'!$D$4:$D$503,304))&amp;". ")&amp;IF(LEN(IF(ISNUMBER(INDEX('Aides'!$F$4:$F$503,304)),TEXT(INDEX('Aides'!$F$4:$F$503,304),"yyyy-mm-dd"),""))=0,"","Registry expiry: "&amp;IF(ISNUMBER(INDEX('Aides'!$F$4:$F$503,304)),TEXT(INDEX('Aides'!$F$4:$F$503,304),"yyyy-mm-dd"),"")&amp;". ")&amp;IF(LEN(IF(ISNUMBER(INDEX('Aides'!$G$4:$G$503,304)),TEXT(INDEX('Aides'!$G$4:$G$503,304),"yyyy-mm-dd"),""))=0,"","Last paid nursing work: "&amp;IF(ISNUMBER(INDEX('Aides'!$G$4:$G$503,304)),TEXT(INDEX('Aides'!$G$4:$G$503,304),"yyyy-mm-dd"),"")&amp;". ")&amp;IF(LEN(IF(ISNUMBER(INDEX('Aides'!$H$4:$H$503,304)),TEXT(INDEX('Aides'!$H$4:$H$503,304),"yyyy-mm-dd"),""))=0,"","24-month cut-off: "&amp;IF(ISNUMBER(INDEX('Aides'!$H$4:$H$503,304)),TEXT(INDEX('Aides'!$H$4:$H$503,304),"yyyy-mm-dd"),"")&amp;". ")&amp;IF(LEN(IF(LEN(INDEX('Aides'!$U$4:$U$503,304))=0,"",INDEX('Aides'!$U$4:$U$503,304)))=0,"","Owner: "&amp;IF(LEN(INDEX('Aides'!$U$4:$U$503,304))=0,"",INDEX('Aides'!$U$4:$U$503,304))&amp;". ")&amp;IF(LEN(IF(LEN(INDEX('Aides'!$X$4:$X$503,304))=0,"",INDEX('Aides'!$X$4:$X$503,304)))=0,"",IF(LEN(INDEX('Aides'!$X$4:$X$503,304))=0,"",INDEX('Aides'!$X$4:$X$503,304))))</f>
        <v/>
      </c>
      <c r="I307">
        <f>IF(LEN(INDEX('Aides'!$W$4:$W$503,304))=0,"",INDEX('Aides'!$W$4:$W$503,304))</f>
        <v/>
      </c>
      <c r="J307">
        <f>IF(LEN(INDEX('Aides'!$V$4:$V$503,304))=0,"",INDEX('Aides'!$V$4:$V$503,304))</f>
        <v/>
      </c>
    </row>
    <row r="308">
      <c r="A308">
        <f>IF(AND(LEN('Aides'!A308)&gt;0,ISNUMBER('Aides'!I308)),1,0)</f>
        <v/>
      </c>
      <c r="B308">
        <f>B307+A308</f>
        <v/>
      </c>
      <c r="C308">
        <f>IF(305&gt;$B$1503,"",MATCH(305-0.5,$B$3:$B$1503,1))</f>
        <v/>
      </c>
      <c r="D308">
        <f>"CNA certification ("&amp;IF(LEN(INDEX('Aides'!$C$4:$C$503,305))=0,"",INDEX('Aides'!$C$4:$C$503,305))&amp;") – "&amp;IF(LEN(INDEX('Aides'!$A$4:$A$503,305))=0,"",INDEX('Aides'!$A$4:$A$503,305))</f>
        <v/>
      </c>
      <c r="E308">
        <f>IF(ISNUMBER(INDEX('Aides'!$I$4:$I$503,305)),TEXT(INDEX('Aides'!$I$4:$I$503,305),"yyyy-mm-dd"),"")</f>
        <v/>
      </c>
      <c r="F308">
        <f>"Certification"</f>
        <v/>
      </c>
      <c r="G308">
        <f>"High"</f>
        <v/>
      </c>
      <c r="H308">
        <f>TRIM(IF(LEN(IF(LEN(INDEX('Aides'!$D$4:$D$503,305))=0,"",INDEX('Aides'!$D$4:$D$503,305)))=0,"","Registry no.: "&amp;IF(LEN(INDEX('Aides'!$D$4:$D$503,305))=0,"",INDEX('Aides'!$D$4:$D$503,305))&amp;". ")&amp;IF(LEN(IF(ISNUMBER(INDEX('Aides'!$F$4:$F$503,305)),TEXT(INDEX('Aides'!$F$4:$F$503,305),"yyyy-mm-dd"),""))=0,"","Registry expiry: "&amp;IF(ISNUMBER(INDEX('Aides'!$F$4:$F$503,305)),TEXT(INDEX('Aides'!$F$4:$F$503,305),"yyyy-mm-dd"),"")&amp;". ")&amp;IF(LEN(IF(ISNUMBER(INDEX('Aides'!$G$4:$G$503,305)),TEXT(INDEX('Aides'!$G$4:$G$503,305),"yyyy-mm-dd"),""))=0,"","Last paid nursing work: "&amp;IF(ISNUMBER(INDEX('Aides'!$G$4:$G$503,305)),TEXT(INDEX('Aides'!$G$4:$G$503,305),"yyyy-mm-dd"),"")&amp;". ")&amp;IF(LEN(IF(ISNUMBER(INDEX('Aides'!$H$4:$H$503,305)),TEXT(INDEX('Aides'!$H$4:$H$503,305),"yyyy-mm-dd"),""))=0,"","24-month cut-off: "&amp;IF(ISNUMBER(INDEX('Aides'!$H$4:$H$503,305)),TEXT(INDEX('Aides'!$H$4:$H$503,305),"yyyy-mm-dd"),"")&amp;". ")&amp;IF(LEN(IF(LEN(INDEX('Aides'!$U$4:$U$503,305))=0,"",INDEX('Aides'!$U$4:$U$503,305)))=0,"","Owner: "&amp;IF(LEN(INDEX('Aides'!$U$4:$U$503,305))=0,"",INDEX('Aides'!$U$4:$U$503,305))&amp;". ")&amp;IF(LEN(IF(LEN(INDEX('Aides'!$X$4:$X$503,305))=0,"",INDEX('Aides'!$X$4:$X$503,305)))=0,"",IF(LEN(INDEX('Aides'!$X$4:$X$503,305))=0,"",INDEX('Aides'!$X$4:$X$503,305))))</f>
        <v/>
      </c>
      <c r="I308">
        <f>IF(LEN(INDEX('Aides'!$W$4:$W$503,305))=0,"",INDEX('Aides'!$W$4:$W$503,305))</f>
        <v/>
      </c>
      <c r="J308">
        <f>IF(LEN(INDEX('Aides'!$V$4:$V$503,305))=0,"",INDEX('Aides'!$V$4:$V$503,305))</f>
        <v/>
      </c>
    </row>
    <row r="309">
      <c r="A309">
        <f>IF(AND(LEN('Aides'!A309)&gt;0,ISNUMBER('Aides'!I309)),1,0)</f>
        <v/>
      </c>
      <c r="B309">
        <f>B308+A309</f>
        <v/>
      </c>
      <c r="C309">
        <f>IF(306&gt;$B$1503,"",MATCH(306-0.5,$B$3:$B$1503,1))</f>
        <v/>
      </c>
      <c r="D309">
        <f>"CNA certification ("&amp;IF(LEN(INDEX('Aides'!$C$4:$C$503,306))=0,"",INDEX('Aides'!$C$4:$C$503,306))&amp;") – "&amp;IF(LEN(INDEX('Aides'!$A$4:$A$503,306))=0,"",INDEX('Aides'!$A$4:$A$503,306))</f>
        <v/>
      </c>
      <c r="E309">
        <f>IF(ISNUMBER(INDEX('Aides'!$I$4:$I$503,306)),TEXT(INDEX('Aides'!$I$4:$I$503,306),"yyyy-mm-dd"),"")</f>
        <v/>
      </c>
      <c r="F309">
        <f>"Certification"</f>
        <v/>
      </c>
      <c r="G309">
        <f>"High"</f>
        <v/>
      </c>
      <c r="H309">
        <f>TRIM(IF(LEN(IF(LEN(INDEX('Aides'!$D$4:$D$503,306))=0,"",INDEX('Aides'!$D$4:$D$503,306)))=0,"","Registry no.: "&amp;IF(LEN(INDEX('Aides'!$D$4:$D$503,306))=0,"",INDEX('Aides'!$D$4:$D$503,306))&amp;". ")&amp;IF(LEN(IF(ISNUMBER(INDEX('Aides'!$F$4:$F$503,306)),TEXT(INDEX('Aides'!$F$4:$F$503,306),"yyyy-mm-dd"),""))=0,"","Registry expiry: "&amp;IF(ISNUMBER(INDEX('Aides'!$F$4:$F$503,306)),TEXT(INDEX('Aides'!$F$4:$F$503,306),"yyyy-mm-dd"),"")&amp;". ")&amp;IF(LEN(IF(ISNUMBER(INDEX('Aides'!$G$4:$G$503,306)),TEXT(INDEX('Aides'!$G$4:$G$503,306),"yyyy-mm-dd"),""))=0,"","Last paid nursing work: "&amp;IF(ISNUMBER(INDEX('Aides'!$G$4:$G$503,306)),TEXT(INDEX('Aides'!$G$4:$G$503,306),"yyyy-mm-dd"),"")&amp;". ")&amp;IF(LEN(IF(ISNUMBER(INDEX('Aides'!$H$4:$H$503,306)),TEXT(INDEX('Aides'!$H$4:$H$503,306),"yyyy-mm-dd"),""))=0,"","24-month cut-off: "&amp;IF(ISNUMBER(INDEX('Aides'!$H$4:$H$503,306)),TEXT(INDEX('Aides'!$H$4:$H$503,306),"yyyy-mm-dd"),"")&amp;". ")&amp;IF(LEN(IF(LEN(INDEX('Aides'!$U$4:$U$503,306))=0,"",INDEX('Aides'!$U$4:$U$503,306)))=0,"","Owner: "&amp;IF(LEN(INDEX('Aides'!$U$4:$U$503,306))=0,"",INDEX('Aides'!$U$4:$U$503,306))&amp;". ")&amp;IF(LEN(IF(LEN(INDEX('Aides'!$X$4:$X$503,306))=0,"",INDEX('Aides'!$X$4:$X$503,306)))=0,"",IF(LEN(INDEX('Aides'!$X$4:$X$503,306))=0,"",INDEX('Aides'!$X$4:$X$503,306))))</f>
        <v/>
      </c>
      <c r="I309">
        <f>IF(LEN(INDEX('Aides'!$W$4:$W$503,306))=0,"",INDEX('Aides'!$W$4:$W$503,306))</f>
        <v/>
      </c>
      <c r="J309">
        <f>IF(LEN(INDEX('Aides'!$V$4:$V$503,306))=0,"",INDEX('Aides'!$V$4:$V$503,306))</f>
        <v/>
      </c>
    </row>
    <row r="310">
      <c r="A310">
        <f>IF(AND(LEN('Aides'!A310)&gt;0,ISNUMBER('Aides'!I310)),1,0)</f>
        <v/>
      </c>
      <c r="B310">
        <f>B309+A310</f>
        <v/>
      </c>
      <c r="C310">
        <f>IF(307&gt;$B$1503,"",MATCH(307-0.5,$B$3:$B$1503,1))</f>
        <v/>
      </c>
      <c r="D310">
        <f>"CNA certification ("&amp;IF(LEN(INDEX('Aides'!$C$4:$C$503,307))=0,"",INDEX('Aides'!$C$4:$C$503,307))&amp;") – "&amp;IF(LEN(INDEX('Aides'!$A$4:$A$503,307))=0,"",INDEX('Aides'!$A$4:$A$503,307))</f>
        <v/>
      </c>
      <c r="E310">
        <f>IF(ISNUMBER(INDEX('Aides'!$I$4:$I$503,307)),TEXT(INDEX('Aides'!$I$4:$I$503,307),"yyyy-mm-dd"),"")</f>
        <v/>
      </c>
      <c r="F310">
        <f>"Certification"</f>
        <v/>
      </c>
      <c r="G310">
        <f>"High"</f>
        <v/>
      </c>
      <c r="H310">
        <f>TRIM(IF(LEN(IF(LEN(INDEX('Aides'!$D$4:$D$503,307))=0,"",INDEX('Aides'!$D$4:$D$503,307)))=0,"","Registry no.: "&amp;IF(LEN(INDEX('Aides'!$D$4:$D$503,307))=0,"",INDEX('Aides'!$D$4:$D$503,307))&amp;". ")&amp;IF(LEN(IF(ISNUMBER(INDEX('Aides'!$F$4:$F$503,307)),TEXT(INDEX('Aides'!$F$4:$F$503,307),"yyyy-mm-dd"),""))=0,"","Registry expiry: "&amp;IF(ISNUMBER(INDEX('Aides'!$F$4:$F$503,307)),TEXT(INDEX('Aides'!$F$4:$F$503,307),"yyyy-mm-dd"),"")&amp;". ")&amp;IF(LEN(IF(ISNUMBER(INDEX('Aides'!$G$4:$G$503,307)),TEXT(INDEX('Aides'!$G$4:$G$503,307),"yyyy-mm-dd"),""))=0,"","Last paid nursing work: "&amp;IF(ISNUMBER(INDEX('Aides'!$G$4:$G$503,307)),TEXT(INDEX('Aides'!$G$4:$G$503,307),"yyyy-mm-dd"),"")&amp;". ")&amp;IF(LEN(IF(ISNUMBER(INDEX('Aides'!$H$4:$H$503,307)),TEXT(INDEX('Aides'!$H$4:$H$503,307),"yyyy-mm-dd"),""))=0,"","24-month cut-off: "&amp;IF(ISNUMBER(INDEX('Aides'!$H$4:$H$503,307)),TEXT(INDEX('Aides'!$H$4:$H$503,307),"yyyy-mm-dd"),"")&amp;". ")&amp;IF(LEN(IF(LEN(INDEX('Aides'!$U$4:$U$503,307))=0,"",INDEX('Aides'!$U$4:$U$503,307)))=0,"","Owner: "&amp;IF(LEN(INDEX('Aides'!$U$4:$U$503,307))=0,"",INDEX('Aides'!$U$4:$U$503,307))&amp;". ")&amp;IF(LEN(IF(LEN(INDEX('Aides'!$X$4:$X$503,307))=0,"",INDEX('Aides'!$X$4:$X$503,307)))=0,"",IF(LEN(INDEX('Aides'!$X$4:$X$503,307))=0,"",INDEX('Aides'!$X$4:$X$503,307))))</f>
        <v/>
      </c>
      <c r="I310">
        <f>IF(LEN(INDEX('Aides'!$W$4:$W$503,307))=0,"",INDEX('Aides'!$W$4:$W$503,307))</f>
        <v/>
      </c>
      <c r="J310">
        <f>IF(LEN(INDEX('Aides'!$V$4:$V$503,307))=0,"",INDEX('Aides'!$V$4:$V$503,307))</f>
        <v/>
      </c>
    </row>
    <row r="311">
      <c r="A311">
        <f>IF(AND(LEN('Aides'!A311)&gt;0,ISNUMBER('Aides'!I311)),1,0)</f>
        <v/>
      </c>
      <c r="B311">
        <f>B310+A311</f>
        <v/>
      </c>
      <c r="C311">
        <f>IF(308&gt;$B$1503,"",MATCH(308-0.5,$B$3:$B$1503,1))</f>
        <v/>
      </c>
      <c r="D311">
        <f>"CNA certification ("&amp;IF(LEN(INDEX('Aides'!$C$4:$C$503,308))=0,"",INDEX('Aides'!$C$4:$C$503,308))&amp;") – "&amp;IF(LEN(INDEX('Aides'!$A$4:$A$503,308))=0,"",INDEX('Aides'!$A$4:$A$503,308))</f>
        <v/>
      </c>
      <c r="E311">
        <f>IF(ISNUMBER(INDEX('Aides'!$I$4:$I$503,308)),TEXT(INDEX('Aides'!$I$4:$I$503,308),"yyyy-mm-dd"),"")</f>
        <v/>
      </c>
      <c r="F311">
        <f>"Certification"</f>
        <v/>
      </c>
      <c r="G311">
        <f>"High"</f>
        <v/>
      </c>
      <c r="H311">
        <f>TRIM(IF(LEN(IF(LEN(INDEX('Aides'!$D$4:$D$503,308))=0,"",INDEX('Aides'!$D$4:$D$503,308)))=0,"","Registry no.: "&amp;IF(LEN(INDEX('Aides'!$D$4:$D$503,308))=0,"",INDEX('Aides'!$D$4:$D$503,308))&amp;". ")&amp;IF(LEN(IF(ISNUMBER(INDEX('Aides'!$F$4:$F$503,308)),TEXT(INDEX('Aides'!$F$4:$F$503,308),"yyyy-mm-dd"),""))=0,"","Registry expiry: "&amp;IF(ISNUMBER(INDEX('Aides'!$F$4:$F$503,308)),TEXT(INDEX('Aides'!$F$4:$F$503,308),"yyyy-mm-dd"),"")&amp;". ")&amp;IF(LEN(IF(ISNUMBER(INDEX('Aides'!$G$4:$G$503,308)),TEXT(INDEX('Aides'!$G$4:$G$503,308),"yyyy-mm-dd"),""))=0,"","Last paid nursing work: "&amp;IF(ISNUMBER(INDEX('Aides'!$G$4:$G$503,308)),TEXT(INDEX('Aides'!$G$4:$G$503,308),"yyyy-mm-dd"),"")&amp;". ")&amp;IF(LEN(IF(ISNUMBER(INDEX('Aides'!$H$4:$H$503,308)),TEXT(INDEX('Aides'!$H$4:$H$503,308),"yyyy-mm-dd"),""))=0,"","24-month cut-off: "&amp;IF(ISNUMBER(INDEX('Aides'!$H$4:$H$503,308)),TEXT(INDEX('Aides'!$H$4:$H$503,308),"yyyy-mm-dd"),"")&amp;". ")&amp;IF(LEN(IF(LEN(INDEX('Aides'!$U$4:$U$503,308))=0,"",INDEX('Aides'!$U$4:$U$503,308)))=0,"","Owner: "&amp;IF(LEN(INDEX('Aides'!$U$4:$U$503,308))=0,"",INDEX('Aides'!$U$4:$U$503,308))&amp;". ")&amp;IF(LEN(IF(LEN(INDEX('Aides'!$X$4:$X$503,308))=0,"",INDEX('Aides'!$X$4:$X$503,308)))=0,"",IF(LEN(INDEX('Aides'!$X$4:$X$503,308))=0,"",INDEX('Aides'!$X$4:$X$503,308))))</f>
        <v/>
      </c>
      <c r="I311">
        <f>IF(LEN(INDEX('Aides'!$W$4:$W$503,308))=0,"",INDEX('Aides'!$W$4:$W$503,308))</f>
        <v/>
      </c>
      <c r="J311">
        <f>IF(LEN(INDEX('Aides'!$V$4:$V$503,308))=0,"",INDEX('Aides'!$V$4:$V$503,308))</f>
        <v/>
      </c>
    </row>
    <row r="312">
      <c r="A312">
        <f>IF(AND(LEN('Aides'!A312)&gt;0,ISNUMBER('Aides'!I312)),1,0)</f>
        <v/>
      </c>
      <c r="B312">
        <f>B311+A312</f>
        <v/>
      </c>
      <c r="C312">
        <f>IF(309&gt;$B$1503,"",MATCH(309-0.5,$B$3:$B$1503,1))</f>
        <v/>
      </c>
      <c r="D312">
        <f>"CNA certification ("&amp;IF(LEN(INDEX('Aides'!$C$4:$C$503,309))=0,"",INDEX('Aides'!$C$4:$C$503,309))&amp;") – "&amp;IF(LEN(INDEX('Aides'!$A$4:$A$503,309))=0,"",INDEX('Aides'!$A$4:$A$503,309))</f>
        <v/>
      </c>
      <c r="E312">
        <f>IF(ISNUMBER(INDEX('Aides'!$I$4:$I$503,309)),TEXT(INDEX('Aides'!$I$4:$I$503,309),"yyyy-mm-dd"),"")</f>
        <v/>
      </c>
      <c r="F312">
        <f>"Certification"</f>
        <v/>
      </c>
      <c r="G312">
        <f>"High"</f>
        <v/>
      </c>
      <c r="H312">
        <f>TRIM(IF(LEN(IF(LEN(INDEX('Aides'!$D$4:$D$503,309))=0,"",INDEX('Aides'!$D$4:$D$503,309)))=0,"","Registry no.: "&amp;IF(LEN(INDEX('Aides'!$D$4:$D$503,309))=0,"",INDEX('Aides'!$D$4:$D$503,309))&amp;". ")&amp;IF(LEN(IF(ISNUMBER(INDEX('Aides'!$F$4:$F$503,309)),TEXT(INDEX('Aides'!$F$4:$F$503,309),"yyyy-mm-dd"),""))=0,"","Registry expiry: "&amp;IF(ISNUMBER(INDEX('Aides'!$F$4:$F$503,309)),TEXT(INDEX('Aides'!$F$4:$F$503,309),"yyyy-mm-dd"),"")&amp;". ")&amp;IF(LEN(IF(ISNUMBER(INDEX('Aides'!$G$4:$G$503,309)),TEXT(INDEX('Aides'!$G$4:$G$503,309),"yyyy-mm-dd"),""))=0,"","Last paid nursing work: "&amp;IF(ISNUMBER(INDEX('Aides'!$G$4:$G$503,309)),TEXT(INDEX('Aides'!$G$4:$G$503,309),"yyyy-mm-dd"),"")&amp;". ")&amp;IF(LEN(IF(ISNUMBER(INDEX('Aides'!$H$4:$H$503,309)),TEXT(INDEX('Aides'!$H$4:$H$503,309),"yyyy-mm-dd"),""))=0,"","24-month cut-off: "&amp;IF(ISNUMBER(INDEX('Aides'!$H$4:$H$503,309)),TEXT(INDEX('Aides'!$H$4:$H$503,309),"yyyy-mm-dd"),"")&amp;". ")&amp;IF(LEN(IF(LEN(INDEX('Aides'!$U$4:$U$503,309))=0,"",INDEX('Aides'!$U$4:$U$503,309)))=0,"","Owner: "&amp;IF(LEN(INDEX('Aides'!$U$4:$U$503,309))=0,"",INDEX('Aides'!$U$4:$U$503,309))&amp;". ")&amp;IF(LEN(IF(LEN(INDEX('Aides'!$X$4:$X$503,309))=0,"",INDEX('Aides'!$X$4:$X$503,309)))=0,"",IF(LEN(INDEX('Aides'!$X$4:$X$503,309))=0,"",INDEX('Aides'!$X$4:$X$503,309))))</f>
        <v/>
      </c>
      <c r="I312">
        <f>IF(LEN(INDEX('Aides'!$W$4:$W$503,309))=0,"",INDEX('Aides'!$W$4:$W$503,309))</f>
        <v/>
      </c>
      <c r="J312">
        <f>IF(LEN(INDEX('Aides'!$V$4:$V$503,309))=0,"",INDEX('Aides'!$V$4:$V$503,309))</f>
        <v/>
      </c>
    </row>
    <row r="313">
      <c r="A313">
        <f>IF(AND(LEN('Aides'!A313)&gt;0,ISNUMBER('Aides'!I313)),1,0)</f>
        <v/>
      </c>
      <c r="B313">
        <f>B312+A313</f>
        <v/>
      </c>
      <c r="C313">
        <f>IF(310&gt;$B$1503,"",MATCH(310-0.5,$B$3:$B$1503,1))</f>
        <v/>
      </c>
      <c r="D313">
        <f>"CNA certification ("&amp;IF(LEN(INDEX('Aides'!$C$4:$C$503,310))=0,"",INDEX('Aides'!$C$4:$C$503,310))&amp;") – "&amp;IF(LEN(INDEX('Aides'!$A$4:$A$503,310))=0,"",INDEX('Aides'!$A$4:$A$503,310))</f>
        <v/>
      </c>
      <c r="E313">
        <f>IF(ISNUMBER(INDEX('Aides'!$I$4:$I$503,310)),TEXT(INDEX('Aides'!$I$4:$I$503,310),"yyyy-mm-dd"),"")</f>
        <v/>
      </c>
      <c r="F313">
        <f>"Certification"</f>
        <v/>
      </c>
      <c r="G313">
        <f>"High"</f>
        <v/>
      </c>
      <c r="H313">
        <f>TRIM(IF(LEN(IF(LEN(INDEX('Aides'!$D$4:$D$503,310))=0,"",INDEX('Aides'!$D$4:$D$503,310)))=0,"","Registry no.: "&amp;IF(LEN(INDEX('Aides'!$D$4:$D$503,310))=0,"",INDEX('Aides'!$D$4:$D$503,310))&amp;". ")&amp;IF(LEN(IF(ISNUMBER(INDEX('Aides'!$F$4:$F$503,310)),TEXT(INDEX('Aides'!$F$4:$F$503,310),"yyyy-mm-dd"),""))=0,"","Registry expiry: "&amp;IF(ISNUMBER(INDEX('Aides'!$F$4:$F$503,310)),TEXT(INDEX('Aides'!$F$4:$F$503,310),"yyyy-mm-dd"),"")&amp;". ")&amp;IF(LEN(IF(ISNUMBER(INDEX('Aides'!$G$4:$G$503,310)),TEXT(INDEX('Aides'!$G$4:$G$503,310),"yyyy-mm-dd"),""))=0,"","Last paid nursing work: "&amp;IF(ISNUMBER(INDEX('Aides'!$G$4:$G$503,310)),TEXT(INDEX('Aides'!$G$4:$G$503,310),"yyyy-mm-dd"),"")&amp;". ")&amp;IF(LEN(IF(ISNUMBER(INDEX('Aides'!$H$4:$H$503,310)),TEXT(INDEX('Aides'!$H$4:$H$503,310),"yyyy-mm-dd"),""))=0,"","24-month cut-off: "&amp;IF(ISNUMBER(INDEX('Aides'!$H$4:$H$503,310)),TEXT(INDEX('Aides'!$H$4:$H$503,310),"yyyy-mm-dd"),"")&amp;". ")&amp;IF(LEN(IF(LEN(INDEX('Aides'!$U$4:$U$503,310))=0,"",INDEX('Aides'!$U$4:$U$503,310)))=0,"","Owner: "&amp;IF(LEN(INDEX('Aides'!$U$4:$U$503,310))=0,"",INDEX('Aides'!$U$4:$U$503,310))&amp;". ")&amp;IF(LEN(IF(LEN(INDEX('Aides'!$X$4:$X$503,310))=0,"",INDEX('Aides'!$X$4:$X$503,310)))=0,"",IF(LEN(INDEX('Aides'!$X$4:$X$503,310))=0,"",INDEX('Aides'!$X$4:$X$503,310))))</f>
        <v/>
      </c>
      <c r="I313">
        <f>IF(LEN(INDEX('Aides'!$W$4:$W$503,310))=0,"",INDEX('Aides'!$W$4:$W$503,310))</f>
        <v/>
      </c>
      <c r="J313">
        <f>IF(LEN(INDEX('Aides'!$V$4:$V$503,310))=0,"",INDEX('Aides'!$V$4:$V$503,310))</f>
        <v/>
      </c>
    </row>
    <row r="314">
      <c r="A314">
        <f>IF(AND(LEN('Aides'!A314)&gt;0,ISNUMBER('Aides'!I314)),1,0)</f>
        <v/>
      </c>
      <c r="B314">
        <f>B313+A314</f>
        <v/>
      </c>
      <c r="C314">
        <f>IF(311&gt;$B$1503,"",MATCH(311-0.5,$B$3:$B$1503,1))</f>
        <v/>
      </c>
      <c r="D314">
        <f>"CNA certification ("&amp;IF(LEN(INDEX('Aides'!$C$4:$C$503,311))=0,"",INDEX('Aides'!$C$4:$C$503,311))&amp;") – "&amp;IF(LEN(INDEX('Aides'!$A$4:$A$503,311))=0,"",INDEX('Aides'!$A$4:$A$503,311))</f>
        <v/>
      </c>
      <c r="E314">
        <f>IF(ISNUMBER(INDEX('Aides'!$I$4:$I$503,311)),TEXT(INDEX('Aides'!$I$4:$I$503,311),"yyyy-mm-dd"),"")</f>
        <v/>
      </c>
      <c r="F314">
        <f>"Certification"</f>
        <v/>
      </c>
      <c r="G314">
        <f>"High"</f>
        <v/>
      </c>
      <c r="H314">
        <f>TRIM(IF(LEN(IF(LEN(INDEX('Aides'!$D$4:$D$503,311))=0,"",INDEX('Aides'!$D$4:$D$503,311)))=0,"","Registry no.: "&amp;IF(LEN(INDEX('Aides'!$D$4:$D$503,311))=0,"",INDEX('Aides'!$D$4:$D$503,311))&amp;". ")&amp;IF(LEN(IF(ISNUMBER(INDEX('Aides'!$F$4:$F$503,311)),TEXT(INDEX('Aides'!$F$4:$F$503,311),"yyyy-mm-dd"),""))=0,"","Registry expiry: "&amp;IF(ISNUMBER(INDEX('Aides'!$F$4:$F$503,311)),TEXT(INDEX('Aides'!$F$4:$F$503,311),"yyyy-mm-dd"),"")&amp;". ")&amp;IF(LEN(IF(ISNUMBER(INDEX('Aides'!$G$4:$G$503,311)),TEXT(INDEX('Aides'!$G$4:$G$503,311),"yyyy-mm-dd"),""))=0,"","Last paid nursing work: "&amp;IF(ISNUMBER(INDEX('Aides'!$G$4:$G$503,311)),TEXT(INDEX('Aides'!$G$4:$G$503,311),"yyyy-mm-dd"),"")&amp;". ")&amp;IF(LEN(IF(ISNUMBER(INDEX('Aides'!$H$4:$H$503,311)),TEXT(INDEX('Aides'!$H$4:$H$503,311),"yyyy-mm-dd"),""))=0,"","24-month cut-off: "&amp;IF(ISNUMBER(INDEX('Aides'!$H$4:$H$503,311)),TEXT(INDEX('Aides'!$H$4:$H$503,311),"yyyy-mm-dd"),"")&amp;". ")&amp;IF(LEN(IF(LEN(INDEX('Aides'!$U$4:$U$503,311))=0,"",INDEX('Aides'!$U$4:$U$503,311)))=0,"","Owner: "&amp;IF(LEN(INDEX('Aides'!$U$4:$U$503,311))=0,"",INDEX('Aides'!$U$4:$U$503,311))&amp;". ")&amp;IF(LEN(IF(LEN(INDEX('Aides'!$X$4:$X$503,311))=0,"",INDEX('Aides'!$X$4:$X$503,311)))=0,"",IF(LEN(INDEX('Aides'!$X$4:$X$503,311))=0,"",INDEX('Aides'!$X$4:$X$503,311))))</f>
        <v/>
      </c>
      <c r="I314">
        <f>IF(LEN(INDEX('Aides'!$W$4:$W$503,311))=0,"",INDEX('Aides'!$W$4:$W$503,311))</f>
        <v/>
      </c>
      <c r="J314">
        <f>IF(LEN(INDEX('Aides'!$V$4:$V$503,311))=0,"",INDEX('Aides'!$V$4:$V$503,311))</f>
        <v/>
      </c>
    </row>
    <row r="315">
      <c r="A315">
        <f>IF(AND(LEN('Aides'!A315)&gt;0,ISNUMBER('Aides'!I315)),1,0)</f>
        <v/>
      </c>
      <c r="B315">
        <f>B314+A315</f>
        <v/>
      </c>
      <c r="C315">
        <f>IF(312&gt;$B$1503,"",MATCH(312-0.5,$B$3:$B$1503,1))</f>
        <v/>
      </c>
      <c r="D315">
        <f>"CNA certification ("&amp;IF(LEN(INDEX('Aides'!$C$4:$C$503,312))=0,"",INDEX('Aides'!$C$4:$C$503,312))&amp;") – "&amp;IF(LEN(INDEX('Aides'!$A$4:$A$503,312))=0,"",INDEX('Aides'!$A$4:$A$503,312))</f>
        <v/>
      </c>
      <c r="E315">
        <f>IF(ISNUMBER(INDEX('Aides'!$I$4:$I$503,312)),TEXT(INDEX('Aides'!$I$4:$I$503,312),"yyyy-mm-dd"),"")</f>
        <v/>
      </c>
      <c r="F315">
        <f>"Certification"</f>
        <v/>
      </c>
      <c r="G315">
        <f>"High"</f>
        <v/>
      </c>
      <c r="H315">
        <f>TRIM(IF(LEN(IF(LEN(INDEX('Aides'!$D$4:$D$503,312))=0,"",INDEX('Aides'!$D$4:$D$503,312)))=0,"","Registry no.: "&amp;IF(LEN(INDEX('Aides'!$D$4:$D$503,312))=0,"",INDEX('Aides'!$D$4:$D$503,312))&amp;". ")&amp;IF(LEN(IF(ISNUMBER(INDEX('Aides'!$F$4:$F$503,312)),TEXT(INDEX('Aides'!$F$4:$F$503,312),"yyyy-mm-dd"),""))=0,"","Registry expiry: "&amp;IF(ISNUMBER(INDEX('Aides'!$F$4:$F$503,312)),TEXT(INDEX('Aides'!$F$4:$F$503,312),"yyyy-mm-dd"),"")&amp;". ")&amp;IF(LEN(IF(ISNUMBER(INDEX('Aides'!$G$4:$G$503,312)),TEXT(INDEX('Aides'!$G$4:$G$503,312),"yyyy-mm-dd"),""))=0,"","Last paid nursing work: "&amp;IF(ISNUMBER(INDEX('Aides'!$G$4:$G$503,312)),TEXT(INDEX('Aides'!$G$4:$G$503,312),"yyyy-mm-dd"),"")&amp;". ")&amp;IF(LEN(IF(ISNUMBER(INDEX('Aides'!$H$4:$H$503,312)),TEXT(INDEX('Aides'!$H$4:$H$503,312),"yyyy-mm-dd"),""))=0,"","24-month cut-off: "&amp;IF(ISNUMBER(INDEX('Aides'!$H$4:$H$503,312)),TEXT(INDEX('Aides'!$H$4:$H$503,312),"yyyy-mm-dd"),"")&amp;". ")&amp;IF(LEN(IF(LEN(INDEX('Aides'!$U$4:$U$503,312))=0,"",INDEX('Aides'!$U$4:$U$503,312)))=0,"","Owner: "&amp;IF(LEN(INDEX('Aides'!$U$4:$U$503,312))=0,"",INDEX('Aides'!$U$4:$U$503,312))&amp;". ")&amp;IF(LEN(IF(LEN(INDEX('Aides'!$X$4:$X$503,312))=0,"",INDEX('Aides'!$X$4:$X$503,312)))=0,"",IF(LEN(INDEX('Aides'!$X$4:$X$503,312))=0,"",INDEX('Aides'!$X$4:$X$503,312))))</f>
        <v/>
      </c>
      <c r="I315">
        <f>IF(LEN(INDEX('Aides'!$W$4:$W$503,312))=0,"",INDEX('Aides'!$W$4:$W$503,312))</f>
        <v/>
      </c>
      <c r="J315">
        <f>IF(LEN(INDEX('Aides'!$V$4:$V$503,312))=0,"",INDEX('Aides'!$V$4:$V$503,312))</f>
        <v/>
      </c>
    </row>
    <row r="316">
      <c r="A316">
        <f>IF(AND(LEN('Aides'!A316)&gt;0,ISNUMBER('Aides'!I316)),1,0)</f>
        <v/>
      </c>
      <c r="B316">
        <f>B315+A316</f>
        <v/>
      </c>
      <c r="C316">
        <f>IF(313&gt;$B$1503,"",MATCH(313-0.5,$B$3:$B$1503,1))</f>
        <v/>
      </c>
      <c r="D316">
        <f>"CNA certification ("&amp;IF(LEN(INDEX('Aides'!$C$4:$C$503,313))=0,"",INDEX('Aides'!$C$4:$C$503,313))&amp;") – "&amp;IF(LEN(INDEX('Aides'!$A$4:$A$503,313))=0,"",INDEX('Aides'!$A$4:$A$503,313))</f>
        <v/>
      </c>
      <c r="E316">
        <f>IF(ISNUMBER(INDEX('Aides'!$I$4:$I$503,313)),TEXT(INDEX('Aides'!$I$4:$I$503,313),"yyyy-mm-dd"),"")</f>
        <v/>
      </c>
      <c r="F316">
        <f>"Certification"</f>
        <v/>
      </c>
      <c r="G316">
        <f>"High"</f>
        <v/>
      </c>
      <c r="H316">
        <f>TRIM(IF(LEN(IF(LEN(INDEX('Aides'!$D$4:$D$503,313))=0,"",INDEX('Aides'!$D$4:$D$503,313)))=0,"","Registry no.: "&amp;IF(LEN(INDEX('Aides'!$D$4:$D$503,313))=0,"",INDEX('Aides'!$D$4:$D$503,313))&amp;". ")&amp;IF(LEN(IF(ISNUMBER(INDEX('Aides'!$F$4:$F$503,313)),TEXT(INDEX('Aides'!$F$4:$F$503,313),"yyyy-mm-dd"),""))=0,"","Registry expiry: "&amp;IF(ISNUMBER(INDEX('Aides'!$F$4:$F$503,313)),TEXT(INDEX('Aides'!$F$4:$F$503,313),"yyyy-mm-dd"),"")&amp;". ")&amp;IF(LEN(IF(ISNUMBER(INDEX('Aides'!$G$4:$G$503,313)),TEXT(INDEX('Aides'!$G$4:$G$503,313),"yyyy-mm-dd"),""))=0,"","Last paid nursing work: "&amp;IF(ISNUMBER(INDEX('Aides'!$G$4:$G$503,313)),TEXT(INDEX('Aides'!$G$4:$G$503,313),"yyyy-mm-dd"),"")&amp;". ")&amp;IF(LEN(IF(ISNUMBER(INDEX('Aides'!$H$4:$H$503,313)),TEXT(INDEX('Aides'!$H$4:$H$503,313),"yyyy-mm-dd"),""))=0,"","24-month cut-off: "&amp;IF(ISNUMBER(INDEX('Aides'!$H$4:$H$503,313)),TEXT(INDEX('Aides'!$H$4:$H$503,313),"yyyy-mm-dd"),"")&amp;". ")&amp;IF(LEN(IF(LEN(INDEX('Aides'!$U$4:$U$503,313))=0,"",INDEX('Aides'!$U$4:$U$503,313)))=0,"","Owner: "&amp;IF(LEN(INDEX('Aides'!$U$4:$U$503,313))=0,"",INDEX('Aides'!$U$4:$U$503,313))&amp;". ")&amp;IF(LEN(IF(LEN(INDEX('Aides'!$X$4:$X$503,313))=0,"",INDEX('Aides'!$X$4:$X$503,313)))=0,"",IF(LEN(INDEX('Aides'!$X$4:$X$503,313))=0,"",INDEX('Aides'!$X$4:$X$503,313))))</f>
        <v/>
      </c>
      <c r="I316">
        <f>IF(LEN(INDEX('Aides'!$W$4:$W$503,313))=0,"",INDEX('Aides'!$W$4:$W$503,313))</f>
        <v/>
      </c>
      <c r="J316">
        <f>IF(LEN(INDEX('Aides'!$V$4:$V$503,313))=0,"",INDEX('Aides'!$V$4:$V$503,313))</f>
        <v/>
      </c>
    </row>
    <row r="317">
      <c r="A317">
        <f>IF(AND(LEN('Aides'!A317)&gt;0,ISNUMBER('Aides'!I317)),1,0)</f>
        <v/>
      </c>
      <c r="B317">
        <f>B316+A317</f>
        <v/>
      </c>
      <c r="C317">
        <f>IF(314&gt;$B$1503,"",MATCH(314-0.5,$B$3:$B$1503,1))</f>
        <v/>
      </c>
      <c r="D317">
        <f>"CNA certification ("&amp;IF(LEN(INDEX('Aides'!$C$4:$C$503,314))=0,"",INDEX('Aides'!$C$4:$C$503,314))&amp;") – "&amp;IF(LEN(INDEX('Aides'!$A$4:$A$503,314))=0,"",INDEX('Aides'!$A$4:$A$503,314))</f>
        <v/>
      </c>
      <c r="E317">
        <f>IF(ISNUMBER(INDEX('Aides'!$I$4:$I$503,314)),TEXT(INDEX('Aides'!$I$4:$I$503,314),"yyyy-mm-dd"),"")</f>
        <v/>
      </c>
      <c r="F317">
        <f>"Certification"</f>
        <v/>
      </c>
      <c r="G317">
        <f>"High"</f>
        <v/>
      </c>
      <c r="H317">
        <f>TRIM(IF(LEN(IF(LEN(INDEX('Aides'!$D$4:$D$503,314))=0,"",INDEX('Aides'!$D$4:$D$503,314)))=0,"","Registry no.: "&amp;IF(LEN(INDEX('Aides'!$D$4:$D$503,314))=0,"",INDEX('Aides'!$D$4:$D$503,314))&amp;". ")&amp;IF(LEN(IF(ISNUMBER(INDEX('Aides'!$F$4:$F$503,314)),TEXT(INDEX('Aides'!$F$4:$F$503,314),"yyyy-mm-dd"),""))=0,"","Registry expiry: "&amp;IF(ISNUMBER(INDEX('Aides'!$F$4:$F$503,314)),TEXT(INDEX('Aides'!$F$4:$F$503,314),"yyyy-mm-dd"),"")&amp;". ")&amp;IF(LEN(IF(ISNUMBER(INDEX('Aides'!$G$4:$G$503,314)),TEXT(INDEX('Aides'!$G$4:$G$503,314),"yyyy-mm-dd"),""))=0,"","Last paid nursing work: "&amp;IF(ISNUMBER(INDEX('Aides'!$G$4:$G$503,314)),TEXT(INDEX('Aides'!$G$4:$G$503,314),"yyyy-mm-dd"),"")&amp;". ")&amp;IF(LEN(IF(ISNUMBER(INDEX('Aides'!$H$4:$H$503,314)),TEXT(INDEX('Aides'!$H$4:$H$503,314),"yyyy-mm-dd"),""))=0,"","24-month cut-off: "&amp;IF(ISNUMBER(INDEX('Aides'!$H$4:$H$503,314)),TEXT(INDEX('Aides'!$H$4:$H$503,314),"yyyy-mm-dd"),"")&amp;". ")&amp;IF(LEN(IF(LEN(INDEX('Aides'!$U$4:$U$503,314))=0,"",INDEX('Aides'!$U$4:$U$503,314)))=0,"","Owner: "&amp;IF(LEN(INDEX('Aides'!$U$4:$U$503,314))=0,"",INDEX('Aides'!$U$4:$U$503,314))&amp;". ")&amp;IF(LEN(IF(LEN(INDEX('Aides'!$X$4:$X$503,314))=0,"",INDEX('Aides'!$X$4:$X$503,314)))=0,"",IF(LEN(INDEX('Aides'!$X$4:$X$503,314))=0,"",INDEX('Aides'!$X$4:$X$503,314))))</f>
        <v/>
      </c>
      <c r="I317">
        <f>IF(LEN(INDEX('Aides'!$W$4:$W$503,314))=0,"",INDEX('Aides'!$W$4:$W$503,314))</f>
        <v/>
      </c>
      <c r="J317">
        <f>IF(LEN(INDEX('Aides'!$V$4:$V$503,314))=0,"",INDEX('Aides'!$V$4:$V$503,314))</f>
        <v/>
      </c>
    </row>
    <row r="318">
      <c r="A318">
        <f>IF(AND(LEN('Aides'!A318)&gt;0,ISNUMBER('Aides'!I318)),1,0)</f>
        <v/>
      </c>
      <c r="B318">
        <f>B317+A318</f>
        <v/>
      </c>
      <c r="C318">
        <f>IF(315&gt;$B$1503,"",MATCH(315-0.5,$B$3:$B$1503,1))</f>
        <v/>
      </c>
      <c r="D318">
        <f>"CNA certification ("&amp;IF(LEN(INDEX('Aides'!$C$4:$C$503,315))=0,"",INDEX('Aides'!$C$4:$C$503,315))&amp;") – "&amp;IF(LEN(INDEX('Aides'!$A$4:$A$503,315))=0,"",INDEX('Aides'!$A$4:$A$503,315))</f>
        <v/>
      </c>
      <c r="E318">
        <f>IF(ISNUMBER(INDEX('Aides'!$I$4:$I$503,315)),TEXT(INDEX('Aides'!$I$4:$I$503,315),"yyyy-mm-dd"),"")</f>
        <v/>
      </c>
      <c r="F318">
        <f>"Certification"</f>
        <v/>
      </c>
      <c r="G318">
        <f>"High"</f>
        <v/>
      </c>
      <c r="H318">
        <f>TRIM(IF(LEN(IF(LEN(INDEX('Aides'!$D$4:$D$503,315))=0,"",INDEX('Aides'!$D$4:$D$503,315)))=0,"","Registry no.: "&amp;IF(LEN(INDEX('Aides'!$D$4:$D$503,315))=0,"",INDEX('Aides'!$D$4:$D$503,315))&amp;". ")&amp;IF(LEN(IF(ISNUMBER(INDEX('Aides'!$F$4:$F$503,315)),TEXT(INDEX('Aides'!$F$4:$F$503,315),"yyyy-mm-dd"),""))=0,"","Registry expiry: "&amp;IF(ISNUMBER(INDEX('Aides'!$F$4:$F$503,315)),TEXT(INDEX('Aides'!$F$4:$F$503,315),"yyyy-mm-dd"),"")&amp;". ")&amp;IF(LEN(IF(ISNUMBER(INDEX('Aides'!$G$4:$G$503,315)),TEXT(INDEX('Aides'!$G$4:$G$503,315),"yyyy-mm-dd"),""))=0,"","Last paid nursing work: "&amp;IF(ISNUMBER(INDEX('Aides'!$G$4:$G$503,315)),TEXT(INDEX('Aides'!$G$4:$G$503,315),"yyyy-mm-dd"),"")&amp;". ")&amp;IF(LEN(IF(ISNUMBER(INDEX('Aides'!$H$4:$H$503,315)),TEXT(INDEX('Aides'!$H$4:$H$503,315),"yyyy-mm-dd"),""))=0,"","24-month cut-off: "&amp;IF(ISNUMBER(INDEX('Aides'!$H$4:$H$503,315)),TEXT(INDEX('Aides'!$H$4:$H$503,315),"yyyy-mm-dd"),"")&amp;". ")&amp;IF(LEN(IF(LEN(INDEX('Aides'!$U$4:$U$503,315))=0,"",INDEX('Aides'!$U$4:$U$503,315)))=0,"","Owner: "&amp;IF(LEN(INDEX('Aides'!$U$4:$U$503,315))=0,"",INDEX('Aides'!$U$4:$U$503,315))&amp;". ")&amp;IF(LEN(IF(LEN(INDEX('Aides'!$X$4:$X$503,315))=0,"",INDEX('Aides'!$X$4:$X$503,315)))=0,"",IF(LEN(INDEX('Aides'!$X$4:$X$503,315))=0,"",INDEX('Aides'!$X$4:$X$503,315))))</f>
        <v/>
      </c>
      <c r="I318">
        <f>IF(LEN(INDEX('Aides'!$W$4:$W$503,315))=0,"",INDEX('Aides'!$W$4:$W$503,315))</f>
        <v/>
      </c>
      <c r="J318">
        <f>IF(LEN(INDEX('Aides'!$V$4:$V$503,315))=0,"",INDEX('Aides'!$V$4:$V$503,315))</f>
        <v/>
      </c>
    </row>
    <row r="319">
      <c r="A319">
        <f>IF(AND(LEN('Aides'!A319)&gt;0,ISNUMBER('Aides'!I319)),1,0)</f>
        <v/>
      </c>
      <c r="B319">
        <f>B318+A319</f>
        <v/>
      </c>
      <c r="C319">
        <f>IF(316&gt;$B$1503,"",MATCH(316-0.5,$B$3:$B$1503,1))</f>
        <v/>
      </c>
      <c r="D319">
        <f>"CNA certification ("&amp;IF(LEN(INDEX('Aides'!$C$4:$C$503,316))=0,"",INDEX('Aides'!$C$4:$C$503,316))&amp;") – "&amp;IF(LEN(INDEX('Aides'!$A$4:$A$503,316))=0,"",INDEX('Aides'!$A$4:$A$503,316))</f>
        <v/>
      </c>
      <c r="E319">
        <f>IF(ISNUMBER(INDEX('Aides'!$I$4:$I$503,316)),TEXT(INDEX('Aides'!$I$4:$I$503,316),"yyyy-mm-dd"),"")</f>
        <v/>
      </c>
      <c r="F319">
        <f>"Certification"</f>
        <v/>
      </c>
      <c r="G319">
        <f>"High"</f>
        <v/>
      </c>
      <c r="H319">
        <f>TRIM(IF(LEN(IF(LEN(INDEX('Aides'!$D$4:$D$503,316))=0,"",INDEX('Aides'!$D$4:$D$503,316)))=0,"","Registry no.: "&amp;IF(LEN(INDEX('Aides'!$D$4:$D$503,316))=0,"",INDEX('Aides'!$D$4:$D$503,316))&amp;". ")&amp;IF(LEN(IF(ISNUMBER(INDEX('Aides'!$F$4:$F$503,316)),TEXT(INDEX('Aides'!$F$4:$F$503,316),"yyyy-mm-dd"),""))=0,"","Registry expiry: "&amp;IF(ISNUMBER(INDEX('Aides'!$F$4:$F$503,316)),TEXT(INDEX('Aides'!$F$4:$F$503,316),"yyyy-mm-dd"),"")&amp;". ")&amp;IF(LEN(IF(ISNUMBER(INDEX('Aides'!$G$4:$G$503,316)),TEXT(INDEX('Aides'!$G$4:$G$503,316),"yyyy-mm-dd"),""))=0,"","Last paid nursing work: "&amp;IF(ISNUMBER(INDEX('Aides'!$G$4:$G$503,316)),TEXT(INDEX('Aides'!$G$4:$G$503,316),"yyyy-mm-dd"),"")&amp;". ")&amp;IF(LEN(IF(ISNUMBER(INDEX('Aides'!$H$4:$H$503,316)),TEXT(INDEX('Aides'!$H$4:$H$503,316),"yyyy-mm-dd"),""))=0,"","24-month cut-off: "&amp;IF(ISNUMBER(INDEX('Aides'!$H$4:$H$503,316)),TEXT(INDEX('Aides'!$H$4:$H$503,316),"yyyy-mm-dd"),"")&amp;". ")&amp;IF(LEN(IF(LEN(INDEX('Aides'!$U$4:$U$503,316))=0,"",INDEX('Aides'!$U$4:$U$503,316)))=0,"","Owner: "&amp;IF(LEN(INDEX('Aides'!$U$4:$U$503,316))=0,"",INDEX('Aides'!$U$4:$U$503,316))&amp;". ")&amp;IF(LEN(IF(LEN(INDEX('Aides'!$X$4:$X$503,316))=0,"",INDEX('Aides'!$X$4:$X$503,316)))=0,"",IF(LEN(INDEX('Aides'!$X$4:$X$503,316))=0,"",INDEX('Aides'!$X$4:$X$503,316))))</f>
        <v/>
      </c>
      <c r="I319">
        <f>IF(LEN(INDEX('Aides'!$W$4:$W$503,316))=0,"",INDEX('Aides'!$W$4:$W$503,316))</f>
        <v/>
      </c>
      <c r="J319">
        <f>IF(LEN(INDEX('Aides'!$V$4:$V$503,316))=0,"",INDEX('Aides'!$V$4:$V$503,316))</f>
        <v/>
      </c>
    </row>
    <row r="320">
      <c r="A320">
        <f>IF(AND(LEN('Aides'!A320)&gt;0,ISNUMBER('Aides'!I320)),1,0)</f>
        <v/>
      </c>
      <c r="B320">
        <f>B319+A320</f>
        <v/>
      </c>
      <c r="C320">
        <f>IF(317&gt;$B$1503,"",MATCH(317-0.5,$B$3:$B$1503,1))</f>
        <v/>
      </c>
      <c r="D320">
        <f>"CNA certification ("&amp;IF(LEN(INDEX('Aides'!$C$4:$C$503,317))=0,"",INDEX('Aides'!$C$4:$C$503,317))&amp;") – "&amp;IF(LEN(INDEX('Aides'!$A$4:$A$503,317))=0,"",INDEX('Aides'!$A$4:$A$503,317))</f>
        <v/>
      </c>
      <c r="E320">
        <f>IF(ISNUMBER(INDEX('Aides'!$I$4:$I$503,317)),TEXT(INDEX('Aides'!$I$4:$I$503,317),"yyyy-mm-dd"),"")</f>
        <v/>
      </c>
      <c r="F320">
        <f>"Certification"</f>
        <v/>
      </c>
      <c r="G320">
        <f>"High"</f>
        <v/>
      </c>
      <c r="H320">
        <f>TRIM(IF(LEN(IF(LEN(INDEX('Aides'!$D$4:$D$503,317))=0,"",INDEX('Aides'!$D$4:$D$503,317)))=0,"","Registry no.: "&amp;IF(LEN(INDEX('Aides'!$D$4:$D$503,317))=0,"",INDEX('Aides'!$D$4:$D$503,317))&amp;". ")&amp;IF(LEN(IF(ISNUMBER(INDEX('Aides'!$F$4:$F$503,317)),TEXT(INDEX('Aides'!$F$4:$F$503,317),"yyyy-mm-dd"),""))=0,"","Registry expiry: "&amp;IF(ISNUMBER(INDEX('Aides'!$F$4:$F$503,317)),TEXT(INDEX('Aides'!$F$4:$F$503,317),"yyyy-mm-dd"),"")&amp;". ")&amp;IF(LEN(IF(ISNUMBER(INDEX('Aides'!$G$4:$G$503,317)),TEXT(INDEX('Aides'!$G$4:$G$503,317),"yyyy-mm-dd"),""))=0,"","Last paid nursing work: "&amp;IF(ISNUMBER(INDEX('Aides'!$G$4:$G$503,317)),TEXT(INDEX('Aides'!$G$4:$G$503,317),"yyyy-mm-dd"),"")&amp;". ")&amp;IF(LEN(IF(ISNUMBER(INDEX('Aides'!$H$4:$H$503,317)),TEXT(INDEX('Aides'!$H$4:$H$503,317),"yyyy-mm-dd"),""))=0,"","24-month cut-off: "&amp;IF(ISNUMBER(INDEX('Aides'!$H$4:$H$503,317)),TEXT(INDEX('Aides'!$H$4:$H$503,317),"yyyy-mm-dd"),"")&amp;". ")&amp;IF(LEN(IF(LEN(INDEX('Aides'!$U$4:$U$503,317))=0,"",INDEX('Aides'!$U$4:$U$503,317)))=0,"","Owner: "&amp;IF(LEN(INDEX('Aides'!$U$4:$U$503,317))=0,"",INDEX('Aides'!$U$4:$U$503,317))&amp;". ")&amp;IF(LEN(IF(LEN(INDEX('Aides'!$X$4:$X$503,317))=0,"",INDEX('Aides'!$X$4:$X$503,317)))=0,"",IF(LEN(INDEX('Aides'!$X$4:$X$503,317))=0,"",INDEX('Aides'!$X$4:$X$503,317))))</f>
        <v/>
      </c>
      <c r="I320">
        <f>IF(LEN(INDEX('Aides'!$W$4:$W$503,317))=0,"",INDEX('Aides'!$W$4:$W$503,317))</f>
        <v/>
      </c>
      <c r="J320">
        <f>IF(LEN(INDEX('Aides'!$V$4:$V$503,317))=0,"",INDEX('Aides'!$V$4:$V$503,317))</f>
        <v/>
      </c>
    </row>
    <row r="321">
      <c r="A321">
        <f>IF(AND(LEN('Aides'!A321)&gt;0,ISNUMBER('Aides'!I321)),1,0)</f>
        <v/>
      </c>
      <c r="B321">
        <f>B320+A321</f>
        <v/>
      </c>
      <c r="C321">
        <f>IF(318&gt;$B$1503,"",MATCH(318-0.5,$B$3:$B$1503,1))</f>
        <v/>
      </c>
      <c r="D321">
        <f>"CNA certification ("&amp;IF(LEN(INDEX('Aides'!$C$4:$C$503,318))=0,"",INDEX('Aides'!$C$4:$C$503,318))&amp;") – "&amp;IF(LEN(INDEX('Aides'!$A$4:$A$503,318))=0,"",INDEX('Aides'!$A$4:$A$503,318))</f>
        <v/>
      </c>
      <c r="E321">
        <f>IF(ISNUMBER(INDEX('Aides'!$I$4:$I$503,318)),TEXT(INDEX('Aides'!$I$4:$I$503,318),"yyyy-mm-dd"),"")</f>
        <v/>
      </c>
      <c r="F321">
        <f>"Certification"</f>
        <v/>
      </c>
      <c r="G321">
        <f>"High"</f>
        <v/>
      </c>
      <c r="H321">
        <f>TRIM(IF(LEN(IF(LEN(INDEX('Aides'!$D$4:$D$503,318))=0,"",INDEX('Aides'!$D$4:$D$503,318)))=0,"","Registry no.: "&amp;IF(LEN(INDEX('Aides'!$D$4:$D$503,318))=0,"",INDEX('Aides'!$D$4:$D$503,318))&amp;". ")&amp;IF(LEN(IF(ISNUMBER(INDEX('Aides'!$F$4:$F$503,318)),TEXT(INDEX('Aides'!$F$4:$F$503,318),"yyyy-mm-dd"),""))=0,"","Registry expiry: "&amp;IF(ISNUMBER(INDEX('Aides'!$F$4:$F$503,318)),TEXT(INDEX('Aides'!$F$4:$F$503,318),"yyyy-mm-dd"),"")&amp;". ")&amp;IF(LEN(IF(ISNUMBER(INDEX('Aides'!$G$4:$G$503,318)),TEXT(INDEX('Aides'!$G$4:$G$503,318),"yyyy-mm-dd"),""))=0,"","Last paid nursing work: "&amp;IF(ISNUMBER(INDEX('Aides'!$G$4:$G$503,318)),TEXT(INDEX('Aides'!$G$4:$G$503,318),"yyyy-mm-dd"),"")&amp;". ")&amp;IF(LEN(IF(ISNUMBER(INDEX('Aides'!$H$4:$H$503,318)),TEXT(INDEX('Aides'!$H$4:$H$503,318),"yyyy-mm-dd"),""))=0,"","24-month cut-off: "&amp;IF(ISNUMBER(INDEX('Aides'!$H$4:$H$503,318)),TEXT(INDEX('Aides'!$H$4:$H$503,318),"yyyy-mm-dd"),"")&amp;". ")&amp;IF(LEN(IF(LEN(INDEX('Aides'!$U$4:$U$503,318))=0,"",INDEX('Aides'!$U$4:$U$503,318)))=0,"","Owner: "&amp;IF(LEN(INDEX('Aides'!$U$4:$U$503,318))=0,"",INDEX('Aides'!$U$4:$U$503,318))&amp;". ")&amp;IF(LEN(IF(LEN(INDEX('Aides'!$X$4:$X$503,318))=0,"",INDEX('Aides'!$X$4:$X$503,318)))=0,"",IF(LEN(INDEX('Aides'!$X$4:$X$503,318))=0,"",INDEX('Aides'!$X$4:$X$503,318))))</f>
        <v/>
      </c>
      <c r="I321">
        <f>IF(LEN(INDEX('Aides'!$W$4:$W$503,318))=0,"",INDEX('Aides'!$W$4:$W$503,318))</f>
        <v/>
      </c>
      <c r="J321">
        <f>IF(LEN(INDEX('Aides'!$V$4:$V$503,318))=0,"",INDEX('Aides'!$V$4:$V$503,318))</f>
        <v/>
      </c>
    </row>
    <row r="322">
      <c r="A322">
        <f>IF(AND(LEN('Aides'!A322)&gt;0,ISNUMBER('Aides'!I322)),1,0)</f>
        <v/>
      </c>
      <c r="B322">
        <f>B321+A322</f>
        <v/>
      </c>
      <c r="C322">
        <f>IF(319&gt;$B$1503,"",MATCH(319-0.5,$B$3:$B$1503,1))</f>
        <v/>
      </c>
      <c r="D322">
        <f>"CNA certification ("&amp;IF(LEN(INDEX('Aides'!$C$4:$C$503,319))=0,"",INDEX('Aides'!$C$4:$C$503,319))&amp;") – "&amp;IF(LEN(INDEX('Aides'!$A$4:$A$503,319))=0,"",INDEX('Aides'!$A$4:$A$503,319))</f>
        <v/>
      </c>
      <c r="E322">
        <f>IF(ISNUMBER(INDEX('Aides'!$I$4:$I$503,319)),TEXT(INDEX('Aides'!$I$4:$I$503,319),"yyyy-mm-dd"),"")</f>
        <v/>
      </c>
      <c r="F322">
        <f>"Certification"</f>
        <v/>
      </c>
      <c r="G322">
        <f>"High"</f>
        <v/>
      </c>
      <c r="H322">
        <f>TRIM(IF(LEN(IF(LEN(INDEX('Aides'!$D$4:$D$503,319))=0,"",INDEX('Aides'!$D$4:$D$503,319)))=0,"","Registry no.: "&amp;IF(LEN(INDEX('Aides'!$D$4:$D$503,319))=0,"",INDEX('Aides'!$D$4:$D$503,319))&amp;". ")&amp;IF(LEN(IF(ISNUMBER(INDEX('Aides'!$F$4:$F$503,319)),TEXT(INDEX('Aides'!$F$4:$F$503,319),"yyyy-mm-dd"),""))=0,"","Registry expiry: "&amp;IF(ISNUMBER(INDEX('Aides'!$F$4:$F$503,319)),TEXT(INDEX('Aides'!$F$4:$F$503,319),"yyyy-mm-dd"),"")&amp;". ")&amp;IF(LEN(IF(ISNUMBER(INDEX('Aides'!$G$4:$G$503,319)),TEXT(INDEX('Aides'!$G$4:$G$503,319),"yyyy-mm-dd"),""))=0,"","Last paid nursing work: "&amp;IF(ISNUMBER(INDEX('Aides'!$G$4:$G$503,319)),TEXT(INDEX('Aides'!$G$4:$G$503,319),"yyyy-mm-dd"),"")&amp;". ")&amp;IF(LEN(IF(ISNUMBER(INDEX('Aides'!$H$4:$H$503,319)),TEXT(INDEX('Aides'!$H$4:$H$503,319),"yyyy-mm-dd"),""))=0,"","24-month cut-off: "&amp;IF(ISNUMBER(INDEX('Aides'!$H$4:$H$503,319)),TEXT(INDEX('Aides'!$H$4:$H$503,319),"yyyy-mm-dd"),"")&amp;". ")&amp;IF(LEN(IF(LEN(INDEX('Aides'!$U$4:$U$503,319))=0,"",INDEX('Aides'!$U$4:$U$503,319)))=0,"","Owner: "&amp;IF(LEN(INDEX('Aides'!$U$4:$U$503,319))=0,"",INDEX('Aides'!$U$4:$U$503,319))&amp;". ")&amp;IF(LEN(IF(LEN(INDEX('Aides'!$X$4:$X$503,319))=0,"",INDEX('Aides'!$X$4:$X$503,319)))=0,"",IF(LEN(INDEX('Aides'!$X$4:$X$503,319))=0,"",INDEX('Aides'!$X$4:$X$503,319))))</f>
        <v/>
      </c>
      <c r="I322">
        <f>IF(LEN(INDEX('Aides'!$W$4:$W$503,319))=0,"",INDEX('Aides'!$W$4:$W$503,319))</f>
        <v/>
      </c>
      <c r="J322">
        <f>IF(LEN(INDEX('Aides'!$V$4:$V$503,319))=0,"",INDEX('Aides'!$V$4:$V$503,319))</f>
        <v/>
      </c>
    </row>
    <row r="323">
      <c r="A323">
        <f>IF(AND(LEN('Aides'!A323)&gt;0,ISNUMBER('Aides'!I323)),1,0)</f>
        <v/>
      </c>
      <c r="B323">
        <f>B322+A323</f>
        <v/>
      </c>
      <c r="C323">
        <f>IF(320&gt;$B$1503,"",MATCH(320-0.5,$B$3:$B$1503,1))</f>
        <v/>
      </c>
      <c r="D323">
        <f>"CNA certification ("&amp;IF(LEN(INDEX('Aides'!$C$4:$C$503,320))=0,"",INDEX('Aides'!$C$4:$C$503,320))&amp;") – "&amp;IF(LEN(INDEX('Aides'!$A$4:$A$503,320))=0,"",INDEX('Aides'!$A$4:$A$503,320))</f>
        <v/>
      </c>
      <c r="E323">
        <f>IF(ISNUMBER(INDEX('Aides'!$I$4:$I$503,320)),TEXT(INDEX('Aides'!$I$4:$I$503,320),"yyyy-mm-dd"),"")</f>
        <v/>
      </c>
      <c r="F323">
        <f>"Certification"</f>
        <v/>
      </c>
      <c r="G323">
        <f>"High"</f>
        <v/>
      </c>
      <c r="H323">
        <f>TRIM(IF(LEN(IF(LEN(INDEX('Aides'!$D$4:$D$503,320))=0,"",INDEX('Aides'!$D$4:$D$503,320)))=0,"","Registry no.: "&amp;IF(LEN(INDEX('Aides'!$D$4:$D$503,320))=0,"",INDEX('Aides'!$D$4:$D$503,320))&amp;". ")&amp;IF(LEN(IF(ISNUMBER(INDEX('Aides'!$F$4:$F$503,320)),TEXT(INDEX('Aides'!$F$4:$F$503,320),"yyyy-mm-dd"),""))=0,"","Registry expiry: "&amp;IF(ISNUMBER(INDEX('Aides'!$F$4:$F$503,320)),TEXT(INDEX('Aides'!$F$4:$F$503,320),"yyyy-mm-dd"),"")&amp;". ")&amp;IF(LEN(IF(ISNUMBER(INDEX('Aides'!$G$4:$G$503,320)),TEXT(INDEX('Aides'!$G$4:$G$503,320),"yyyy-mm-dd"),""))=0,"","Last paid nursing work: "&amp;IF(ISNUMBER(INDEX('Aides'!$G$4:$G$503,320)),TEXT(INDEX('Aides'!$G$4:$G$503,320),"yyyy-mm-dd"),"")&amp;". ")&amp;IF(LEN(IF(ISNUMBER(INDEX('Aides'!$H$4:$H$503,320)),TEXT(INDEX('Aides'!$H$4:$H$503,320),"yyyy-mm-dd"),""))=0,"","24-month cut-off: "&amp;IF(ISNUMBER(INDEX('Aides'!$H$4:$H$503,320)),TEXT(INDEX('Aides'!$H$4:$H$503,320),"yyyy-mm-dd"),"")&amp;". ")&amp;IF(LEN(IF(LEN(INDEX('Aides'!$U$4:$U$503,320))=0,"",INDEX('Aides'!$U$4:$U$503,320)))=0,"","Owner: "&amp;IF(LEN(INDEX('Aides'!$U$4:$U$503,320))=0,"",INDEX('Aides'!$U$4:$U$503,320))&amp;". ")&amp;IF(LEN(IF(LEN(INDEX('Aides'!$X$4:$X$503,320))=0,"",INDEX('Aides'!$X$4:$X$503,320)))=0,"",IF(LEN(INDEX('Aides'!$X$4:$X$503,320))=0,"",INDEX('Aides'!$X$4:$X$503,320))))</f>
        <v/>
      </c>
      <c r="I323">
        <f>IF(LEN(INDEX('Aides'!$W$4:$W$503,320))=0,"",INDEX('Aides'!$W$4:$W$503,320))</f>
        <v/>
      </c>
      <c r="J323">
        <f>IF(LEN(INDEX('Aides'!$V$4:$V$503,320))=0,"",INDEX('Aides'!$V$4:$V$503,320))</f>
        <v/>
      </c>
    </row>
    <row r="324">
      <c r="A324">
        <f>IF(AND(LEN('Aides'!A324)&gt;0,ISNUMBER('Aides'!I324)),1,0)</f>
        <v/>
      </c>
      <c r="B324">
        <f>B323+A324</f>
        <v/>
      </c>
      <c r="C324">
        <f>IF(321&gt;$B$1503,"",MATCH(321-0.5,$B$3:$B$1503,1))</f>
        <v/>
      </c>
      <c r="D324">
        <f>"CNA certification ("&amp;IF(LEN(INDEX('Aides'!$C$4:$C$503,321))=0,"",INDEX('Aides'!$C$4:$C$503,321))&amp;") – "&amp;IF(LEN(INDEX('Aides'!$A$4:$A$503,321))=0,"",INDEX('Aides'!$A$4:$A$503,321))</f>
        <v/>
      </c>
      <c r="E324">
        <f>IF(ISNUMBER(INDEX('Aides'!$I$4:$I$503,321)),TEXT(INDEX('Aides'!$I$4:$I$503,321),"yyyy-mm-dd"),"")</f>
        <v/>
      </c>
      <c r="F324">
        <f>"Certification"</f>
        <v/>
      </c>
      <c r="G324">
        <f>"High"</f>
        <v/>
      </c>
      <c r="H324">
        <f>TRIM(IF(LEN(IF(LEN(INDEX('Aides'!$D$4:$D$503,321))=0,"",INDEX('Aides'!$D$4:$D$503,321)))=0,"","Registry no.: "&amp;IF(LEN(INDEX('Aides'!$D$4:$D$503,321))=0,"",INDEX('Aides'!$D$4:$D$503,321))&amp;". ")&amp;IF(LEN(IF(ISNUMBER(INDEX('Aides'!$F$4:$F$503,321)),TEXT(INDEX('Aides'!$F$4:$F$503,321),"yyyy-mm-dd"),""))=0,"","Registry expiry: "&amp;IF(ISNUMBER(INDEX('Aides'!$F$4:$F$503,321)),TEXT(INDEX('Aides'!$F$4:$F$503,321),"yyyy-mm-dd"),"")&amp;". ")&amp;IF(LEN(IF(ISNUMBER(INDEX('Aides'!$G$4:$G$503,321)),TEXT(INDEX('Aides'!$G$4:$G$503,321),"yyyy-mm-dd"),""))=0,"","Last paid nursing work: "&amp;IF(ISNUMBER(INDEX('Aides'!$G$4:$G$503,321)),TEXT(INDEX('Aides'!$G$4:$G$503,321),"yyyy-mm-dd"),"")&amp;". ")&amp;IF(LEN(IF(ISNUMBER(INDEX('Aides'!$H$4:$H$503,321)),TEXT(INDEX('Aides'!$H$4:$H$503,321),"yyyy-mm-dd"),""))=0,"","24-month cut-off: "&amp;IF(ISNUMBER(INDEX('Aides'!$H$4:$H$503,321)),TEXT(INDEX('Aides'!$H$4:$H$503,321),"yyyy-mm-dd"),"")&amp;". ")&amp;IF(LEN(IF(LEN(INDEX('Aides'!$U$4:$U$503,321))=0,"",INDEX('Aides'!$U$4:$U$503,321)))=0,"","Owner: "&amp;IF(LEN(INDEX('Aides'!$U$4:$U$503,321))=0,"",INDEX('Aides'!$U$4:$U$503,321))&amp;". ")&amp;IF(LEN(IF(LEN(INDEX('Aides'!$X$4:$X$503,321))=0,"",INDEX('Aides'!$X$4:$X$503,321)))=0,"",IF(LEN(INDEX('Aides'!$X$4:$X$503,321))=0,"",INDEX('Aides'!$X$4:$X$503,321))))</f>
        <v/>
      </c>
      <c r="I324">
        <f>IF(LEN(INDEX('Aides'!$W$4:$W$503,321))=0,"",INDEX('Aides'!$W$4:$W$503,321))</f>
        <v/>
      </c>
      <c r="J324">
        <f>IF(LEN(INDEX('Aides'!$V$4:$V$503,321))=0,"",INDEX('Aides'!$V$4:$V$503,321))</f>
        <v/>
      </c>
    </row>
    <row r="325">
      <c r="A325">
        <f>IF(AND(LEN('Aides'!A325)&gt;0,ISNUMBER('Aides'!I325)),1,0)</f>
        <v/>
      </c>
      <c r="B325">
        <f>B324+A325</f>
        <v/>
      </c>
      <c r="C325">
        <f>IF(322&gt;$B$1503,"",MATCH(322-0.5,$B$3:$B$1503,1))</f>
        <v/>
      </c>
      <c r="D325">
        <f>"CNA certification ("&amp;IF(LEN(INDEX('Aides'!$C$4:$C$503,322))=0,"",INDEX('Aides'!$C$4:$C$503,322))&amp;") – "&amp;IF(LEN(INDEX('Aides'!$A$4:$A$503,322))=0,"",INDEX('Aides'!$A$4:$A$503,322))</f>
        <v/>
      </c>
      <c r="E325">
        <f>IF(ISNUMBER(INDEX('Aides'!$I$4:$I$503,322)),TEXT(INDEX('Aides'!$I$4:$I$503,322),"yyyy-mm-dd"),"")</f>
        <v/>
      </c>
      <c r="F325">
        <f>"Certification"</f>
        <v/>
      </c>
      <c r="G325">
        <f>"High"</f>
        <v/>
      </c>
      <c r="H325">
        <f>TRIM(IF(LEN(IF(LEN(INDEX('Aides'!$D$4:$D$503,322))=0,"",INDEX('Aides'!$D$4:$D$503,322)))=0,"","Registry no.: "&amp;IF(LEN(INDEX('Aides'!$D$4:$D$503,322))=0,"",INDEX('Aides'!$D$4:$D$503,322))&amp;". ")&amp;IF(LEN(IF(ISNUMBER(INDEX('Aides'!$F$4:$F$503,322)),TEXT(INDEX('Aides'!$F$4:$F$503,322),"yyyy-mm-dd"),""))=0,"","Registry expiry: "&amp;IF(ISNUMBER(INDEX('Aides'!$F$4:$F$503,322)),TEXT(INDEX('Aides'!$F$4:$F$503,322),"yyyy-mm-dd"),"")&amp;". ")&amp;IF(LEN(IF(ISNUMBER(INDEX('Aides'!$G$4:$G$503,322)),TEXT(INDEX('Aides'!$G$4:$G$503,322),"yyyy-mm-dd"),""))=0,"","Last paid nursing work: "&amp;IF(ISNUMBER(INDEX('Aides'!$G$4:$G$503,322)),TEXT(INDEX('Aides'!$G$4:$G$503,322),"yyyy-mm-dd"),"")&amp;". ")&amp;IF(LEN(IF(ISNUMBER(INDEX('Aides'!$H$4:$H$503,322)),TEXT(INDEX('Aides'!$H$4:$H$503,322),"yyyy-mm-dd"),""))=0,"","24-month cut-off: "&amp;IF(ISNUMBER(INDEX('Aides'!$H$4:$H$503,322)),TEXT(INDEX('Aides'!$H$4:$H$503,322),"yyyy-mm-dd"),"")&amp;". ")&amp;IF(LEN(IF(LEN(INDEX('Aides'!$U$4:$U$503,322))=0,"",INDEX('Aides'!$U$4:$U$503,322)))=0,"","Owner: "&amp;IF(LEN(INDEX('Aides'!$U$4:$U$503,322))=0,"",INDEX('Aides'!$U$4:$U$503,322))&amp;". ")&amp;IF(LEN(IF(LEN(INDEX('Aides'!$X$4:$X$503,322))=0,"",INDEX('Aides'!$X$4:$X$503,322)))=0,"",IF(LEN(INDEX('Aides'!$X$4:$X$503,322))=0,"",INDEX('Aides'!$X$4:$X$503,322))))</f>
        <v/>
      </c>
      <c r="I325">
        <f>IF(LEN(INDEX('Aides'!$W$4:$W$503,322))=0,"",INDEX('Aides'!$W$4:$W$503,322))</f>
        <v/>
      </c>
      <c r="J325">
        <f>IF(LEN(INDEX('Aides'!$V$4:$V$503,322))=0,"",INDEX('Aides'!$V$4:$V$503,322))</f>
        <v/>
      </c>
    </row>
    <row r="326">
      <c r="A326">
        <f>IF(AND(LEN('Aides'!A326)&gt;0,ISNUMBER('Aides'!I326)),1,0)</f>
        <v/>
      </c>
      <c r="B326">
        <f>B325+A326</f>
        <v/>
      </c>
      <c r="C326">
        <f>IF(323&gt;$B$1503,"",MATCH(323-0.5,$B$3:$B$1503,1))</f>
        <v/>
      </c>
      <c r="D326">
        <f>"CNA certification ("&amp;IF(LEN(INDEX('Aides'!$C$4:$C$503,323))=0,"",INDEX('Aides'!$C$4:$C$503,323))&amp;") – "&amp;IF(LEN(INDEX('Aides'!$A$4:$A$503,323))=0,"",INDEX('Aides'!$A$4:$A$503,323))</f>
        <v/>
      </c>
      <c r="E326">
        <f>IF(ISNUMBER(INDEX('Aides'!$I$4:$I$503,323)),TEXT(INDEX('Aides'!$I$4:$I$503,323),"yyyy-mm-dd"),"")</f>
        <v/>
      </c>
      <c r="F326">
        <f>"Certification"</f>
        <v/>
      </c>
      <c r="G326">
        <f>"High"</f>
        <v/>
      </c>
      <c r="H326">
        <f>TRIM(IF(LEN(IF(LEN(INDEX('Aides'!$D$4:$D$503,323))=0,"",INDEX('Aides'!$D$4:$D$503,323)))=0,"","Registry no.: "&amp;IF(LEN(INDEX('Aides'!$D$4:$D$503,323))=0,"",INDEX('Aides'!$D$4:$D$503,323))&amp;". ")&amp;IF(LEN(IF(ISNUMBER(INDEX('Aides'!$F$4:$F$503,323)),TEXT(INDEX('Aides'!$F$4:$F$503,323),"yyyy-mm-dd"),""))=0,"","Registry expiry: "&amp;IF(ISNUMBER(INDEX('Aides'!$F$4:$F$503,323)),TEXT(INDEX('Aides'!$F$4:$F$503,323),"yyyy-mm-dd"),"")&amp;". ")&amp;IF(LEN(IF(ISNUMBER(INDEX('Aides'!$G$4:$G$503,323)),TEXT(INDEX('Aides'!$G$4:$G$503,323),"yyyy-mm-dd"),""))=0,"","Last paid nursing work: "&amp;IF(ISNUMBER(INDEX('Aides'!$G$4:$G$503,323)),TEXT(INDEX('Aides'!$G$4:$G$503,323),"yyyy-mm-dd"),"")&amp;". ")&amp;IF(LEN(IF(ISNUMBER(INDEX('Aides'!$H$4:$H$503,323)),TEXT(INDEX('Aides'!$H$4:$H$503,323),"yyyy-mm-dd"),""))=0,"","24-month cut-off: "&amp;IF(ISNUMBER(INDEX('Aides'!$H$4:$H$503,323)),TEXT(INDEX('Aides'!$H$4:$H$503,323),"yyyy-mm-dd"),"")&amp;". ")&amp;IF(LEN(IF(LEN(INDEX('Aides'!$U$4:$U$503,323))=0,"",INDEX('Aides'!$U$4:$U$503,323)))=0,"","Owner: "&amp;IF(LEN(INDEX('Aides'!$U$4:$U$503,323))=0,"",INDEX('Aides'!$U$4:$U$503,323))&amp;". ")&amp;IF(LEN(IF(LEN(INDEX('Aides'!$X$4:$X$503,323))=0,"",INDEX('Aides'!$X$4:$X$503,323)))=0,"",IF(LEN(INDEX('Aides'!$X$4:$X$503,323))=0,"",INDEX('Aides'!$X$4:$X$503,323))))</f>
        <v/>
      </c>
      <c r="I326">
        <f>IF(LEN(INDEX('Aides'!$W$4:$W$503,323))=0,"",INDEX('Aides'!$W$4:$W$503,323))</f>
        <v/>
      </c>
      <c r="J326">
        <f>IF(LEN(INDEX('Aides'!$V$4:$V$503,323))=0,"",INDEX('Aides'!$V$4:$V$503,323))</f>
        <v/>
      </c>
    </row>
    <row r="327">
      <c r="A327">
        <f>IF(AND(LEN('Aides'!A327)&gt;0,ISNUMBER('Aides'!I327)),1,0)</f>
        <v/>
      </c>
      <c r="B327">
        <f>B326+A327</f>
        <v/>
      </c>
      <c r="C327">
        <f>IF(324&gt;$B$1503,"",MATCH(324-0.5,$B$3:$B$1503,1))</f>
        <v/>
      </c>
      <c r="D327">
        <f>"CNA certification ("&amp;IF(LEN(INDEX('Aides'!$C$4:$C$503,324))=0,"",INDEX('Aides'!$C$4:$C$503,324))&amp;") – "&amp;IF(LEN(INDEX('Aides'!$A$4:$A$503,324))=0,"",INDEX('Aides'!$A$4:$A$503,324))</f>
        <v/>
      </c>
      <c r="E327">
        <f>IF(ISNUMBER(INDEX('Aides'!$I$4:$I$503,324)),TEXT(INDEX('Aides'!$I$4:$I$503,324),"yyyy-mm-dd"),"")</f>
        <v/>
      </c>
      <c r="F327">
        <f>"Certification"</f>
        <v/>
      </c>
      <c r="G327">
        <f>"High"</f>
        <v/>
      </c>
      <c r="H327">
        <f>TRIM(IF(LEN(IF(LEN(INDEX('Aides'!$D$4:$D$503,324))=0,"",INDEX('Aides'!$D$4:$D$503,324)))=0,"","Registry no.: "&amp;IF(LEN(INDEX('Aides'!$D$4:$D$503,324))=0,"",INDEX('Aides'!$D$4:$D$503,324))&amp;". ")&amp;IF(LEN(IF(ISNUMBER(INDEX('Aides'!$F$4:$F$503,324)),TEXT(INDEX('Aides'!$F$4:$F$503,324),"yyyy-mm-dd"),""))=0,"","Registry expiry: "&amp;IF(ISNUMBER(INDEX('Aides'!$F$4:$F$503,324)),TEXT(INDEX('Aides'!$F$4:$F$503,324),"yyyy-mm-dd"),"")&amp;". ")&amp;IF(LEN(IF(ISNUMBER(INDEX('Aides'!$G$4:$G$503,324)),TEXT(INDEX('Aides'!$G$4:$G$503,324),"yyyy-mm-dd"),""))=0,"","Last paid nursing work: "&amp;IF(ISNUMBER(INDEX('Aides'!$G$4:$G$503,324)),TEXT(INDEX('Aides'!$G$4:$G$503,324),"yyyy-mm-dd"),"")&amp;". ")&amp;IF(LEN(IF(ISNUMBER(INDEX('Aides'!$H$4:$H$503,324)),TEXT(INDEX('Aides'!$H$4:$H$503,324),"yyyy-mm-dd"),""))=0,"","24-month cut-off: "&amp;IF(ISNUMBER(INDEX('Aides'!$H$4:$H$503,324)),TEXT(INDEX('Aides'!$H$4:$H$503,324),"yyyy-mm-dd"),"")&amp;". ")&amp;IF(LEN(IF(LEN(INDEX('Aides'!$U$4:$U$503,324))=0,"",INDEX('Aides'!$U$4:$U$503,324)))=0,"","Owner: "&amp;IF(LEN(INDEX('Aides'!$U$4:$U$503,324))=0,"",INDEX('Aides'!$U$4:$U$503,324))&amp;". ")&amp;IF(LEN(IF(LEN(INDEX('Aides'!$X$4:$X$503,324))=0,"",INDEX('Aides'!$X$4:$X$503,324)))=0,"",IF(LEN(INDEX('Aides'!$X$4:$X$503,324))=0,"",INDEX('Aides'!$X$4:$X$503,324))))</f>
        <v/>
      </c>
      <c r="I327">
        <f>IF(LEN(INDEX('Aides'!$W$4:$W$503,324))=0,"",INDEX('Aides'!$W$4:$W$503,324))</f>
        <v/>
      </c>
      <c r="J327">
        <f>IF(LEN(INDEX('Aides'!$V$4:$V$503,324))=0,"",INDEX('Aides'!$V$4:$V$503,324))</f>
        <v/>
      </c>
    </row>
    <row r="328">
      <c r="A328">
        <f>IF(AND(LEN('Aides'!A328)&gt;0,ISNUMBER('Aides'!I328)),1,0)</f>
        <v/>
      </c>
      <c r="B328">
        <f>B327+A328</f>
        <v/>
      </c>
      <c r="C328">
        <f>IF(325&gt;$B$1503,"",MATCH(325-0.5,$B$3:$B$1503,1))</f>
        <v/>
      </c>
      <c r="D328">
        <f>"CNA certification ("&amp;IF(LEN(INDEX('Aides'!$C$4:$C$503,325))=0,"",INDEX('Aides'!$C$4:$C$503,325))&amp;") – "&amp;IF(LEN(INDEX('Aides'!$A$4:$A$503,325))=0,"",INDEX('Aides'!$A$4:$A$503,325))</f>
        <v/>
      </c>
      <c r="E328">
        <f>IF(ISNUMBER(INDEX('Aides'!$I$4:$I$503,325)),TEXT(INDEX('Aides'!$I$4:$I$503,325),"yyyy-mm-dd"),"")</f>
        <v/>
      </c>
      <c r="F328">
        <f>"Certification"</f>
        <v/>
      </c>
      <c r="G328">
        <f>"High"</f>
        <v/>
      </c>
      <c r="H328">
        <f>TRIM(IF(LEN(IF(LEN(INDEX('Aides'!$D$4:$D$503,325))=0,"",INDEX('Aides'!$D$4:$D$503,325)))=0,"","Registry no.: "&amp;IF(LEN(INDEX('Aides'!$D$4:$D$503,325))=0,"",INDEX('Aides'!$D$4:$D$503,325))&amp;". ")&amp;IF(LEN(IF(ISNUMBER(INDEX('Aides'!$F$4:$F$503,325)),TEXT(INDEX('Aides'!$F$4:$F$503,325),"yyyy-mm-dd"),""))=0,"","Registry expiry: "&amp;IF(ISNUMBER(INDEX('Aides'!$F$4:$F$503,325)),TEXT(INDEX('Aides'!$F$4:$F$503,325),"yyyy-mm-dd"),"")&amp;". ")&amp;IF(LEN(IF(ISNUMBER(INDEX('Aides'!$G$4:$G$503,325)),TEXT(INDEX('Aides'!$G$4:$G$503,325),"yyyy-mm-dd"),""))=0,"","Last paid nursing work: "&amp;IF(ISNUMBER(INDEX('Aides'!$G$4:$G$503,325)),TEXT(INDEX('Aides'!$G$4:$G$503,325),"yyyy-mm-dd"),"")&amp;". ")&amp;IF(LEN(IF(ISNUMBER(INDEX('Aides'!$H$4:$H$503,325)),TEXT(INDEX('Aides'!$H$4:$H$503,325),"yyyy-mm-dd"),""))=0,"","24-month cut-off: "&amp;IF(ISNUMBER(INDEX('Aides'!$H$4:$H$503,325)),TEXT(INDEX('Aides'!$H$4:$H$503,325),"yyyy-mm-dd"),"")&amp;". ")&amp;IF(LEN(IF(LEN(INDEX('Aides'!$U$4:$U$503,325))=0,"",INDEX('Aides'!$U$4:$U$503,325)))=0,"","Owner: "&amp;IF(LEN(INDEX('Aides'!$U$4:$U$503,325))=0,"",INDEX('Aides'!$U$4:$U$503,325))&amp;". ")&amp;IF(LEN(IF(LEN(INDEX('Aides'!$X$4:$X$503,325))=0,"",INDEX('Aides'!$X$4:$X$503,325)))=0,"",IF(LEN(INDEX('Aides'!$X$4:$X$503,325))=0,"",INDEX('Aides'!$X$4:$X$503,325))))</f>
        <v/>
      </c>
      <c r="I328">
        <f>IF(LEN(INDEX('Aides'!$W$4:$W$503,325))=0,"",INDEX('Aides'!$W$4:$W$503,325))</f>
        <v/>
      </c>
      <c r="J328">
        <f>IF(LEN(INDEX('Aides'!$V$4:$V$503,325))=0,"",INDEX('Aides'!$V$4:$V$503,325))</f>
        <v/>
      </c>
    </row>
    <row r="329">
      <c r="A329">
        <f>IF(AND(LEN('Aides'!A329)&gt;0,ISNUMBER('Aides'!I329)),1,0)</f>
        <v/>
      </c>
      <c r="B329">
        <f>B328+A329</f>
        <v/>
      </c>
      <c r="C329">
        <f>IF(326&gt;$B$1503,"",MATCH(326-0.5,$B$3:$B$1503,1))</f>
        <v/>
      </c>
      <c r="D329">
        <f>"CNA certification ("&amp;IF(LEN(INDEX('Aides'!$C$4:$C$503,326))=0,"",INDEX('Aides'!$C$4:$C$503,326))&amp;") – "&amp;IF(LEN(INDEX('Aides'!$A$4:$A$503,326))=0,"",INDEX('Aides'!$A$4:$A$503,326))</f>
        <v/>
      </c>
      <c r="E329">
        <f>IF(ISNUMBER(INDEX('Aides'!$I$4:$I$503,326)),TEXT(INDEX('Aides'!$I$4:$I$503,326),"yyyy-mm-dd"),"")</f>
        <v/>
      </c>
      <c r="F329">
        <f>"Certification"</f>
        <v/>
      </c>
      <c r="G329">
        <f>"High"</f>
        <v/>
      </c>
      <c r="H329">
        <f>TRIM(IF(LEN(IF(LEN(INDEX('Aides'!$D$4:$D$503,326))=0,"",INDEX('Aides'!$D$4:$D$503,326)))=0,"","Registry no.: "&amp;IF(LEN(INDEX('Aides'!$D$4:$D$503,326))=0,"",INDEX('Aides'!$D$4:$D$503,326))&amp;". ")&amp;IF(LEN(IF(ISNUMBER(INDEX('Aides'!$F$4:$F$503,326)),TEXT(INDEX('Aides'!$F$4:$F$503,326),"yyyy-mm-dd"),""))=0,"","Registry expiry: "&amp;IF(ISNUMBER(INDEX('Aides'!$F$4:$F$503,326)),TEXT(INDEX('Aides'!$F$4:$F$503,326),"yyyy-mm-dd"),"")&amp;". ")&amp;IF(LEN(IF(ISNUMBER(INDEX('Aides'!$G$4:$G$503,326)),TEXT(INDEX('Aides'!$G$4:$G$503,326),"yyyy-mm-dd"),""))=0,"","Last paid nursing work: "&amp;IF(ISNUMBER(INDEX('Aides'!$G$4:$G$503,326)),TEXT(INDEX('Aides'!$G$4:$G$503,326),"yyyy-mm-dd"),"")&amp;". ")&amp;IF(LEN(IF(ISNUMBER(INDEX('Aides'!$H$4:$H$503,326)),TEXT(INDEX('Aides'!$H$4:$H$503,326),"yyyy-mm-dd"),""))=0,"","24-month cut-off: "&amp;IF(ISNUMBER(INDEX('Aides'!$H$4:$H$503,326)),TEXT(INDEX('Aides'!$H$4:$H$503,326),"yyyy-mm-dd"),"")&amp;". ")&amp;IF(LEN(IF(LEN(INDEX('Aides'!$U$4:$U$503,326))=0,"",INDEX('Aides'!$U$4:$U$503,326)))=0,"","Owner: "&amp;IF(LEN(INDEX('Aides'!$U$4:$U$503,326))=0,"",INDEX('Aides'!$U$4:$U$503,326))&amp;". ")&amp;IF(LEN(IF(LEN(INDEX('Aides'!$X$4:$X$503,326))=0,"",INDEX('Aides'!$X$4:$X$503,326)))=0,"",IF(LEN(INDEX('Aides'!$X$4:$X$503,326))=0,"",INDEX('Aides'!$X$4:$X$503,326))))</f>
        <v/>
      </c>
      <c r="I329">
        <f>IF(LEN(INDEX('Aides'!$W$4:$W$503,326))=0,"",INDEX('Aides'!$W$4:$W$503,326))</f>
        <v/>
      </c>
      <c r="J329">
        <f>IF(LEN(INDEX('Aides'!$V$4:$V$503,326))=0,"",INDEX('Aides'!$V$4:$V$503,326))</f>
        <v/>
      </c>
    </row>
    <row r="330">
      <c r="A330">
        <f>IF(AND(LEN('Aides'!A330)&gt;0,ISNUMBER('Aides'!I330)),1,0)</f>
        <v/>
      </c>
      <c r="B330">
        <f>B329+A330</f>
        <v/>
      </c>
      <c r="C330">
        <f>IF(327&gt;$B$1503,"",MATCH(327-0.5,$B$3:$B$1503,1))</f>
        <v/>
      </c>
      <c r="D330">
        <f>"CNA certification ("&amp;IF(LEN(INDEX('Aides'!$C$4:$C$503,327))=0,"",INDEX('Aides'!$C$4:$C$503,327))&amp;") – "&amp;IF(LEN(INDEX('Aides'!$A$4:$A$503,327))=0,"",INDEX('Aides'!$A$4:$A$503,327))</f>
        <v/>
      </c>
      <c r="E330">
        <f>IF(ISNUMBER(INDEX('Aides'!$I$4:$I$503,327)),TEXT(INDEX('Aides'!$I$4:$I$503,327),"yyyy-mm-dd"),"")</f>
        <v/>
      </c>
      <c r="F330">
        <f>"Certification"</f>
        <v/>
      </c>
      <c r="G330">
        <f>"High"</f>
        <v/>
      </c>
      <c r="H330">
        <f>TRIM(IF(LEN(IF(LEN(INDEX('Aides'!$D$4:$D$503,327))=0,"",INDEX('Aides'!$D$4:$D$503,327)))=0,"","Registry no.: "&amp;IF(LEN(INDEX('Aides'!$D$4:$D$503,327))=0,"",INDEX('Aides'!$D$4:$D$503,327))&amp;". ")&amp;IF(LEN(IF(ISNUMBER(INDEX('Aides'!$F$4:$F$503,327)),TEXT(INDEX('Aides'!$F$4:$F$503,327),"yyyy-mm-dd"),""))=0,"","Registry expiry: "&amp;IF(ISNUMBER(INDEX('Aides'!$F$4:$F$503,327)),TEXT(INDEX('Aides'!$F$4:$F$503,327),"yyyy-mm-dd"),"")&amp;". ")&amp;IF(LEN(IF(ISNUMBER(INDEX('Aides'!$G$4:$G$503,327)),TEXT(INDEX('Aides'!$G$4:$G$503,327),"yyyy-mm-dd"),""))=0,"","Last paid nursing work: "&amp;IF(ISNUMBER(INDEX('Aides'!$G$4:$G$503,327)),TEXT(INDEX('Aides'!$G$4:$G$503,327),"yyyy-mm-dd"),"")&amp;". ")&amp;IF(LEN(IF(ISNUMBER(INDEX('Aides'!$H$4:$H$503,327)),TEXT(INDEX('Aides'!$H$4:$H$503,327),"yyyy-mm-dd"),""))=0,"","24-month cut-off: "&amp;IF(ISNUMBER(INDEX('Aides'!$H$4:$H$503,327)),TEXT(INDEX('Aides'!$H$4:$H$503,327),"yyyy-mm-dd"),"")&amp;". ")&amp;IF(LEN(IF(LEN(INDEX('Aides'!$U$4:$U$503,327))=0,"",INDEX('Aides'!$U$4:$U$503,327)))=0,"","Owner: "&amp;IF(LEN(INDEX('Aides'!$U$4:$U$503,327))=0,"",INDEX('Aides'!$U$4:$U$503,327))&amp;". ")&amp;IF(LEN(IF(LEN(INDEX('Aides'!$X$4:$X$503,327))=0,"",INDEX('Aides'!$X$4:$X$503,327)))=0,"",IF(LEN(INDEX('Aides'!$X$4:$X$503,327))=0,"",INDEX('Aides'!$X$4:$X$503,327))))</f>
        <v/>
      </c>
      <c r="I330">
        <f>IF(LEN(INDEX('Aides'!$W$4:$W$503,327))=0,"",INDEX('Aides'!$W$4:$W$503,327))</f>
        <v/>
      </c>
      <c r="J330">
        <f>IF(LEN(INDEX('Aides'!$V$4:$V$503,327))=0,"",INDEX('Aides'!$V$4:$V$503,327))</f>
        <v/>
      </c>
    </row>
    <row r="331">
      <c r="A331">
        <f>IF(AND(LEN('Aides'!A331)&gt;0,ISNUMBER('Aides'!I331)),1,0)</f>
        <v/>
      </c>
      <c r="B331">
        <f>B330+A331</f>
        <v/>
      </c>
      <c r="C331">
        <f>IF(328&gt;$B$1503,"",MATCH(328-0.5,$B$3:$B$1503,1))</f>
        <v/>
      </c>
      <c r="D331">
        <f>"CNA certification ("&amp;IF(LEN(INDEX('Aides'!$C$4:$C$503,328))=0,"",INDEX('Aides'!$C$4:$C$503,328))&amp;") – "&amp;IF(LEN(INDEX('Aides'!$A$4:$A$503,328))=0,"",INDEX('Aides'!$A$4:$A$503,328))</f>
        <v/>
      </c>
      <c r="E331">
        <f>IF(ISNUMBER(INDEX('Aides'!$I$4:$I$503,328)),TEXT(INDEX('Aides'!$I$4:$I$503,328),"yyyy-mm-dd"),"")</f>
        <v/>
      </c>
      <c r="F331">
        <f>"Certification"</f>
        <v/>
      </c>
      <c r="G331">
        <f>"High"</f>
        <v/>
      </c>
      <c r="H331">
        <f>TRIM(IF(LEN(IF(LEN(INDEX('Aides'!$D$4:$D$503,328))=0,"",INDEX('Aides'!$D$4:$D$503,328)))=0,"","Registry no.: "&amp;IF(LEN(INDEX('Aides'!$D$4:$D$503,328))=0,"",INDEX('Aides'!$D$4:$D$503,328))&amp;". ")&amp;IF(LEN(IF(ISNUMBER(INDEX('Aides'!$F$4:$F$503,328)),TEXT(INDEX('Aides'!$F$4:$F$503,328),"yyyy-mm-dd"),""))=0,"","Registry expiry: "&amp;IF(ISNUMBER(INDEX('Aides'!$F$4:$F$503,328)),TEXT(INDEX('Aides'!$F$4:$F$503,328),"yyyy-mm-dd"),"")&amp;". ")&amp;IF(LEN(IF(ISNUMBER(INDEX('Aides'!$G$4:$G$503,328)),TEXT(INDEX('Aides'!$G$4:$G$503,328),"yyyy-mm-dd"),""))=0,"","Last paid nursing work: "&amp;IF(ISNUMBER(INDEX('Aides'!$G$4:$G$503,328)),TEXT(INDEX('Aides'!$G$4:$G$503,328),"yyyy-mm-dd"),"")&amp;". ")&amp;IF(LEN(IF(ISNUMBER(INDEX('Aides'!$H$4:$H$503,328)),TEXT(INDEX('Aides'!$H$4:$H$503,328),"yyyy-mm-dd"),""))=0,"","24-month cut-off: "&amp;IF(ISNUMBER(INDEX('Aides'!$H$4:$H$503,328)),TEXT(INDEX('Aides'!$H$4:$H$503,328),"yyyy-mm-dd"),"")&amp;". ")&amp;IF(LEN(IF(LEN(INDEX('Aides'!$U$4:$U$503,328))=0,"",INDEX('Aides'!$U$4:$U$503,328)))=0,"","Owner: "&amp;IF(LEN(INDEX('Aides'!$U$4:$U$503,328))=0,"",INDEX('Aides'!$U$4:$U$503,328))&amp;". ")&amp;IF(LEN(IF(LEN(INDEX('Aides'!$X$4:$X$503,328))=0,"",INDEX('Aides'!$X$4:$X$503,328)))=0,"",IF(LEN(INDEX('Aides'!$X$4:$X$503,328))=0,"",INDEX('Aides'!$X$4:$X$503,328))))</f>
        <v/>
      </c>
      <c r="I331">
        <f>IF(LEN(INDEX('Aides'!$W$4:$W$503,328))=0,"",INDEX('Aides'!$W$4:$W$503,328))</f>
        <v/>
      </c>
      <c r="J331">
        <f>IF(LEN(INDEX('Aides'!$V$4:$V$503,328))=0,"",INDEX('Aides'!$V$4:$V$503,328))</f>
        <v/>
      </c>
    </row>
    <row r="332">
      <c r="A332">
        <f>IF(AND(LEN('Aides'!A332)&gt;0,ISNUMBER('Aides'!I332)),1,0)</f>
        <v/>
      </c>
      <c r="B332">
        <f>B331+A332</f>
        <v/>
      </c>
      <c r="C332">
        <f>IF(329&gt;$B$1503,"",MATCH(329-0.5,$B$3:$B$1503,1))</f>
        <v/>
      </c>
      <c r="D332">
        <f>"CNA certification ("&amp;IF(LEN(INDEX('Aides'!$C$4:$C$503,329))=0,"",INDEX('Aides'!$C$4:$C$503,329))&amp;") – "&amp;IF(LEN(INDEX('Aides'!$A$4:$A$503,329))=0,"",INDEX('Aides'!$A$4:$A$503,329))</f>
        <v/>
      </c>
      <c r="E332">
        <f>IF(ISNUMBER(INDEX('Aides'!$I$4:$I$503,329)),TEXT(INDEX('Aides'!$I$4:$I$503,329),"yyyy-mm-dd"),"")</f>
        <v/>
      </c>
      <c r="F332">
        <f>"Certification"</f>
        <v/>
      </c>
      <c r="G332">
        <f>"High"</f>
        <v/>
      </c>
      <c r="H332">
        <f>TRIM(IF(LEN(IF(LEN(INDEX('Aides'!$D$4:$D$503,329))=0,"",INDEX('Aides'!$D$4:$D$503,329)))=0,"","Registry no.: "&amp;IF(LEN(INDEX('Aides'!$D$4:$D$503,329))=0,"",INDEX('Aides'!$D$4:$D$503,329))&amp;". ")&amp;IF(LEN(IF(ISNUMBER(INDEX('Aides'!$F$4:$F$503,329)),TEXT(INDEX('Aides'!$F$4:$F$503,329),"yyyy-mm-dd"),""))=0,"","Registry expiry: "&amp;IF(ISNUMBER(INDEX('Aides'!$F$4:$F$503,329)),TEXT(INDEX('Aides'!$F$4:$F$503,329),"yyyy-mm-dd"),"")&amp;". ")&amp;IF(LEN(IF(ISNUMBER(INDEX('Aides'!$G$4:$G$503,329)),TEXT(INDEX('Aides'!$G$4:$G$503,329),"yyyy-mm-dd"),""))=0,"","Last paid nursing work: "&amp;IF(ISNUMBER(INDEX('Aides'!$G$4:$G$503,329)),TEXT(INDEX('Aides'!$G$4:$G$503,329),"yyyy-mm-dd"),"")&amp;". ")&amp;IF(LEN(IF(ISNUMBER(INDEX('Aides'!$H$4:$H$503,329)),TEXT(INDEX('Aides'!$H$4:$H$503,329),"yyyy-mm-dd"),""))=0,"","24-month cut-off: "&amp;IF(ISNUMBER(INDEX('Aides'!$H$4:$H$503,329)),TEXT(INDEX('Aides'!$H$4:$H$503,329),"yyyy-mm-dd"),"")&amp;". ")&amp;IF(LEN(IF(LEN(INDEX('Aides'!$U$4:$U$503,329))=0,"",INDEX('Aides'!$U$4:$U$503,329)))=0,"","Owner: "&amp;IF(LEN(INDEX('Aides'!$U$4:$U$503,329))=0,"",INDEX('Aides'!$U$4:$U$503,329))&amp;". ")&amp;IF(LEN(IF(LEN(INDEX('Aides'!$X$4:$X$503,329))=0,"",INDEX('Aides'!$X$4:$X$503,329)))=0,"",IF(LEN(INDEX('Aides'!$X$4:$X$503,329))=0,"",INDEX('Aides'!$X$4:$X$503,329))))</f>
        <v/>
      </c>
      <c r="I332">
        <f>IF(LEN(INDEX('Aides'!$W$4:$W$503,329))=0,"",INDEX('Aides'!$W$4:$W$503,329))</f>
        <v/>
      </c>
      <c r="J332">
        <f>IF(LEN(INDEX('Aides'!$V$4:$V$503,329))=0,"",INDEX('Aides'!$V$4:$V$503,329))</f>
        <v/>
      </c>
    </row>
    <row r="333">
      <c r="A333">
        <f>IF(AND(LEN('Aides'!A333)&gt;0,ISNUMBER('Aides'!I333)),1,0)</f>
        <v/>
      </c>
      <c r="B333">
        <f>B332+A333</f>
        <v/>
      </c>
      <c r="C333">
        <f>IF(330&gt;$B$1503,"",MATCH(330-0.5,$B$3:$B$1503,1))</f>
        <v/>
      </c>
      <c r="D333">
        <f>"CNA certification ("&amp;IF(LEN(INDEX('Aides'!$C$4:$C$503,330))=0,"",INDEX('Aides'!$C$4:$C$503,330))&amp;") – "&amp;IF(LEN(INDEX('Aides'!$A$4:$A$503,330))=0,"",INDEX('Aides'!$A$4:$A$503,330))</f>
        <v/>
      </c>
      <c r="E333">
        <f>IF(ISNUMBER(INDEX('Aides'!$I$4:$I$503,330)),TEXT(INDEX('Aides'!$I$4:$I$503,330),"yyyy-mm-dd"),"")</f>
        <v/>
      </c>
      <c r="F333">
        <f>"Certification"</f>
        <v/>
      </c>
      <c r="G333">
        <f>"High"</f>
        <v/>
      </c>
      <c r="H333">
        <f>TRIM(IF(LEN(IF(LEN(INDEX('Aides'!$D$4:$D$503,330))=0,"",INDEX('Aides'!$D$4:$D$503,330)))=0,"","Registry no.: "&amp;IF(LEN(INDEX('Aides'!$D$4:$D$503,330))=0,"",INDEX('Aides'!$D$4:$D$503,330))&amp;". ")&amp;IF(LEN(IF(ISNUMBER(INDEX('Aides'!$F$4:$F$503,330)),TEXT(INDEX('Aides'!$F$4:$F$503,330),"yyyy-mm-dd"),""))=0,"","Registry expiry: "&amp;IF(ISNUMBER(INDEX('Aides'!$F$4:$F$503,330)),TEXT(INDEX('Aides'!$F$4:$F$503,330),"yyyy-mm-dd"),"")&amp;". ")&amp;IF(LEN(IF(ISNUMBER(INDEX('Aides'!$G$4:$G$503,330)),TEXT(INDEX('Aides'!$G$4:$G$503,330),"yyyy-mm-dd"),""))=0,"","Last paid nursing work: "&amp;IF(ISNUMBER(INDEX('Aides'!$G$4:$G$503,330)),TEXT(INDEX('Aides'!$G$4:$G$503,330),"yyyy-mm-dd"),"")&amp;". ")&amp;IF(LEN(IF(ISNUMBER(INDEX('Aides'!$H$4:$H$503,330)),TEXT(INDEX('Aides'!$H$4:$H$503,330),"yyyy-mm-dd"),""))=0,"","24-month cut-off: "&amp;IF(ISNUMBER(INDEX('Aides'!$H$4:$H$503,330)),TEXT(INDEX('Aides'!$H$4:$H$503,330),"yyyy-mm-dd"),"")&amp;". ")&amp;IF(LEN(IF(LEN(INDEX('Aides'!$U$4:$U$503,330))=0,"",INDEX('Aides'!$U$4:$U$503,330)))=0,"","Owner: "&amp;IF(LEN(INDEX('Aides'!$U$4:$U$503,330))=0,"",INDEX('Aides'!$U$4:$U$503,330))&amp;". ")&amp;IF(LEN(IF(LEN(INDEX('Aides'!$X$4:$X$503,330))=0,"",INDEX('Aides'!$X$4:$X$503,330)))=0,"",IF(LEN(INDEX('Aides'!$X$4:$X$503,330))=0,"",INDEX('Aides'!$X$4:$X$503,330))))</f>
        <v/>
      </c>
      <c r="I333">
        <f>IF(LEN(INDEX('Aides'!$W$4:$W$503,330))=0,"",INDEX('Aides'!$W$4:$W$503,330))</f>
        <v/>
      </c>
      <c r="J333">
        <f>IF(LEN(INDEX('Aides'!$V$4:$V$503,330))=0,"",INDEX('Aides'!$V$4:$V$503,330))</f>
        <v/>
      </c>
    </row>
    <row r="334">
      <c r="A334">
        <f>IF(AND(LEN('Aides'!A334)&gt;0,ISNUMBER('Aides'!I334)),1,0)</f>
        <v/>
      </c>
      <c r="B334">
        <f>B333+A334</f>
        <v/>
      </c>
      <c r="C334">
        <f>IF(331&gt;$B$1503,"",MATCH(331-0.5,$B$3:$B$1503,1))</f>
        <v/>
      </c>
      <c r="D334">
        <f>"CNA certification ("&amp;IF(LEN(INDEX('Aides'!$C$4:$C$503,331))=0,"",INDEX('Aides'!$C$4:$C$503,331))&amp;") – "&amp;IF(LEN(INDEX('Aides'!$A$4:$A$503,331))=0,"",INDEX('Aides'!$A$4:$A$503,331))</f>
        <v/>
      </c>
      <c r="E334">
        <f>IF(ISNUMBER(INDEX('Aides'!$I$4:$I$503,331)),TEXT(INDEX('Aides'!$I$4:$I$503,331),"yyyy-mm-dd"),"")</f>
        <v/>
      </c>
      <c r="F334">
        <f>"Certification"</f>
        <v/>
      </c>
      <c r="G334">
        <f>"High"</f>
        <v/>
      </c>
      <c r="H334">
        <f>TRIM(IF(LEN(IF(LEN(INDEX('Aides'!$D$4:$D$503,331))=0,"",INDEX('Aides'!$D$4:$D$503,331)))=0,"","Registry no.: "&amp;IF(LEN(INDEX('Aides'!$D$4:$D$503,331))=0,"",INDEX('Aides'!$D$4:$D$503,331))&amp;". ")&amp;IF(LEN(IF(ISNUMBER(INDEX('Aides'!$F$4:$F$503,331)),TEXT(INDEX('Aides'!$F$4:$F$503,331),"yyyy-mm-dd"),""))=0,"","Registry expiry: "&amp;IF(ISNUMBER(INDEX('Aides'!$F$4:$F$503,331)),TEXT(INDEX('Aides'!$F$4:$F$503,331),"yyyy-mm-dd"),"")&amp;". ")&amp;IF(LEN(IF(ISNUMBER(INDEX('Aides'!$G$4:$G$503,331)),TEXT(INDEX('Aides'!$G$4:$G$503,331),"yyyy-mm-dd"),""))=0,"","Last paid nursing work: "&amp;IF(ISNUMBER(INDEX('Aides'!$G$4:$G$503,331)),TEXT(INDEX('Aides'!$G$4:$G$503,331),"yyyy-mm-dd"),"")&amp;". ")&amp;IF(LEN(IF(ISNUMBER(INDEX('Aides'!$H$4:$H$503,331)),TEXT(INDEX('Aides'!$H$4:$H$503,331),"yyyy-mm-dd"),""))=0,"","24-month cut-off: "&amp;IF(ISNUMBER(INDEX('Aides'!$H$4:$H$503,331)),TEXT(INDEX('Aides'!$H$4:$H$503,331),"yyyy-mm-dd"),"")&amp;". ")&amp;IF(LEN(IF(LEN(INDEX('Aides'!$U$4:$U$503,331))=0,"",INDEX('Aides'!$U$4:$U$503,331)))=0,"","Owner: "&amp;IF(LEN(INDEX('Aides'!$U$4:$U$503,331))=0,"",INDEX('Aides'!$U$4:$U$503,331))&amp;". ")&amp;IF(LEN(IF(LEN(INDEX('Aides'!$X$4:$X$503,331))=0,"",INDEX('Aides'!$X$4:$X$503,331)))=0,"",IF(LEN(INDEX('Aides'!$X$4:$X$503,331))=0,"",INDEX('Aides'!$X$4:$X$503,331))))</f>
        <v/>
      </c>
      <c r="I334">
        <f>IF(LEN(INDEX('Aides'!$W$4:$W$503,331))=0,"",INDEX('Aides'!$W$4:$W$503,331))</f>
        <v/>
      </c>
      <c r="J334">
        <f>IF(LEN(INDEX('Aides'!$V$4:$V$503,331))=0,"",INDEX('Aides'!$V$4:$V$503,331))</f>
        <v/>
      </c>
    </row>
    <row r="335">
      <c r="A335">
        <f>IF(AND(LEN('Aides'!A335)&gt;0,ISNUMBER('Aides'!I335)),1,0)</f>
        <v/>
      </c>
      <c r="B335">
        <f>B334+A335</f>
        <v/>
      </c>
      <c r="C335">
        <f>IF(332&gt;$B$1503,"",MATCH(332-0.5,$B$3:$B$1503,1))</f>
        <v/>
      </c>
      <c r="D335">
        <f>"CNA certification ("&amp;IF(LEN(INDEX('Aides'!$C$4:$C$503,332))=0,"",INDEX('Aides'!$C$4:$C$503,332))&amp;") – "&amp;IF(LEN(INDEX('Aides'!$A$4:$A$503,332))=0,"",INDEX('Aides'!$A$4:$A$503,332))</f>
        <v/>
      </c>
      <c r="E335">
        <f>IF(ISNUMBER(INDEX('Aides'!$I$4:$I$503,332)),TEXT(INDEX('Aides'!$I$4:$I$503,332),"yyyy-mm-dd"),"")</f>
        <v/>
      </c>
      <c r="F335">
        <f>"Certification"</f>
        <v/>
      </c>
      <c r="G335">
        <f>"High"</f>
        <v/>
      </c>
      <c r="H335">
        <f>TRIM(IF(LEN(IF(LEN(INDEX('Aides'!$D$4:$D$503,332))=0,"",INDEX('Aides'!$D$4:$D$503,332)))=0,"","Registry no.: "&amp;IF(LEN(INDEX('Aides'!$D$4:$D$503,332))=0,"",INDEX('Aides'!$D$4:$D$503,332))&amp;". ")&amp;IF(LEN(IF(ISNUMBER(INDEX('Aides'!$F$4:$F$503,332)),TEXT(INDEX('Aides'!$F$4:$F$503,332),"yyyy-mm-dd"),""))=0,"","Registry expiry: "&amp;IF(ISNUMBER(INDEX('Aides'!$F$4:$F$503,332)),TEXT(INDEX('Aides'!$F$4:$F$503,332),"yyyy-mm-dd"),"")&amp;". ")&amp;IF(LEN(IF(ISNUMBER(INDEX('Aides'!$G$4:$G$503,332)),TEXT(INDEX('Aides'!$G$4:$G$503,332),"yyyy-mm-dd"),""))=0,"","Last paid nursing work: "&amp;IF(ISNUMBER(INDEX('Aides'!$G$4:$G$503,332)),TEXT(INDEX('Aides'!$G$4:$G$503,332),"yyyy-mm-dd"),"")&amp;". ")&amp;IF(LEN(IF(ISNUMBER(INDEX('Aides'!$H$4:$H$503,332)),TEXT(INDEX('Aides'!$H$4:$H$503,332),"yyyy-mm-dd"),""))=0,"","24-month cut-off: "&amp;IF(ISNUMBER(INDEX('Aides'!$H$4:$H$503,332)),TEXT(INDEX('Aides'!$H$4:$H$503,332),"yyyy-mm-dd"),"")&amp;". ")&amp;IF(LEN(IF(LEN(INDEX('Aides'!$U$4:$U$503,332))=0,"",INDEX('Aides'!$U$4:$U$503,332)))=0,"","Owner: "&amp;IF(LEN(INDEX('Aides'!$U$4:$U$503,332))=0,"",INDEX('Aides'!$U$4:$U$503,332))&amp;". ")&amp;IF(LEN(IF(LEN(INDEX('Aides'!$X$4:$X$503,332))=0,"",INDEX('Aides'!$X$4:$X$503,332)))=0,"",IF(LEN(INDEX('Aides'!$X$4:$X$503,332))=0,"",INDEX('Aides'!$X$4:$X$503,332))))</f>
        <v/>
      </c>
      <c r="I335">
        <f>IF(LEN(INDEX('Aides'!$W$4:$W$503,332))=0,"",INDEX('Aides'!$W$4:$W$503,332))</f>
        <v/>
      </c>
      <c r="J335">
        <f>IF(LEN(INDEX('Aides'!$V$4:$V$503,332))=0,"",INDEX('Aides'!$V$4:$V$503,332))</f>
        <v/>
      </c>
    </row>
    <row r="336">
      <c r="A336">
        <f>IF(AND(LEN('Aides'!A336)&gt;0,ISNUMBER('Aides'!I336)),1,0)</f>
        <v/>
      </c>
      <c r="B336">
        <f>B335+A336</f>
        <v/>
      </c>
      <c r="C336">
        <f>IF(333&gt;$B$1503,"",MATCH(333-0.5,$B$3:$B$1503,1))</f>
        <v/>
      </c>
      <c r="D336">
        <f>"CNA certification ("&amp;IF(LEN(INDEX('Aides'!$C$4:$C$503,333))=0,"",INDEX('Aides'!$C$4:$C$503,333))&amp;") – "&amp;IF(LEN(INDEX('Aides'!$A$4:$A$503,333))=0,"",INDEX('Aides'!$A$4:$A$503,333))</f>
        <v/>
      </c>
      <c r="E336">
        <f>IF(ISNUMBER(INDEX('Aides'!$I$4:$I$503,333)),TEXT(INDEX('Aides'!$I$4:$I$503,333),"yyyy-mm-dd"),"")</f>
        <v/>
      </c>
      <c r="F336">
        <f>"Certification"</f>
        <v/>
      </c>
      <c r="G336">
        <f>"High"</f>
        <v/>
      </c>
      <c r="H336">
        <f>TRIM(IF(LEN(IF(LEN(INDEX('Aides'!$D$4:$D$503,333))=0,"",INDEX('Aides'!$D$4:$D$503,333)))=0,"","Registry no.: "&amp;IF(LEN(INDEX('Aides'!$D$4:$D$503,333))=0,"",INDEX('Aides'!$D$4:$D$503,333))&amp;". ")&amp;IF(LEN(IF(ISNUMBER(INDEX('Aides'!$F$4:$F$503,333)),TEXT(INDEX('Aides'!$F$4:$F$503,333),"yyyy-mm-dd"),""))=0,"","Registry expiry: "&amp;IF(ISNUMBER(INDEX('Aides'!$F$4:$F$503,333)),TEXT(INDEX('Aides'!$F$4:$F$503,333),"yyyy-mm-dd"),"")&amp;". ")&amp;IF(LEN(IF(ISNUMBER(INDEX('Aides'!$G$4:$G$503,333)),TEXT(INDEX('Aides'!$G$4:$G$503,333),"yyyy-mm-dd"),""))=0,"","Last paid nursing work: "&amp;IF(ISNUMBER(INDEX('Aides'!$G$4:$G$503,333)),TEXT(INDEX('Aides'!$G$4:$G$503,333),"yyyy-mm-dd"),"")&amp;". ")&amp;IF(LEN(IF(ISNUMBER(INDEX('Aides'!$H$4:$H$503,333)),TEXT(INDEX('Aides'!$H$4:$H$503,333),"yyyy-mm-dd"),""))=0,"","24-month cut-off: "&amp;IF(ISNUMBER(INDEX('Aides'!$H$4:$H$503,333)),TEXT(INDEX('Aides'!$H$4:$H$503,333),"yyyy-mm-dd"),"")&amp;". ")&amp;IF(LEN(IF(LEN(INDEX('Aides'!$U$4:$U$503,333))=0,"",INDEX('Aides'!$U$4:$U$503,333)))=0,"","Owner: "&amp;IF(LEN(INDEX('Aides'!$U$4:$U$503,333))=0,"",INDEX('Aides'!$U$4:$U$503,333))&amp;". ")&amp;IF(LEN(IF(LEN(INDEX('Aides'!$X$4:$X$503,333))=0,"",INDEX('Aides'!$X$4:$X$503,333)))=0,"",IF(LEN(INDEX('Aides'!$X$4:$X$503,333))=0,"",INDEX('Aides'!$X$4:$X$503,333))))</f>
        <v/>
      </c>
      <c r="I336">
        <f>IF(LEN(INDEX('Aides'!$W$4:$W$503,333))=0,"",INDEX('Aides'!$W$4:$W$503,333))</f>
        <v/>
      </c>
      <c r="J336">
        <f>IF(LEN(INDEX('Aides'!$V$4:$V$503,333))=0,"",INDEX('Aides'!$V$4:$V$503,333))</f>
        <v/>
      </c>
    </row>
    <row r="337">
      <c r="A337">
        <f>IF(AND(LEN('Aides'!A337)&gt;0,ISNUMBER('Aides'!I337)),1,0)</f>
        <v/>
      </c>
      <c r="B337">
        <f>B336+A337</f>
        <v/>
      </c>
      <c r="C337">
        <f>IF(334&gt;$B$1503,"",MATCH(334-0.5,$B$3:$B$1503,1))</f>
        <v/>
      </c>
      <c r="D337">
        <f>"CNA certification ("&amp;IF(LEN(INDEX('Aides'!$C$4:$C$503,334))=0,"",INDEX('Aides'!$C$4:$C$503,334))&amp;") – "&amp;IF(LEN(INDEX('Aides'!$A$4:$A$503,334))=0,"",INDEX('Aides'!$A$4:$A$503,334))</f>
        <v/>
      </c>
      <c r="E337">
        <f>IF(ISNUMBER(INDEX('Aides'!$I$4:$I$503,334)),TEXT(INDEX('Aides'!$I$4:$I$503,334),"yyyy-mm-dd"),"")</f>
        <v/>
      </c>
      <c r="F337">
        <f>"Certification"</f>
        <v/>
      </c>
      <c r="G337">
        <f>"High"</f>
        <v/>
      </c>
      <c r="H337">
        <f>TRIM(IF(LEN(IF(LEN(INDEX('Aides'!$D$4:$D$503,334))=0,"",INDEX('Aides'!$D$4:$D$503,334)))=0,"","Registry no.: "&amp;IF(LEN(INDEX('Aides'!$D$4:$D$503,334))=0,"",INDEX('Aides'!$D$4:$D$503,334))&amp;". ")&amp;IF(LEN(IF(ISNUMBER(INDEX('Aides'!$F$4:$F$503,334)),TEXT(INDEX('Aides'!$F$4:$F$503,334),"yyyy-mm-dd"),""))=0,"","Registry expiry: "&amp;IF(ISNUMBER(INDEX('Aides'!$F$4:$F$503,334)),TEXT(INDEX('Aides'!$F$4:$F$503,334),"yyyy-mm-dd"),"")&amp;". ")&amp;IF(LEN(IF(ISNUMBER(INDEX('Aides'!$G$4:$G$503,334)),TEXT(INDEX('Aides'!$G$4:$G$503,334),"yyyy-mm-dd"),""))=0,"","Last paid nursing work: "&amp;IF(ISNUMBER(INDEX('Aides'!$G$4:$G$503,334)),TEXT(INDEX('Aides'!$G$4:$G$503,334),"yyyy-mm-dd"),"")&amp;". ")&amp;IF(LEN(IF(ISNUMBER(INDEX('Aides'!$H$4:$H$503,334)),TEXT(INDEX('Aides'!$H$4:$H$503,334),"yyyy-mm-dd"),""))=0,"","24-month cut-off: "&amp;IF(ISNUMBER(INDEX('Aides'!$H$4:$H$503,334)),TEXT(INDEX('Aides'!$H$4:$H$503,334),"yyyy-mm-dd"),"")&amp;". ")&amp;IF(LEN(IF(LEN(INDEX('Aides'!$U$4:$U$503,334))=0,"",INDEX('Aides'!$U$4:$U$503,334)))=0,"","Owner: "&amp;IF(LEN(INDEX('Aides'!$U$4:$U$503,334))=0,"",INDEX('Aides'!$U$4:$U$503,334))&amp;". ")&amp;IF(LEN(IF(LEN(INDEX('Aides'!$X$4:$X$503,334))=0,"",INDEX('Aides'!$X$4:$X$503,334)))=0,"",IF(LEN(INDEX('Aides'!$X$4:$X$503,334))=0,"",INDEX('Aides'!$X$4:$X$503,334))))</f>
        <v/>
      </c>
      <c r="I337">
        <f>IF(LEN(INDEX('Aides'!$W$4:$W$503,334))=0,"",INDEX('Aides'!$W$4:$W$503,334))</f>
        <v/>
      </c>
      <c r="J337">
        <f>IF(LEN(INDEX('Aides'!$V$4:$V$503,334))=0,"",INDEX('Aides'!$V$4:$V$503,334))</f>
        <v/>
      </c>
    </row>
    <row r="338">
      <c r="A338">
        <f>IF(AND(LEN('Aides'!A338)&gt;0,ISNUMBER('Aides'!I338)),1,0)</f>
        <v/>
      </c>
      <c r="B338">
        <f>B337+A338</f>
        <v/>
      </c>
      <c r="C338">
        <f>IF(335&gt;$B$1503,"",MATCH(335-0.5,$B$3:$B$1503,1))</f>
        <v/>
      </c>
      <c r="D338">
        <f>"CNA certification ("&amp;IF(LEN(INDEX('Aides'!$C$4:$C$503,335))=0,"",INDEX('Aides'!$C$4:$C$503,335))&amp;") – "&amp;IF(LEN(INDEX('Aides'!$A$4:$A$503,335))=0,"",INDEX('Aides'!$A$4:$A$503,335))</f>
        <v/>
      </c>
      <c r="E338">
        <f>IF(ISNUMBER(INDEX('Aides'!$I$4:$I$503,335)),TEXT(INDEX('Aides'!$I$4:$I$503,335),"yyyy-mm-dd"),"")</f>
        <v/>
      </c>
      <c r="F338">
        <f>"Certification"</f>
        <v/>
      </c>
      <c r="G338">
        <f>"High"</f>
        <v/>
      </c>
      <c r="H338">
        <f>TRIM(IF(LEN(IF(LEN(INDEX('Aides'!$D$4:$D$503,335))=0,"",INDEX('Aides'!$D$4:$D$503,335)))=0,"","Registry no.: "&amp;IF(LEN(INDEX('Aides'!$D$4:$D$503,335))=0,"",INDEX('Aides'!$D$4:$D$503,335))&amp;". ")&amp;IF(LEN(IF(ISNUMBER(INDEX('Aides'!$F$4:$F$503,335)),TEXT(INDEX('Aides'!$F$4:$F$503,335),"yyyy-mm-dd"),""))=0,"","Registry expiry: "&amp;IF(ISNUMBER(INDEX('Aides'!$F$4:$F$503,335)),TEXT(INDEX('Aides'!$F$4:$F$503,335),"yyyy-mm-dd"),"")&amp;". ")&amp;IF(LEN(IF(ISNUMBER(INDEX('Aides'!$G$4:$G$503,335)),TEXT(INDEX('Aides'!$G$4:$G$503,335),"yyyy-mm-dd"),""))=0,"","Last paid nursing work: "&amp;IF(ISNUMBER(INDEX('Aides'!$G$4:$G$503,335)),TEXT(INDEX('Aides'!$G$4:$G$503,335),"yyyy-mm-dd"),"")&amp;". ")&amp;IF(LEN(IF(ISNUMBER(INDEX('Aides'!$H$4:$H$503,335)),TEXT(INDEX('Aides'!$H$4:$H$503,335),"yyyy-mm-dd"),""))=0,"","24-month cut-off: "&amp;IF(ISNUMBER(INDEX('Aides'!$H$4:$H$503,335)),TEXT(INDEX('Aides'!$H$4:$H$503,335),"yyyy-mm-dd"),"")&amp;". ")&amp;IF(LEN(IF(LEN(INDEX('Aides'!$U$4:$U$503,335))=0,"",INDEX('Aides'!$U$4:$U$503,335)))=0,"","Owner: "&amp;IF(LEN(INDEX('Aides'!$U$4:$U$503,335))=0,"",INDEX('Aides'!$U$4:$U$503,335))&amp;". ")&amp;IF(LEN(IF(LEN(INDEX('Aides'!$X$4:$X$503,335))=0,"",INDEX('Aides'!$X$4:$X$503,335)))=0,"",IF(LEN(INDEX('Aides'!$X$4:$X$503,335))=0,"",INDEX('Aides'!$X$4:$X$503,335))))</f>
        <v/>
      </c>
      <c r="I338">
        <f>IF(LEN(INDEX('Aides'!$W$4:$W$503,335))=0,"",INDEX('Aides'!$W$4:$W$503,335))</f>
        <v/>
      </c>
      <c r="J338">
        <f>IF(LEN(INDEX('Aides'!$V$4:$V$503,335))=0,"",INDEX('Aides'!$V$4:$V$503,335))</f>
        <v/>
      </c>
    </row>
    <row r="339">
      <c r="A339">
        <f>IF(AND(LEN('Aides'!A339)&gt;0,ISNUMBER('Aides'!I339)),1,0)</f>
        <v/>
      </c>
      <c r="B339">
        <f>B338+A339</f>
        <v/>
      </c>
      <c r="C339">
        <f>IF(336&gt;$B$1503,"",MATCH(336-0.5,$B$3:$B$1503,1))</f>
        <v/>
      </c>
      <c r="D339">
        <f>"CNA certification ("&amp;IF(LEN(INDEX('Aides'!$C$4:$C$503,336))=0,"",INDEX('Aides'!$C$4:$C$503,336))&amp;") – "&amp;IF(LEN(INDEX('Aides'!$A$4:$A$503,336))=0,"",INDEX('Aides'!$A$4:$A$503,336))</f>
        <v/>
      </c>
      <c r="E339">
        <f>IF(ISNUMBER(INDEX('Aides'!$I$4:$I$503,336)),TEXT(INDEX('Aides'!$I$4:$I$503,336),"yyyy-mm-dd"),"")</f>
        <v/>
      </c>
      <c r="F339">
        <f>"Certification"</f>
        <v/>
      </c>
      <c r="G339">
        <f>"High"</f>
        <v/>
      </c>
      <c r="H339">
        <f>TRIM(IF(LEN(IF(LEN(INDEX('Aides'!$D$4:$D$503,336))=0,"",INDEX('Aides'!$D$4:$D$503,336)))=0,"","Registry no.: "&amp;IF(LEN(INDEX('Aides'!$D$4:$D$503,336))=0,"",INDEX('Aides'!$D$4:$D$503,336))&amp;". ")&amp;IF(LEN(IF(ISNUMBER(INDEX('Aides'!$F$4:$F$503,336)),TEXT(INDEX('Aides'!$F$4:$F$503,336),"yyyy-mm-dd"),""))=0,"","Registry expiry: "&amp;IF(ISNUMBER(INDEX('Aides'!$F$4:$F$503,336)),TEXT(INDEX('Aides'!$F$4:$F$503,336),"yyyy-mm-dd"),"")&amp;". ")&amp;IF(LEN(IF(ISNUMBER(INDEX('Aides'!$G$4:$G$503,336)),TEXT(INDEX('Aides'!$G$4:$G$503,336),"yyyy-mm-dd"),""))=0,"","Last paid nursing work: "&amp;IF(ISNUMBER(INDEX('Aides'!$G$4:$G$503,336)),TEXT(INDEX('Aides'!$G$4:$G$503,336),"yyyy-mm-dd"),"")&amp;". ")&amp;IF(LEN(IF(ISNUMBER(INDEX('Aides'!$H$4:$H$503,336)),TEXT(INDEX('Aides'!$H$4:$H$503,336),"yyyy-mm-dd"),""))=0,"","24-month cut-off: "&amp;IF(ISNUMBER(INDEX('Aides'!$H$4:$H$503,336)),TEXT(INDEX('Aides'!$H$4:$H$503,336),"yyyy-mm-dd"),"")&amp;". ")&amp;IF(LEN(IF(LEN(INDEX('Aides'!$U$4:$U$503,336))=0,"",INDEX('Aides'!$U$4:$U$503,336)))=0,"","Owner: "&amp;IF(LEN(INDEX('Aides'!$U$4:$U$503,336))=0,"",INDEX('Aides'!$U$4:$U$503,336))&amp;". ")&amp;IF(LEN(IF(LEN(INDEX('Aides'!$X$4:$X$503,336))=0,"",INDEX('Aides'!$X$4:$X$503,336)))=0,"",IF(LEN(INDEX('Aides'!$X$4:$X$503,336))=0,"",INDEX('Aides'!$X$4:$X$503,336))))</f>
        <v/>
      </c>
      <c r="I339">
        <f>IF(LEN(INDEX('Aides'!$W$4:$W$503,336))=0,"",INDEX('Aides'!$W$4:$W$503,336))</f>
        <v/>
      </c>
      <c r="J339">
        <f>IF(LEN(INDEX('Aides'!$V$4:$V$503,336))=0,"",INDEX('Aides'!$V$4:$V$503,336))</f>
        <v/>
      </c>
    </row>
    <row r="340">
      <c r="A340">
        <f>IF(AND(LEN('Aides'!A340)&gt;0,ISNUMBER('Aides'!I340)),1,0)</f>
        <v/>
      </c>
      <c r="B340">
        <f>B339+A340</f>
        <v/>
      </c>
      <c r="C340">
        <f>IF(337&gt;$B$1503,"",MATCH(337-0.5,$B$3:$B$1503,1))</f>
        <v/>
      </c>
      <c r="D340">
        <f>"CNA certification ("&amp;IF(LEN(INDEX('Aides'!$C$4:$C$503,337))=0,"",INDEX('Aides'!$C$4:$C$503,337))&amp;") – "&amp;IF(LEN(INDEX('Aides'!$A$4:$A$503,337))=0,"",INDEX('Aides'!$A$4:$A$503,337))</f>
        <v/>
      </c>
      <c r="E340">
        <f>IF(ISNUMBER(INDEX('Aides'!$I$4:$I$503,337)),TEXT(INDEX('Aides'!$I$4:$I$503,337),"yyyy-mm-dd"),"")</f>
        <v/>
      </c>
      <c r="F340">
        <f>"Certification"</f>
        <v/>
      </c>
      <c r="G340">
        <f>"High"</f>
        <v/>
      </c>
      <c r="H340">
        <f>TRIM(IF(LEN(IF(LEN(INDEX('Aides'!$D$4:$D$503,337))=0,"",INDEX('Aides'!$D$4:$D$503,337)))=0,"","Registry no.: "&amp;IF(LEN(INDEX('Aides'!$D$4:$D$503,337))=0,"",INDEX('Aides'!$D$4:$D$503,337))&amp;". ")&amp;IF(LEN(IF(ISNUMBER(INDEX('Aides'!$F$4:$F$503,337)),TEXT(INDEX('Aides'!$F$4:$F$503,337),"yyyy-mm-dd"),""))=0,"","Registry expiry: "&amp;IF(ISNUMBER(INDEX('Aides'!$F$4:$F$503,337)),TEXT(INDEX('Aides'!$F$4:$F$503,337),"yyyy-mm-dd"),"")&amp;". ")&amp;IF(LEN(IF(ISNUMBER(INDEX('Aides'!$G$4:$G$503,337)),TEXT(INDEX('Aides'!$G$4:$G$503,337),"yyyy-mm-dd"),""))=0,"","Last paid nursing work: "&amp;IF(ISNUMBER(INDEX('Aides'!$G$4:$G$503,337)),TEXT(INDEX('Aides'!$G$4:$G$503,337),"yyyy-mm-dd"),"")&amp;". ")&amp;IF(LEN(IF(ISNUMBER(INDEX('Aides'!$H$4:$H$503,337)),TEXT(INDEX('Aides'!$H$4:$H$503,337),"yyyy-mm-dd"),""))=0,"","24-month cut-off: "&amp;IF(ISNUMBER(INDEX('Aides'!$H$4:$H$503,337)),TEXT(INDEX('Aides'!$H$4:$H$503,337),"yyyy-mm-dd"),"")&amp;". ")&amp;IF(LEN(IF(LEN(INDEX('Aides'!$U$4:$U$503,337))=0,"",INDEX('Aides'!$U$4:$U$503,337)))=0,"","Owner: "&amp;IF(LEN(INDEX('Aides'!$U$4:$U$503,337))=0,"",INDEX('Aides'!$U$4:$U$503,337))&amp;". ")&amp;IF(LEN(IF(LEN(INDEX('Aides'!$X$4:$X$503,337))=0,"",INDEX('Aides'!$X$4:$X$503,337)))=0,"",IF(LEN(INDEX('Aides'!$X$4:$X$503,337))=0,"",INDEX('Aides'!$X$4:$X$503,337))))</f>
        <v/>
      </c>
      <c r="I340">
        <f>IF(LEN(INDEX('Aides'!$W$4:$W$503,337))=0,"",INDEX('Aides'!$W$4:$W$503,337))</f>
        <v/>
      </c>
      <c r="J340">
        <f>IF(LEN(INDEX('Aides'!$V$4:$V$503,337))=0,"",INDEX('Aides'!$V$4:$V$503,337))</f>
        <v/>
      </c>
    </row>
    <row r="341">
      <c r="A341">
        <f>IF(AND(LEN('Aides'!A341)&gt;0,ISNUMBER('Aides'!I341)),1,0)</f>
        <v/>
      </c>
      <c r="B341">
        <f>B340+A341</f>
        <v/>
      </c>
      <c r="C341">
        <f>IF(338&gt;$B$1503,"",MATCH(338-0.5,$B$3:$B$1503,1))</f>
        <v/>
      </c>
      <c r="D341">
        <f>"CNA certification ("&amp;IF(LEN(INDEX('Aides'!$C$4:$C$503,338))=0,"",INDEX('Aides'!$C$4:$C$503,338))&amp;") – "&amp;IF(LEN(INDEX('Aides'!$A$4:$A$503,338))=0,"",INDEX('Aides'!$A$4:$A$503,338))</f>
        <v/>
      </c>
      <c r="E341">
        <f>IF(ISNUMBER(INDEX('Aides'!$I$4:$I$503,338)),TEXT(INDEX('Aides'!$I$4:$I$503,338),"yyyy-mm-dd"),"")</f>
        <v/>
      </c>
      <c r="F341">
        <f>"Certification"</f>
        <v/>
      </c>
      <c r="G341">
        <f>"High"</f>
        <v/>
      </c>
      <c r="H341">
        <f>TRIM(IF(LEN(IF(LEN(INDEX('Aides'!$D$4:$D$503,338))=0,"",INDEX('Aides'!$D$4:$D$503,338)))=0,"","Registry no.: "&amp;IF(LEN(INDEX('Aides'!$D$4:$D$503,338))=0,"",INDEX('Aides'!$D$4:$D$503,338))&amp;". ")&amp;IF(LEN(IF(ISNUMBER(INDEX('Aides'!$F$4:$F$503,338)),TEXT(INDEX('Aides'!$F$4:$F$503,338),"yyyy-mm-dd"),""))=0,"","Registry expiry: "&amp;IF(ISNUMBER(INDEX('Aides'!$F$4:$F$503,338)),TEXT(INDEX('Aides'!$F$4:$F$503,338),"yyyy-mm-dd"),"")&amp;". ")&amp;IF(LEN(IF(ISNUMBER(INDEX('Aides'!$G$4:$G$503,338)),TEXT(INDEX('Aides'!$G$4:$G$503,338),"yyyy-mm-dd"),""))=0,"","Last paid nursing work: "&amp;IF(ISNUMBER(INDEX('Aides'!$G$4:$G$503,338)),TEXT(INDEX('Aides'!$G$4:$G$503,338),"yyyy-mm-dd"),"")&amp;". ")&amp;IF(LEN(IF(ISNUMBER(INDEX('Aides'!$H$4:$H$503,338)),TEXT(INDEX('Aides'!$H$4:$H$503,338),"yyyy-mm-dd"),""))=0,"","24-month cut-off: "&amp;IF(ISNUMBER(INDEX('Aides'!$H$4:$H$503,338)),TEXT(INDEX('Aides'!$H$4:$H$503,338),"yyyy-mm-dd"),"")&amp;". ")&amp;IF(LEN(IF(LEN(INDEX('Aides'!$U$4:$U$503,338))=0,"",INDEX('Aides'!$U$4:$U$503,338)))=0,"","Owner: "&amp;IF(LEN(INDEX('Aides'!$U$4:$U$503,338))=0,"",INDEX('Aides'!$U$4:$U$503,338))&amp;". ")&amp;IF(LEN(IF(LEN(INDEX('Aides'!$X$4:$X$503,338))=0,"",INDEX('Aides'!$X$4:$X$503,338)))=0,"",IF(LEN(INDEX('Aides'!$X$4:$X$503,338))=0,"",INDEX('Aides'!$X$4:$X$503,338))))</f>
        <v/>
      </c>
      <c r="I341">
        <f>IF(LEN(INDEX('Aides'!$W$4:$W$503,338))=0,"",INDEX('Aides'!$W$4:$W$503,338))</f>
        <v/>
      </c>
      <c r="J341">
        <f>IF(LEN(INDEX('Aides'!$V$4:$V$503,338))=0,"",INDEX('Aides'!$V$4:$V$503,338))</f>
        <v/>
      </c>
    </row>
    <row r="342">
      <c r="A342">
        <f>IF(AND(LEN('Aides'!A342)&gt;0,ISNUMBER('Aides'!I342)),1,0)</f>
        <v/>
      </c>
      <c r="B342">
        <f>B341+A342</f>
        <v/>
      </c>
      <c r="C342">
        <f>IF(339&gt;$B$1503,"",MATCH(339-0.5,$B$3:$B$1503,1))</f>
        <v/>
      </c>
      <c r="D342">
        <f>"CNA certification ("&amp;IF(LEN(INDEX('Aides'!$C$4:$C$503,339))=0,"",INDEX('Aides'!$C$4:$C$503,339))&amp;") – "&amp;IF(LEN(INDEX('Aides'!$A$4:$A$503,339))=0,"",INDEX('Aides'!$A$4:$A$503,339))</f>
        <v/>
      </c>
      <c r="E342">
        <f>IF(ISNUMBER(INDEX('Aides'!$I$4:$I$503,339)),TEXT(INDEX('Aides'!$I$4:$I$503,339),"yyyy-mm-dd"),"")</f>
        <v/>
      </c>
      <c r="F342">
        <f>"Certification"</f>
        <v/>
      </c>
      <c r="G342">
        <f>"High"</f>
        <v/>
      </c>
      <c r="H342">
        <f>TRIM(IF(LEN(IF(LEN(INDEX('Aides'!$D$4:$D$503,339))=0,"",INDEX('Aides'!$D$4:$D$503,339)))=0,"","Registry no.: "&amp;IF(LEN(INDEX('Aides'!$D$4:$D$503,339))=0,"",INDEX('Aides'!$D$4:$D$503,339))&amp;". ")&amp;IF(LEN(IF(ISNUMBER(INDEX('Aides'!$F$4:$F$503,339)),TEXT(INDEX('Aides'!$F$4:$F$503,339),"yyyy-mm-dd"),""))=0,"","Registry expiry: "&amp;IF(ISNUMBER(INDEX('Aides'!$F$4:$F$503,339)),TEXT(INDEX('Aides'!$F$4:$F$503,339),"yyyy-mm-dd"),"")&amp;". ")&amp;IF(LEN(IF(ISNUMBER(INDEX('Aides'!$G$4:$G$503,339)),TEXT(INDEX('Aides'!$G$4:$G$503,339),"yyyy-mm-dd"),""))=0,"","Last paid nursing work: "&amp;IF(ISNUMBER(INDEX('Aides'!$G$4:$G$503,339)),TEXT(INDEX('Aides'!$G$4:$G$503,339),"yyyy-mm-dd"),"")&amp;". ")&amp;IF(LEN(IF(ISNUMBER(INDEX('Aides'!$H$4:$H$503,339)),TEXT(INDEX('Aides'!$H$4:$H$503,339),"yyyy-mm-dd"),""))=0,"","24-month cut-off: "&amp;IF(ISNUMBER(INDEX('Aides'!$H$4:$H$503,339)),TEXT(INDEX('Aides'!$H$4:$H$503,339),"yyyy-mm-dd"),"")&amp;". ")&amp;IF(LEN(IF(LEN(INDEX('Aides'!$U$4:$U$503,339))=0,"",INDEX('Aides'!$U$4:$U$503,339)))=0,"","Owner: "&amp;IF(LEN(INDEX('Aides'!$U$4:$U$503,339))=0,"",INDEX('Aides'!$U$4:$U$503,339))&amp;". ")&amp;IF(LEN(IF(LEN(INDEX('Aides'!$X$4:$X$503,339))=0,"",INDEX('Aides'!$X$4:$X$503,339)))=0,"",IF(LEN(INDEX('Aides'!$X$4:$X$503,339))=0,"",INDEX('Aides'!$X$4:$X$503,339))))</f>
        <v/>
      </c>
      <c r="I342">
        <f>IF(LEN(INDEX('Aides'!$W$4:$W$503,339))=0,"",INDEX('Aides'!$W$4:$W$503,339))</f>
        <v/>
      </c>
      <c r="J342">
        <f>IF(LEN(INDEX('Aides'!$V$4:$V$503,339))=0,"",INDEX('Aides'!$V$4:$V$503,339))</f>
        <v/>
      </c>
    </row>
    <row r="343">
      <c r="A343">
        <f>IF(AND(LEN('Aides'!A343)&gt;0,ISNUMBER('Aides'!I343)),1,0)</f>
        <v/>
      </c>
      <c r="B343">
        <f>B342+A343</f>
        <v/>
      </c>
      <c r="C343">
        <f>IF(340&gt;$B$1503,"",MATCH(340-0.5,$B$3:$B$1503,1))</f>
        <v/>
      </c>
      <c r="D343">
        <f>"CNA certification ("&amp;IF(LEN(INDEX('Aides'!$C$4:$C$503,340))=0,"",INDEX('Aides'!$C$4:$C$503,340))&amp;") – "&amp;IF(LEN(INDEX('Aides'!$A$4:$A$503,340))=0,"",INDEX('Aides'!$A$4:$A$503,340))</f>
        <v/>
      </c>
      <c r="E343">
        <f>IF(ISNUMBER(INDEX('Aides'!$I$4:$I$503,340)),TEXT(INDEX('Aides'!$I$4:$I$503,340),"yyyy-mm-dd"),"")</f>
        <v/>
      </c>
      <c r="F343">
        <f>"Certification"</f>
        <v/>
      </c>
      <c r="G343">
        <f>"High"</f>
        <v/>
      </c>
      <c r="H343">
        <f>TRIM(IF(LEN(IF(LEN(INDEX('Aides'!$D$4:$D$503,340))=0,"",INDEX('Aides'!$D$4:$D$503,340)))=0,"","Registry no.: "&amp;IF(LEN(INDEX('Aides'!$D$4:$D$503,340))=0,"",INDEX('Aides'!$D$4:$D$503,340))&amp;". ")&amp;IF(LEN(IF(ISNUMBER(INDEX('Aides'!$F$4:$F$503,340)),TEXT(INDEX('Aides'!$F$4:$F$503,340),"yyyy-mm-dd"),""))=0,"","Registry expiry: "&amp;IF(ISNUMBER(INDEX('Aides'!$F$4:$F$503,340)),TEXT(INDEX('Aides'!$F$4:$F$503,340),"yyyy-mm-dd"),"")&amp;". ")&amp;IF(LEN(IF(ISNUMBER(INDEX('Aides'!$G$4:$G$503,340)),TEXT(INDEX('Aides'!$G$4:$G$503,340),"yyyy-mm-dd"),""))=0,"","Last paid nursing work: "&amp;IF(ISNUMBER(INDEX('Aides'!$G$4:$G$503,340)),TEXT(INDEX('Aides'!$G$4:$G$503,340),"yyyy-mm-dd"),"")&amp;". ")&amp;IF(LEN(IF(ISNUMBER(INDEX('Aides'!$H$4:$H$503,340)),TEXT(INDEX('Aides'!$H$4:$H$503,340),"yyyy-mm-dd"),""))=0,"","24-month cut-off: "&amp;IF(ISNUMBER(INDEX('Aides'!$H$4:$H$503,340)),TEXT(INDEX('Aides'!$H$4:$H$503,340),"yyyy-mm-dd"),"")&amp;". ")&amp;IF(LEN(IF(LEN(INDEX('Aides'!$U$4:$U$503,340))=0,"",INDEX('Aides'!$U$4:$U$503,340)))=0,"","Owner: "&amp;IF(LEN(INDEX('Aides'!$U$4:$U$503,340))=0,"",INDEX('Aides'!$U$4:$U$503,340))&amp;". ")&amp;IF(LEN(IF(LEN(INDEX('Aides'!$X$4:$X$503,340))=0,"",INDEX('Aides'!$X$4:$X$503,340)))=0,"",IF(LEN(INDEX('Aides'!$X$4:$X$503,340))=0,"",INDEX('Aides'!$X$4:$X$503,340))))</f>
        <v/>
      </c>
      <c r="I343">
        <f>IF(LEN(INDEX('Aides'!$W$4:$W$503,340))=0,"",INDEX('Aides'!$W$4:$W$503,340))</f>
        <v/>
      </c>
      <c r="J343">
        <f>IF(LEN(INDEX('Aides'!$V$4:$V$503,340))=0,"",INDEX('Aides'!$V$4:$V$503,340))</f>
        <v/>
      </c>
    </row>
    <row r="344">
      <c r="A344">
        <f>IF(AND(LEN('Aides'!A344)&gt;0,ISNUMBER('Aides'!I344)),1,0)</f>
        <v/>
      </c>
      <c r="B344">
        <f>B343+A344</f>
        <v/>
      </c>
      <c r="C344">
        <f>IF(341&gt;$B$1503,"",MATCH(341-0.5,$B$3:$B$1503,1))</f>
        <v/>
      </c>
      <c r="D344">
        <f>"CNA certification ("&amp;IF(LEN(INDEX('Aides'!$C$4:$C$503,341))=0,"",INDEX('Aides'!$C$4:$C$503,341))&amp;") – "&amp;IF(LEN(INDEX('Aides'!$A$4:$A$503,341))=0,"",INDEX('Aides'!$A$4:$A$503,341))</f>
        <v/>
      </c>
      <c r="E344">
        <f>IF(ISNUMBER(INDEX('Aides'!$I$4:$I$503,341)),TEXT(INDEX('Aides'!$I$4:$I$503,341),"yyyy-mm-dd"),"")</f>
        <v/>
      </c>
      <c r="F344">
        <f>"Certification"</f>
        <v/>
      </c>
      <c r="G344">
        <f>"High"</f>
        <v/>
      </c>
      <c r="H344">
        <f>TRIM(IF(LEN(IF(LEN(INDEX('Aides'!$D$4:$D$503,341))=0,"",INDEX('Aides'!$D$4:$D$503,341)))=0,"","Registry no.: "&amp;IF(LEN(INDEX('Aides'!$D$4:$D$503,341))=0,"",INDEX('Aides'!$D$4:$D$503,341))&amp;". ")&amp;IF(LEN(IF(ISNUMBER(INDEX('Aides'!$F$4:$F$503,341)),TEXT(INDEX('Aides'!$F$4:$F$503,341),"yyyy-mm-dd"),""))=0,"","Registry expiry: "&amp;IF(ISNUMBER(INDEX('Aides'!$F$4:$F$503,341)),TEXT(INDEX('Aides'!$F$4:$F$503,341),"yyyy-mm-dd"),"")&amp;". ")&amp;IF(LEN(IF(ISNUMBER(INDEX('Aides'!$G$4:$G$503,341)),TEXT(INDEX('Aides'!$G$4:$G$503,341),"yyyy-mm-dd"),""))=0,"","Last paid nursing work: "&amp;IF(ISNUMBER(INDEX('Aides'!$G$4:$G$503,341)),TEXT(INDEX('Aides'!$G$4:$G$503,341),"yyyy-mm-dd"),"")&amp;". ")&amp;IF(LEN(IF(ISNUMBER(INDEX('Aides'!$H$4:$H$503,341)),TEXT(INDEX('Aides'!$H$4:$H$503,341),"yyyy-mm-dd"),""))=0,"","24-month cut-off: "&amp;IF(ISNUMBER(INDEX('Aides'!$H$4:$H$503,341)),TEXT(INDEX('Aides'!$H$4:$H$503,341),"yyyy-mm-dd"),"")&amp;". ")&amp;IF(LEN(IF(LEN(INDEX('Aides'!$U$4:$U$503,341))=0,"",INDEX('Aides'!$U$4:$U$503,341)))=0,"","Owner: "&amp;IF(LEN(INDEX('Aides'!$U$4:$U$503,341))=0,"",INDEX('Aides'!$U$4:$U$503,341))&amp;". ")&amp;IF(LEN(IF(LEN(INDEX('Aides'!$X$4:$X$503,341))=0,"",INDEX('Aides'!$X$4:$X$503,341)))=0,"",IF(LEN(INDEX('Aides'!$X$4:$X$503,341))=0,"",INDEX('Aides'!$X$4:$X$503,341))))</f>
        <v/>
      </c>
      <c r="I344">
        <f>IF(LEN(INDEX('Aides'!$W$4:$W$503,341))=0,"",INDEX('Aides'!$W$4:$W$503,341))</f>
        <v/>
      </c>
      <c r="J344">
        <f>IF(LEN(INDEX('Aides'!$V$4:$V$503,341))=0,"",INDEX('Aides'!$V$4:$V$503,341))</f>
        <v/>
      </c>
    </row>
    <row r="345">
      <c r="A345">
        <f>IF(AND(LEN('Aides'!A345)&gt;0,ISNUMBER('Aides'!I345)),1,0)</f>
        <v/>
      </c>
      <c r="B345">
        <f>B344+A345</f>
        <v/>
      </c>
      <c r="C345">
        <f>IF(342&gt;$B$1503,"",MATCH(342-0.5,$B$3:$B$1503,1))</f>
        <v/>
      </c>
      <c r="D345">
        <f>"CNA certification ("&amp;IF(LEN(INDEX('Aides'!$C$4:$C$503,342))=0,"",INDEX('Aides'!$C$4:$C$503,342))&amp;") – "&amp;IF(LEN(INDEX('Aides'!$A$4:$A$503,342))=0,"",INDEX('Aides'!$A$4:$A$503,342))</f>
        <v/>
      </c>
      <c r="E345">
        <f>IF(ISNUMBER(INDEX('Aides'!$I$4:$I$503,342)),TEXT(INDEX('Aides'!$I$4:$I$503,342),"yyyy-mm-dd"),"")</f>
        <v/>
      </c>
      <c r="F345">
        <f>"Certification"</f>
        <v/>
      </c>
      <c r="G345">
        <f>"High"</f>
        <v/>
      </c>
      <c r="H345">
        <f>TRIM(IF(LEN(IF(LEN(INDEX('Aides'!$D$4:$D$503,342))=0,"",INDEX('Aides'!$D$4:$D$503,342)))=0,"","Registry no.: "&amp;IF(LEN(INDEX('Aides'!$D$4:$D$503,342))=0,"",INDEX('Aides'!$D$4:$D$503,342))&amp;". ")&amp;IF(LEN(IF(ISNUMBER(INDEX('Aides'!$F$4:$F$503,342)),TEXT(INDEX('Aides'!$F$4:$F$503,342),"yyyy-mm-dd"),""))=0,"","Registry expiry: "&amp;IF(ISNUMBER(INDEX('Aides'!$F$4:$F$503,342)),TEXT(INDEX('Aides'!$F$4:$F$503,342),"yyyy-mm-dd"),"")&amp;". ")&amp;IF(LEN(IF(ISNUMBER(INDEX('Aides'!$G$4:$G$503,342)),TEXT(INDEX('Aides'!$G$4:$G$503,342),"yyyy-mm-dd"),""))=0,"","Last paid nursing work: "&amp;IF(ISNUMBER(INDEX('Aides'!$G$4:$G$503,342)),TEXT(INDEX('Aides'!$G$4:$G$503,342),"yyyy-mm-dd"),"")&amp;". ")&amp;IF(LEN(IF(ISNUMBER(INDEX('Aides'!$H$4:$H$503,342)),TEXT(INDEX('Aides'!$H$4:$H$503,342),"yyyy-mm-dd"),""))=0,"","24-month cut-off: "&amp;IF(ISNUMBER(INDEX('Aides'!$H$4:$H$503,342)),TEXT(INDEX('Aides'!$H$4:$H$503,342),"yyyy-mm-dd"),"")&amp;". ")&amp;IF(LEN(IF(LEN(INDEX('Aides'!$U$4:$U$503,342))=0,"",INDEX('Aides'!$U$4:$U$503,342)))=0,"","Owner: "&amp;IF(LEN(INDEX('Aides'!$U$4:$U$503,342))=0,"",INDEX('Aides'!$U$4:$U$503,342))&amp;". ")&amp;IF(LEN(IF(LEN(INDEX('Aides'!$X$4:$X$503,342))=0,"",INDEX('Aides'!$X$4:$X$503,342)))=0,"",IF(LEN(INDEX('Aides'!$X$4:$X$503,342))=0,"",INDEX('Aides'!$X$4:$X$503,342))))</f>
        <v/>
      </c>
      <c r="I345">
        <f>IF(LEN(INDEX('Aides'!$W$4:$W$503,342))=0,"",INDEX('Aides'!$W$4:$W$503,342))</f>
        <v/>
      </c>
      <c r="J345">
        <f>IF(LEN(INDEX('Aides'!$V$4:$V$503,342))=0,"",INDEX('Aides'!$V$4:$V$503,342))</f>
        <v/>
      </c>
    </row>
    <row r="346">
      <c r="A346">
        <f>IF(AND(LEN('Aides'!A346)&gt;0,ISNUMBER('Aides'!I346)),1,0)</f>
        <v/>
      </c>
      <c r="B346">
        <f>B345+A346</f>
        <v/>
      </c>
      <c r="C346">
        <f>IF(343&gt;$B$1503,"",MATCH(343-0.5,$B$3:$B$1503,1))</f>
        <v/>
      </c>
      <c r="D346">
        <f>"CNA certification ("&amp;IF(LEN(INDEX('Aides'!$C$4:$C$503,343))=0,"",INDEX('Aides'!$C$4:$C$503,343))&amp;") – "&amp;IF(LEN(INDEX('Aides'!$A$4:$A$503,343))=0,"",INDEX('Aides'!$A$4:$A$503,343))</f>
        <v/>
      </c>
      <c r="E346">
        <f>IF(ISNUMBER(INDEX('Aides'!$I$4:$I$503,343)),TEXT(INDEX('Aides'!$I$4:$I$503,343),"yyyy-mm-dd"),"")</f>
        <v/>
      </c>
      <c r="F346">
        <f>"Certification"</f>
        <v/>
      </c>
      <c r="G346">
        <f>"High"</f>
        <v/>
      </c>
      <c r="H346">
        <f>TRIM(IF(LEN(IF(LEN(INDEX('Aides'!$D$4:$D$503,343))=0,"",INDEX('Aides'!$D$4:$D$503,343)))=0,"","Registry no.: "&amp;IF(LEN(INDEX('Aides'!$D$4:$D$503,343))=0,"",INDEX('Aides'!$D$4:$D$503,343))&amp;". ")&amp;IF(LEN(IF(ISNUMBER(INDEX('Aides'!$F$4:$F$503,343)),TEXT(INDEX('Aides'!$F$4:$F$503,343),"yyyy-mm-dd"),""))=0,"","Registry expiry: "&amp;IF(ISNUMBER(INDEX('Aides'!$F$4:$F$503,343)),TEXT(INDEX('Aides'!$F$4:$F$503,343),"yyyy-mm-dd"),"")&amp;". ")&amp;IF(LEN(IF(ISNUMBER(INDEX('Aides'!$G$4:$G$503,343)),TEXT(INDEX('Aides'!$G$4:$G$503,343),"yyyy-mm-dd"),""))=0,"","Last paid nursing work: "&amp;IF(ISNUMBER(INDEX('Aides'!$G$4:$G$503,343)),TEXT(INDEX('Aides'!$G$4:$G$503,343),"yyyy-mm-dd"),"")&amp;". ")&amp;IF(LEN(IF(ISNUMBER(INDEX('Aides'!$H$4:$H$503,343)),TEXT(INDEX('Aides'!$H$4:$H$503,343),"yyyy-mm-dd"),""))=0,"","24-month cut-off: "&amp;IF(ISNUMBER(INDEX('Aides'!$H$4:$H$503,343)),TEXT(INDEX('Aides'!$H$4:$H$503,343),"yyyy-mm-dd"),"")&amp;". ")&amp;IF(LEN(IF(LEN(INDEX('Aides'!$U$4:$U$503,343))=0,"",INDEX('Aides'!$U$4:$U$503,343)))=0,"","Owner: "&amp;IF(LEN(INDEX('Aides'!$U$4:$U$503,343))=0,"",INDEX('Aides'!$U$4:$U$503,343))&amp;". ")&amp;IF(LEN(IF(LEN(INDEX('Aides'!$X$4:$X$503,343))=0,"",INDEX('Aides'!$X$4:$X$503,343)))=0,"",IF(LEN(INDEX('Aides'!$X$4:$X$503,343))=0,"",INDEX('Aides'!$X$4:$X$503,343))))</f>
        <v/>
      </c>
      <c r="I346">
        <f>IF(LEN(INDEX('Aides'!$W$4:$W$503,343))=0,"",INDEX('Aides'!$W$4:$W$503,343))</f>
        <v/>
      </c>
      <c r="J346">
        <f>IF(LEN(INDEX('Aides'!$V$4:$V$503,343))=0,"",INDEX('Aides'!$V$4:$V$503,343))</f>
        <v/>
      </c>
    </row>
    <row r="347">
      <c r="A347">
        <f>IF(AND(LEN('Aides'!A347)&gt;0,ISNUMBER('Aides'!I347)),1,0)</f>
        <v/>
      </c>
      <c r="B347">
        <f>B346+A347</f>
        <v/>
      </c>
      <c r="C347">
        <f>IF(344&gt;$B$1503,"",MATCH(344-0.5,$B$3:$B$1503,1))</f>
        <v/>
      </c>
      <c r="D347">
        <f>"CNA certification ("&amp;IF(LEN(INDEX('Aides'!$C$4:$C$503,344))=0,"",INDEX('Aides'!$C$4:$C$503,344))&amp;") – "&amp;IF(LEN(INDEX('Aides'!$A$4:$A$503,344))=0,"",INDEX('Aides'!$A$4:$A$503,344))</f>
        <v/>
      </c>
      <c r="E347">
        <f>IF(ISNUMBER(INDEX('Aides'!$I$4:$I$503,344)),TEXT(INDEX('Aides'!$I$4:$I$503,344),"yyyy-mm-dd"),"")</f>
        <v/>
      </c>
      <c r="F347">
        <f>"Certification"</f>
        <v/>
      </c>
      <c r="G347">
        <f>"High"</f>
        <v/>
      </c>
      <c r="H347">
        <f>TRIM(IF(LEN(IF(LEN(INDEX('Aides'!$D$4:$D$503,344))=0,"",INDEX('Aides'!$D$4:$D$503,344)))=0,"","Registry no.: "&amp;IF(LEN(INDEX('Aides'!$D$4:$D$503,344))=0,"",INDEX('Aides'!$D$4:$D$503,344))&amp;". ")&amp;IF(LEN(IF(ISNUMBER(INDEX('Aides'!$F$4:$F$503,344)),TEXT(INDEX('Aides'!$F$4:$F$503,344),"yyyy-mm-dd"),""))=0,"","Registry expiry: "&amp;IF(ISNUMBER(INDEX('Aides'!$F$4:$F$503,344)),TEXT(INDEX('Aides'!$F$4:$F$503,344),"yyyy-mm-dd"),"")&amp;". ")&amp;IF(LEN(IF(ISNUMBER(INDEX('Aides'!$G$4:$G$503,344)),TEXT(INDEX('Aides'!$G$4:$G$503,344),"yyyy-mm-dd"),""))=0,"","Last paid nursing work: "&amp;IF(ISNUMBER(INDEX('Aides'!$G$4:$G$503,344)),TEXT(INDEX('Aides'!$G$4:$G$503,344),"yyyy-mm-dd"),"")&amp;". ")&amp;IF(LEN(IF(ISNUMBER(INDEX('Aides'!$H$4:$H$503,344)),TEXT(INDEX('Aides'!$H$4:$H$503,344),"yyyy-mm-dd"),""))=0,"","24-month cut-off: "&amp;IF(ISNUMBER(INDEX('Aides'!$H$4:$H$503,344)),TEXT(INDEX('Aides'!$H$4:$H$503,344),"yyyy-mm-dd"),"")&amp;". ")&amp;IF(LEN(IF(LEN(INDEX('Aides'!$U$4:$U$503,344))=0,"",INDEX('Aides'!$U$4:$U$503,344)))=0,"","Owner: "&amp;IF(LEN(INDEX('Aides'!$U$4:$U$503,344))=0,"",INDEX('Aides'!$U$4:$U$503,344))&amp;". ")&amp;IF(LEN(IF(LEN(INDEX('Aides'!$X$4:$X$503,344))=0,"",INDEX('Aides'!$X$4:$X$503,344)))=0,"",IF(LEN(INDEX('Aides'!$X$4:$X$503,344))=0,"",INDEX('Aides'!$X$4:$X$503,344))))</f>
        <v/>
      </c>
      <c r="I347">
        <f>IF(LEN(INDEX('Aides'!$W$4:$W$503,344))=0,"",INDEX('Aides'!$W$4:$W$503,344))</f>
        <v/>
      </c>
      <c r="J347">
        <f>IF(LEN(INDEX('Aides'!$V$4:$V$503,344))=0,"",INDEX('Aides'!$V$4:$V$503,344))</f>
        <v/>
      </c>
    </row>
    <row r="348">
      <c r="A348">
        <f>IF(AND(LEN('Aides'!A348)&gt;0,ISNUMBER('Aides'!I348)),1,0)</f>
        <v/>
      </c>
      <c r="B348">
        <f>B347+A348</f>
        <v/>
      </c>
      <c r="C348">
        <f>IF(345&gt;$B$1503,"",MATCH(345-0.5,$B$3:$B$1503,1))</f>
        <v/>
      </c>
      <c r="D348">
        <f>"CNA certification ("&amp;IF(LEN(INDEX('Aides'!$C$4:$C$503,345))=0,"",INDEX('Aides'!$C$4:$C$503,345))&amp;") – "&amp;IF(LEN(INDEX('Aides'!$A$4:$A$503,345))=0,"",INDEX('Aides'!$A$4:$A$503,345))</f>
        <v/>
      </c>
      <c r="E348">
        <f>IF(ISNUMBER(INDEX('Aides'!$I$4:$I$503,345)),TEXT(INDEX('Aides'!$I$4:$I$503,345),"yyyy-mm-dd"),"")</f>
        <v/>
      </c>
      <c r="F348">
        <f>"Certification"</f>
        <v/>
      </c>
      <c r="G348">
        <f>"High"</f>
        <v/>
      </c>
      <c r="H348">
        <f>TRIM(IF(LEN(IF(LEN(INDEX('Aides'!$D$4:$D$503,345))=0,"",INDEX('Aides'!$D$4:$D$503,345)))=0,"","Registry no.: "&amp;IF(LEN(INDEX('Aides'!$D$4:$D$503,345))=0,"",INDEX('Aides'!$D$4:$D$503,345))&amp;". ")&amp;IF(LEN(IF(ISNUMBER(INDEX('Aides'!$F$4:$F$503,345)),TEXT(INDEX('Aides'!$F$4:$F$503,345),"yyyy-mm-dd"),""))=0,"","Registry expiry: "&amp;IF(ISNUMBER(INDEX('Aides'!$F$4:$F$503,345)),TEXT(INDEX('Aides'!$F$4:$F$503,345),"yyyy-mm-dd"),"")&amp;". ")&amp;IF(LEN(IF(ISNUMBER(INDEX('Aides'!$G$4:$G$503,345)),TEXT(INDEX('Aides'!$G$4:$G$503,345),"yyyy-mm-dd"),""))=0,"","Last paid nursing work: "&amp;IF(ISNUMBER(INDEX('Aides'!$G$4:$G$503,345)),TEXT(INDEX('Aides'!$G$4:$G$503,345),"yyyy-mm-dd"),"")&amp;". ")&amp;IF(LEN(IF(ISNUMBER(INDEX('Aides'!$H$4:$H$503,345)),TEXT(INDEX('Aides'!$H$4:$H$503,345),"yyyy-mm-dd"),""))=0,"","24-month cut-off: "&amp;IF(ISNUMBER(INDEX('Aides'!$H$4:$H$503,345)),TEXT(INDEX('Aides'!$H$4:$H$503,345),"yyyy-mm-dd"),"")&amp;". ")&amp;IF(LEN(IF(LEN(INDEX('Aides'!$U$4:$U$503,345))=0,"",INDEX('Aides'!$U$4:$U$503,345)))=0,"","Owner: "&amp;IF(LEN(INDEX('Aides'!$U$4:$U$503,345))=0,"",INDEX('Aides'!$U$4:$U$503,345))&amp;". ")&amp;IF(LEN(IF(LEN(INDEX('Aides'!$X$4:$X$503,345))=0,"",INDEX('Aides'!$X$4:$X$503,345)))=0,"",IF(LEN(INDEX('Aides'!$X$4:$X$503,345))=0,"",INDEX('Aides'!$X$4:$X$503,345))))</f>
        <v/>
      </c>
      <c r="I348">
        <f>IF(LEN(INDEX('Aides'!$W$4:$W$503,345))=0,"",INDEX('Aides'!$W$4:$W$503,345))</f>
        <v/>
      </c>
      <c r="J348">
        <f>IF(LEN(INDEX('Aides'!$V$4:$V$503,345))=0,"",INDEX('Aides'!$V$4:$V$503,345))</f>
        <v/>
      </c>
    </row>
    <row r="349">
      <c r="A349">
        <f>IF(AND(LEN('Aides'!A349)&gt;0,ISNUMBER('Aides'!I349)),1,0)</f>
        <v/>
      </c>
      <c r="B349">
        <f>B348+A349</f>
        <v/>
      </c>
      <c r="C349">
        <f>IF(346&gt;$B$1503,"",MATCH(346-0.5,$B$3:$B$1503,1))</f>
        <v/>
      </c>
      <c r="D349">
        <f>"CNA certification ("&amp;IF(LEN(INDEX('Aides'!$C$4:$C$503,346))=0,"",INDEX('Aides'!$C$4:$C$503,346))&amp;") – "&amp;IF(LEN(INDEX('Aides'!$A$4:$A$503,346))=0,"",INDEX('Aides'!$A$4:$A$503,346))</f>
        <v/>
      </c>
      <c r="E349">
        <f>IF(ISNUMBER(INDEX('Aides'!$I$4:$I$503,346)),TEXT(INDEX('Aides'!$I$4:$I$503,346),"yyyy-mm-dd"),"")</f>
        <v/>
      </c>
      <c r="F349">
        <f>"Certification"</f>
        <v/>
      </c>
      <c r="G349">
        <f>"High"</f>
        <v/>
      </c>
      <c r="H349">
        <f>TRIM(IF(LEN(IF(LEN(INDEX('Aides'!$D$4:$D$503,346))=0,"",INDEX('Aides'!$D$4:$D$503,346)))=0,"","Registry no.: "&amp;IF(LEN(INDEX('Aides'!$D$4:$D$503,346))=0,"",INDEX('Aides'!$D$4:$D$503,346))&amp;". ")&amp;IF(LEN(IF(ISNUMBER(INDEX('Aides'!$F$4:$F$503,346)),TEXT(INDEX('Aides'!$F$4:$F$503,346),"yyyy-mm-dd"),""))=0,"","Registry expiry: "&amp;IF(ISNUMBER(INDEX('Aides'!$F$4:$F$503,346)),TEXT(INDEX('Aides'!$F$4:$F$503,346),"yyyy-mm-dd"),"")&amp;". ")&amp;IF(LEN(IF(ISNUMBER(INDEX('Aides'!$G$4:$G$503,346)),TEXT(INDEX('Aides'!$G$4:$G$503,346),"yyyy-mm-dd"),""))=0,"","Last paid nursing work: "&amp;IF(ISNUMBER(INDEX('Aides'!$G$4:$G$503,346)),TEXT(INDEX('Aides'!$G$4:$G$503,346),"yyyy-mm-dd"),"")&amp;". ")&amp;IF(LEN(IF(ISNUMBER(INDEX('Aides'!$H$4:$H$503,346)),TEXT(INDEX('Aides'!$H$4:$H$503,346),"yyyy-mm-dd"),""))=0,"","24-month cut-off: "&amp;IF(ISNUMBER(INDEX('Aides'!$H$4:$H$503,346)),TEXT(INDEX('Aides'!$H$4:$H$503,346),"yyyy-mm-dd"),"")&amp;". ")&amp;IF(LEN(IF(LEN(INDEX('Aides'!$U$4:$U$503,346))=0,"",INDEX('Aides'!$U$4:$U$503,346)))=0,"","Owner: "&amp;IF(LEN(INDEX('Aides'!$U$4:$U$503,346))=0,"",INDEX('Aides'!$U$4:$U$503,346))&amp;". ")&amp;IF(LEN(IF(LEN(INDEX('Aides'!$X$4:$X$503,346))=0,"",INDEX('Aides'!$X$4:$X$503,346)))=0,"",IF(LEN(INDEX('Aides'!$X$4:$X$503,346))=0,"",INDEX('Aides'!$X$4:$X$503,346))))</f>
        <v/>
      </c>
      <c r="I349">
        <f>IF(LEN(INDEX('Aides'!$W$4:$W$503,346))=0,"",INDEX('Aides'!$W$4:$W$503,346))</f>
        <v/>
      </c>
      <c r="J349">
        <f>IF(LEN(INDEX('Aides'!$V$4:$V$503,346))=0,"",INDEX('Aides'!$V$4:$V$503,346))</f>
        <v/>
      </c>
    </row>
    <row r="350">
      <c r="A350">
        <f>IF(AND(LEN('Aides'!A350)&gt;0,ISNUMBER('Aides'!I350)),1,0)</f>
        <v/>
      </c>
      <c r="B350">
        <f>B349+A350</f>
        <v/>
      </c>
      <c r="C350">
        <f>IF(347&gt;$B$1503,"",MATCH(347-0.5,$B$3:$B$1503,1))</f>
        <v/>
      </c>
      <c r="D350">
        <f>"CNA certification ("&amp;IF(LEN(INDEX('Aides'!$C$4:$C$503,347))=0,"",INDEX('Aides'!$C$4:$C$503,347))&amp;") – "&amp;IF(LEN(INDEX('Aides'!$A$4:$A$503,347))=0,"",INDEX('Aides'!$A$4:$A$503,347))</f>
        <v/>
      </c>
      <c r="E350">
        <f>IF(ISNUMBER(INDEX('Aides'!$I$4:$I$503,347)),TEXT(INDEX('Aides'!$I$4:$I$503,347),"yyyy-mm-dd"),"")</f>
        <v/>
      </c>
      <c r="F350">
        <f>"Certification"</f>
        <v/>
      </c>
      <c r="G350">
        <f>"High"</f>
        <v/>
      </c>
      <c r="H350">
        <f>TRIM(IF(LEN(IF(LEN(INDEX('Aides'!$D$4:$D$503,347))=0,"",INDEX('Aides'!$D$4:$D$503,347)))=0,"","Registry no.: "&amp;IF(LEN(INDEX('Aides'!$D$4:$D$503,347))=0,"",INDEX('Aides'!$D$4:$D$503,347))&amp;". ")&amp;IF(LEN(IF(ISNUMBER(INDEX('Aides'!$F$4:$F$503,347)),TEXT(INDEX('Aides'!$F$4:$F$503,347),"yyyy-mm-dd"),""))=0,"","Registry expiry: "&amp;IF(ISNUMBER(INDEX('Aides'!$F$4:$F$503,347)),TEXT(INDEX('Aides'!$F$4:$F$503,347),"yyyy-mm-dd"),"")&amp;". ")&amp;IF(LEN(IF(ISNUMBER(INDEX('Aides'!$G$4:$G$503,347)),TEXT(INDEX('Aides'!$G$4:$G$503,347),"yyyy-mm-dd"),""))=0,"","Last paid nursing work: "&amp;IF(ISNUMBER(INDEX('Aides'!$G$4:$G$503,347)),TEXT(INDEX('Aides'!$G$4:$G$503,347),"yyyy-mm-dd"),"")&amp;". ")&amp;IF(LEN(IF(ISNUMBER(INDEX('Aides'!$H$4:$H$503,347)),TEXT(INDEX('Aides'!$H$4:$H$503,347),"yyyy-mm-dd"),""))=0,"","24-month cut-off: "&amp;IF(ISNUMBER(INDEX('Aides'!$H$4:$H$503,347)),TEXT(INDEX('Aides'!$H$4:$H$503,347),"yyyy-mm-dd"),"")&amp;". ")&amp;IF(LEN(IF(LEN(INDEX('Aides'!$U$4:$U$503,347))=0,"",INDEX('Aides'!$U$4:$U$503,347)))=0,"","Owner: "&amp;IF(LEN(INDEX('Aides'!$U$4:$U$503,347))=0,"",INDEX('Aides'!$U$4:$U$503,347))&amp;". ")&amp;IF(LEN(IF(LEN(INDEX('Aides'!$X$4:$X$503,347))=0,"",INDEX('Aides'!$X$4:$X$503,347)))=0,"",IF(LEN(INDEX('Aides'!$X$4:$X$503,347))=0,"",INDEX('Aides'!$X$4:$X$503,347))))</f>
        <v/>
      </c>
      <c r="I350">
        <f>IF(LEN(INDEX('Aides'!$W$4:$W$503,347))=0,"",INDEX('Aides'!$W$4:$W$503,347))</f>
        <v/>
      </c>
      <c r="J350">
        <f>IF(LEN(INDEX('Aides'!$V$4:$V$503,347))=0,"",INDEX('Aides'!$V$4:$V$503,347))</f>
        <v/>
      </c>
    </row>
    <row r="351">
      <c r="A351">
        <f>IF(AND(LEN('Aides'!A351)&gt;0,ISNUMBER('Aides'!I351)),1,0)</f>
        <v/>
      </c>
      <c r="B351">
        <f>B350+A351</f>
        <v/>
      </c>
      <c r="C351">
        <f>IF(348&gt;$B$1503,"",MATCH(348-0.5,$B$3:$B$1503,1))</f>
        <v/>
      </c>
      <c r="D351">
        <f>"CNA certification ("&amp;IF(LEN(INDEX('Aides'!$C$4:$C$503,348))=0,"",INDEX('Aides'!$C$4:$C$503,348))&amp;") – "&amp;IF(LEN(INDEX('Aides'!$A$4:$A$503,348))=0,"",INDEX('Aides'!$A$4:$A$503,348))</f>
        <v/>
      </c>
      <c r="E351">
        <f>IF(ISNUMBER(INDEX('Aides'!$I$4:$I$503,348)),TEXT(INDEX('Aides'!$I$4:$I$503,348),"yyyy-mm-dd"),"")</f>
        <v/>
      </c>
      <c r="F351">
        <f>"Certification"</f>
        <v/>
      </c>
      <c r="G351">
        <f>"High"</f>
        <v/>
      </c>
      <c r="H351">
        <f>TRIM(IF(LEN(IF(LEN(INDEX('Aides'!$D$4:$D$503,348))=0,"",INDEX('Aides'!$D$4:$D$503,348)))=0,"","Registry no.: "&amp;IF(LEN(INDEX('Aides'!$D$4:$D$503,348))=0,"",INDEX('Aides'!$D$4:$D$503,348))&amp;". ")&amp;IF(LEN(IF(ISNUMBER(INDEX('Aides'!$F$4:$F$503,348)),TEXT(INDEX('Aides'!$F$4:$F$503,348),"yyyy-mm-dd"),""))=0,"","Registry expiry: "&amp;IF(ISNUMBER(INDEX('Aides'!$F$4:$F$503,348)),TEXT(INDEX('Aides'!$F$4:$F$503,348),"yyyy-mm-dd"),"")&amp;". ")&amp;IF(LEN(IF(ISNUMBER(INDEX('Aides'!$G$4:$G$503,348)),TEXT(INDEX('Aides'!$G$4:$G$503,348),"yyyy-mm-dd"),""))=0,"","Last paid nursing work: "&amp;IF(ISNUMBER(INDEX('Aides'!$G$4:$G$503,348)),TEXT(INDEX('Aides'!$G$4:$G$503,348),"yyyy-mm-dd"),"")&amp;". ")&amp;IF(LEN(IF(ISNUMBER(INDEX('Aides'!$H$4:$H$503,348)),TEXT(INDEX('Aides'!$H$4:$H$503,348),"yyyy-mm-dd"),""))=0,"","24-month cut-off: "&amp;IF(ISNUMBER(INDEX('Aides'!$H$4:$H$503,348)),TEXT(INDEX('Aides'!$H$4:$H$503,348),"yyyy-mm-dd"),"")&amp;". ")&amp;IF(LEN(IF(LEN(INDEX('Aides'!$U$4:$U$503,348))=0,"",INDEX('Aides'!$U$4:$U$503,348)))=0,"","Owner: "&amp;IF(LEN(INDEX('Aides'!$U$4:$U$503,348))=0,"",INDEX('Aides'!$U$4:$U$503,348))&amp;". ")&amp;IF(LEN(IF(LEN(INDEX('Aides'!$X$4:$X$503,348))=0,"",INDEX('Aides'!$X$4:$X$503,348)))=0,"",IF(LEN(INDEX('Aides'!$X$4:$X$503,348))=0,"",INDEX('Aides'!$X$4:$X$503,348))))</f>
        <v/>
      </c>
      <c r="I351">
        <f>IF(LEN(INDEX('Aides'!$W$4:$W$503,348))=0,"",INDEX('Aides'!$W$4:$W$503,348))</f>
        <v/>
      </c>
      <c r="J351">
        <f>IF(LEN(INDEX('Aides'!$V$4:$V$503,348))=0,"",INDEX('Aides'!$V$4:$V$503,348))</f>
        <v/>
      </c>
    </row>
    <row r="352">
      <c r="A352">
        <f>IF(AND(LEN('Aides'!A352)&gt;0,ISNUMBER('Aides'!I352)),1,0)</f>
        <v/>
      </c>
      <c r="B352">
        <f>B351+A352</f>
        <v/>
      </c>
      <c r="C352">
        <f>IF(349&gt;$B$1503,"",MATCH(349-0.5,$B$3:$B$1503,1))</f>
        <v/>
      </c>
      <c r="D352">
        <f>"CNA certification ("&amp;IF(LEN(INDEX('Aides'!$C$4:$C$503,349))=0,"",INDEX('Aides'!$C$4:$C$503,349))&amp;") – "&amp;IF(LEN(INDEX('Aides'!$A$4:$A$503,349))=0,"",INDEX('Aides'!$A$4:$A$503,349))</f>
        <v/>
      </c>
      <c r="E352">
        <f>IF(ISNUMBER(INDEX('Aides'!$I$4:$I$503,349)),TEXT(INDEX('Aides'!$I$4:$I$503,349),"yyyy-mm-dd"),"")</f>
        <v/>
      </c>
      <c r="F352">
        <f>"Certification"</f>
        <v/>
      </c>
      <c r="G352">
        <f>"High"</f>
        <v/>
      </c>
      <c r="H352">
        <f>TRIM(IF(LEN(IF(LEN(INDEX('Aides'!$D$4:$D$503,349))=0,"",INDEX('Aides'!$D$4:$D$503,349)))=0,"","Registry no.: "&amp;IF(LEN(INDEX('Aides'!$D$4:$D$503,349))=0,"",INDEX('Aides'!$D$4:$D$503,349))&amp;". ")&amp;IF(LEN(IF(ISNUMBER(INDEX('Aides'!$F$4:$F$503,349)),TEXT(INDEX('Aides'!$F$4:$F$503,349),"yyyy-mm-dd"),""))=0,"","Registry expiry: "&amp;IF(ISNUMBER(INDEX('Aides'!$F$4:$F$503,349)),TEXT(INDEX('Aides'!$F$4:$F$503,349),"yyyy-mm-dd"),"")&amp;". ")&amp;IF(LEN(IF(ISNUMBER(INDEX('Aides'!$G$4:$G$503,349)),TEXT(INDEX('Aides'!$G$4:$G$503,349),"yyyy-mm-dd"),""))=0,"","Last paid nursing work: "&amp;IF(ISNUMBER(INDEX('Aides'!$G$4:$G$503,349)),TEXT(INDEX('Aides'!$G$4:$G$503,349),"yyyy-mm-dd"),"")&amp;". ")&amp;IF(LEN(IF(ISNUMBER(INDEX('Aides'!$H$4:$H$503,349)),TEXT(INDEX('Aides'!$H$4:$H$503,349),"yyyy-mm-dd"),""))=0,"","24-month cut-off: "&amp;IF(ISNUMBER(INDEX('Aides'!$H$4:$H$503,349)),TEXT(INDEX('Aides'!$H$4:$H$503,349),"yyyy-mm-dd"),"")&amp;". ")&amp;IF(LEN(IF(LEN(INDEX('Aides'!$U$4:$U$503,349))=0,"",INDEX('Aides'!$U$4:$U$503,349)))=0,"","Owner: "&amp;IF(LEN(INDEX('Aides'!$U$4:$U$503,349))=0,"",INDEX('Aides'!$U$4:$U$503,349))&amp;". ")&amp;IF(LEN(IF(LEN(INDEX('Aides'!$X$4:$X$503,349))=0,"",INDEX('Aides'!$X$4:$X$503,349)))=0,"",IF(LEN(INDEX('Aides'!$X$4:$X$503,349))=0,"",INDEX('Aides'!$X$4:$X$503,349))))</f>
        <v/>
      </c>
      <c r="I352">
        <f>IF(LEN(INDEX('Aides'!$W$4:$W$503,349))=0,"",INDEX('Aides'!$W$4:$W$503,349))</f>
        <v/>
      </c>
      <c r="J352">
        <f>IF(LEN(INDEX('Aides'!$V$4:$V$503,349))=0,"",INDEX('Aides'!$V$4:$V$503,349))</f>
        <v/>
      </c>
    </row>
    <row r="353">
      <c r="A353">
        <f>IF(AND(LEN('Aides'!A353)&gt;0,ISNUMBER('Aides'!I353)),1,0)</f>
        <v/>
      </c>
      <c r="B353">
        <f>B352+A353</f>
        <v/>
      </c>
      <c r="C353">
        <f>IF(350&gt;$B$1503,"",MATCH(350-0.5,$B$3:$B$1503,1))</f>
        <v/>
      </c>
      <c r="D353">
        <f>"CNA certification ("&amp;IF(LEN(INDEX('Aides'!$C$4:$C$503,350))=0,"",INDEX('Aides'!$C$4:$C$503,350))&amp;") – "&amp;IF(LEN(INDEX('Aides'!$A$4:$A$503,350))=0,"",INDEX('Aides'!$A$4:$A$503,350))</f>
        <v/>
      </c>
      <c r="E353">
        <f>IF(ISNUMBER(INDEX('Aides'!$I$4:$I$503,350)),TEXT(INDEX('Aides'!$I$4:$I$503,350),"yyyy-mm-dd"),"")</f>
        <v/>
      </c>
      <c r="F353">
        <f>"Certification"</f>
        <v/>
      </c>
      <c r="G353">
        <f>"High"</f>
        <v/>
      </c>
      <c r="H353">
        <f>TRIM(IF(LEN(IF(LEN(INDEX('Aides'!$D$4:$D$503,350))=0,"",INDEX('Aides'!$D$4:$D$503,350)))=0,"","Registry no.: "&amp;IF(LEN(INDEX('Aides'!$D$4:$D$503,350))=0,"",INDEX('Aides'!$D$4:$D$503,350))&amp;". ")&amp;IF(LEN(IF(ISNUMBER(INDEX('Aides'!$F$4:$F$503,350)),TEXT(INDEX('Aides'!$F$4:$F$503,350),"yyyy-mm-dd"),""))=0,"","Registry expiry: "&amp;IF(ISNUMBER(INDEX('Aides'!$F$4:$F$503,350)),TEXT(INDEX('Aides'!$F$4:$F$503,350),"yyyy-mm-dd"),"")&amp;". ")&amp;IF(LEN(IF(ISNUMBER(INDEX('Aides'!$G$4:$G$503,350)),TEXT(INDEX('Aides'!$G$4:$G$503,350),"yyyy-mm-dd"),""))=0,"","Last paid nursing work: "&amp;IF(ISNUMBER(INDEX('Aides'!$G$4:$G$503,350)),TEXT(INDEX('Aides'!$G$4:$G$503,350),"yyyy-mm-dd"),"")&amp;". ")&amp;IF(LEN(IF(ISNUMBER(INDEX('Aides'!$H$4:$H$503,350)),TEXT(INDEX('Aides'!$H$4:$H$503,350),"yyyy-mm-dd"),""))=0,"","24-month cut-off: "&amp;IF(ISNUMBER(INDEX('Aides'!$H$4:$H$503,350)),TEXT(INDEX('Aides'!$H$4:$H$503,350),"yyyy-mm-dd"),"")&amp;". ")&amp;IF(LEN(IF(LEN(INDEX('Aides'!$U$4:$U$503,350))=0,"",INDEX('Aides'!$U$4:$U$503,350)))=0,"","Owner: "&amp;IF(LEN(INDEX('Aides'!$U$4:$U$503,350))=0,"",INDEX('Aides'!$U$4:$U$503,350))&amp;". ")&amp;IF(LEN(IF(LEN(INDEX('Aides'!$X$4:$X$503,350))=0,"",INDEX('Aides'!$X$4:$X$503,350)))=0,"",IF(LEN(INDEX('Aides'!$X$4:$X$503,350))=0,"",INDEX('Aides'!$X$4:$X$503,350))))</f>
        <v/>
      </c>
      <c r="I353">
        <f>IF(LEN(INDEX('Aides'!$W$4:$W$503,350))=0,"",INDEX('Aides'!$W$4:$W$503,350))</f>
        <v/>
      </c>
      <c r="J353">
        <f>IF(LEN(INDEX('Aides'!$V$4:$V$503,350))=0,"",INDEX('Aides'!$V$4:$V$503,350))</f>
        <v/>
      </c>
    </row>
    <row r="354">
      <c r="A354">
        <f>IF(AND(LEN('Aides'!A354)&gt;0,ISNUMBER('Aides'!I354)),1,0)</f>
        <v/>
      </c>
      <c r="B354">
        <f>B353+A354</f>
        <v/>
      </c>
      <c r="C354">
        <f>IF(351&gt;$B$1503,"",MATCH(351-0.5,$B$3:$B$1503,1))</f>
        <v/>
      </c>
      <c r="D354">
        <f>"CNA certification ("&amp;IF(LEN(INDEX('Aides'!$C$4:$C$503,351))=0,"",INDEX('Aides'!$C$4:$C$503,351))&amp;") – "&amp;IF(LEN(INDEX('Aides'!$A$4:$A$503,351))=0,"",INDEX('Aides'!$A$4:$A$503,351))</f>
        <v/>
      </c>
      <c r="E354">
        <f>IF(ISNUMBER(INDEX('Aides'!$I$4:$I$503,351)),TEXT(INDEX('Aides'!$I$4:$I$503,351),"yyyy-mm-dd"),"")</f>
        <v/>
      </c>
      <c r="F354">
        <f>"Certification"</f>
        <v/>
      </c>
      <c r="G354">
        <f>"High"</f>
        <v/>
      </c>
      <c r="H354">
        <f>TRIM(IF(LEN(IF(LEN(INDEX('Aides'!$D$4:$D$503,351))=0,"",INDEX('Aides'!$D$4:$D$503,351)))=0,"","Registry no.: "&amp;IF(LEN(INDEX('Aides'!$D$4:$D$503,351))=0,"",INDEX('Aides'!$D$4:$D$503,351))&amp;". ")&amp;IF(LEN(IF(ISNUMBER(INDEX('Aides'!$F$4:$F$503,351)),TEXT(INDEX('Aides'!$F$4:$F$503,351),"yyyy-mm-dd"),""))=0,"","Registry expiry: "&amp;IF(ISNUMBER(INDEX('Aides'!$F$4:$F$503,351)),TEXT(INDEX('Aides'!$F$4:$F$503,351),"yyyy-mm-dd"),"")&amp;". ")&amp;IF(LEN(IF(ISNUMBER(INDEX('Aides'!$G$4:$G$503,351)),TEXT(INDEX('Aides'!$G$4:$G$503,351),"yyyy-mm-dd"),""))=0,"","Last paid nursing work: "&amp;IF(ISNUMBER(INDEX('Aides'!$G$4:$G$503,351)),TEXT(INDEX('Aides'!$G$4:$G$503,351),"yyyy-mm-dd"),"")&amp;". ")&amp;IF(LEN(IF(ISNUMBER(INDEX('Aides'!$H$4:$H$503,351)),TEXT(INDEX('Aides'!$H$4:$H$503,351),"yyyy-mm-dd"),""))=0,"","24-month cut-off: "&amp;IF(ISNUMBER(INDEX('Aides'!$H$4:$H$503,351)),TEXT(INDEX('Aides'!$H$4:$H$503,351),"yyyy-mm-dd"),"")&amp;". ")&amp;IF(LEN(IF(LEN(INDEX('Aides'!$U$4:$U$503,351))=0,"",INDEX('Aides'!$U$4:$U$503,351)))=0,"","Owner: "&amp;IF(LEN(INDEX('Aides'!$U$4:$U$503,351))=0,"",INDEX('Aides'!$U$4:$U$503,351))&amp;". ")&amp;IF(LEN(IF(LEN(INDEX('Aides'!$X$4:$X$503,351))=0,"",INDEX('Aides'!$X$4:$X$503,351)))=0,"",IF(LEN(INDEX('Aides'!$X$4:$X$503,351))=0,"",INDEX('Aides'!$X$4:$X$503,351))))</f>
        <v/>
      </c>
      <c r="I354">
        <f>IF(LEN(INDEX('Aides'!$W$4:$W$503,351))=0,"",INDEX('Aides'!$W$4:$W$503,351))</f>
        <v/>
      </c>
      <c r="J354">
        <f>IF(LEN(INDEX('Aides'!$V$4:$V$503,351))=0,"",INDEX('Aides'!$V$4:$V$503,351))</f>
        <v/>
      </c>
    </row>
    <row r="355">
      <c r="A355">
        <f>IF(AND(LEN('Aides'!A355)&gt;0,ISNUMBER('Aides'!I355)),1,0)</f>
        <v/>
      </c>
      <c r="B355">
        <f>B354+A355</f>
        <v/>
      </c>
      <c r="C355">
        <f>IF(352&gt;$B$1503,"",MATCH(352-0.5,$B$3:$B$1503,1))</f>
        <v/>
      </c>
      <c r="D355">
        <f>"CNA certification ("&amp;IF(LEN(INDEX('Aides'!$C$4:$C$503,352))=0,"",INDEX('Aides'!$C$4:$C$503,352))&amp;") – "&amp;IF(LEN(INDEX('Aides'!$A$4:$A$503,352))=0,"",INDEX('Aides'!$A$4:$A$503,352))</f>
        <v/>
      </c>
      <c r="E355">
        <f>IF(ISNUMBER(INDEX('Aides'!$I$4:$I$503,352)),TEXT(INDEX('Aides'!$I$4:$I$503,352),"yyyy-mm-dd"),"")</f>
        <v/>
      </c>
      <c r="F355">
        <f>"Certification"</f>
        <v/>
      </c>
      <c r="G355">
        <f>"High"</f>
        <v/>
      </c>
      <c r="H355">
        <f>TRIM(IF(LEN(IF(LEN(INDEX('Aides'!$D$4:$D$503,352))=0,"",INDEX('Aides'!$D$4:$D$503,352)))=0,"","Registry no.: "&amp;IF(LEN(INDEX('Aides'!$D$4:$D$503,352))=0,"",INDEX('Aides'!$D$4:$D$503,352))&amp;". ")&amp;IF(LEN(IF(ISNUMBER(INDEX('Aides'!$F$4:$F$503,352)),TEXT(INDEX('Aides'!$F$4:$F$503,352),"yyyy-mm-dd"),""))=0,"","Registry expiry: "&amp;IF(ISNUMBER(INDEX('Aides'!$F$4:$F$503,352)),TEXT(INDEX('Aides'!$F$4:$F$503,352),"yyyy-mm-dd"),"")&amp;". ")&amp;IF(LEN(IF(ISNUMBER(INDEX('Aides'!$G$4:$G$503,352)),TEXT(INDEX('Aides'!$G$4:$G$503,352),"yyyy-mm-dd"),""))=0,"","Last paid nursing work: "&amp;IF(ISNUMBER(INDEX('Aides'!$G$4:$G$503,352)),TEXT(INDEX('Aides'!$G$4:$G$503,352),"yyyy-mm-dd"),"")&amp;". ")&amp;IF(LEN(IF(ISNUMBER(INDEX('Aides'!$H$4:$H$503,352)),TEXT(INDEX('Aides'!$H$4:$H$503,352),"yyyy-mm-dd"),""))=0,"","24-month cut-off: "&amp;IF(ISNUMBER(INDEX('Aides'!$H$4:$H$503,352)),TEXT(INDEX('Aides'!$H$4:$H$503,352),"yyyy-mm-dd"),"")&amp;". ")&amp;IF(LEN(IF(LEN(INDEX('Aides'!$U$4:$U$503,352))=0,"",INDEX('Aides'!$U$4:$U$503,352)))=0,"","Owner: "&amp;IF(LEN(INDEX('Aides'!$U$4:$U$503,352))=0,"",INDEX('Aides'!$U$4:$U$503,352))&amp;". ")&amp;IF(LEN(IF(LEN(INDEX('Aides'!$X$4:$X$503,352))=0,"",INDEX('Aides'!$X$4:$X$503,352)))=0,"",IF(LEN(INDEX('Aides'!$X$4:$X$503,352))=0,"",INDEX('Aides'!$X$4:$X$503,352))))</f>
        <v/>
      </c>
      <c r="I355">
        <f>IF(LEN(INDEX('Aides'!$W$4:$W$503,352))=0,"",INDEX('Aides'!$W$4:$W$503,352))</f>
        <v/>
      </c>
      <c r="J355">
        <f>IF(LEN(INDEX('Aides'!$V$4:$V$503,352))=0,"",INDEX('Aides'!$V$4:$V$503,352))</f>
        <v/>
      </c>
    </row>
    <row r="356">
      <c r="A356">
        <f>IF(AND(LEN('Aides'!A356)&gt;0,ISNUMBER('Aides'!I356)),1,0)</f>
        <v/>
      </c>
      <c r="B356">
        <f>B355+A356</f>
        <v/>
      </c>
      <c r="C356">
        <f>IF(353&gt;$B$1503,"",MATCH(353-0.5,$B$3:$B$1503,1))</f>
        <v/>
      </c>
      <c r="D356">
        <f>"CNA certification ("&amp;IF(LEN(INDEX('Aides'!$C$4:$C$503,353))=0,"",INDEX('Aides'!$C$4:$C$503,353))&amp;") – "&amp;IF(LEN(INDEX('Aides'!$A$4:$A$503,353))=0,"",INDEX('Aides'!$A$4:$A$503,353))</f>
        <v/>
      </c>
      <c r="E356">
        <f>IF(ISNUMBER(INDEX('Aides'!$I$4:$I$503,353)),TEXT(INDEX('Aides'!$I$4:$I$503,353),"yyyy-mm-dd"),"")</f>
        <v/>
      </c>
      <c r="F356">
        <f>"Certification"</f>
        <v/>
      </c>
      <c r="G356">
        <f>"High"</f>
        <v/>
      </c>
      <c r="H356">
        <f>TRIM(IF(LEN(IF(LEN(INDEX('Aides'!$D$4:$D$503,353))=0,"",INDEX('Aides'!$D$4:$D$503,353)))=0,"","Registry no.: "&amp;IF(LEN(INDEX('Aides'!$D$4:$D$503,353))=0,"",INDEX('Aides'!$D$4:$D$503,353))&amp;". ")&amp;IF(LEN(IF(ISNUMBER(INDEX('Aides'!$F$4:$F$503,353)),TEXT(INDEX('Aides'!$F$4:$F$503,353),"yyyy-mm-dd"),""))=0,"","Registry expiry: "&amp;IF(ISNUMBER(INDEX('Aides'!$F$4:$F$503,353)),TEXT(INDEX('Aides'!$F$4:$F$503,353),"yyyy-mm-dd"),"")&amp;". ")&amp;IF(LEN(IF(ISNUMBER(INDEX('Aides'!$G$4:$G$503,353)),TEXT(INDEX('Aides'!$G$4:$G$503,353),"yyyy-mm-dd"),""))=0,"","Last paid nursing work: "&amp;IF(ISNUMBER(INDEX('Aides'!$G$4:$G$503,353)),TEXT(INDEX('Aides'!$G$4:$G$503,353),"yyyy-mm-dd"),"")&amp;". ")&amp;IF(LEN(IF(ISNUMBER(INDEX('Aides'!$H$4:$H$503,353)),TEXT(INDEX('Aides'!$H$4:$H$503,353),"yyyy-mm-dd"),""))=0,"","24-month cut-off: "&amp;IF(ISNUMBER(INDEX('Aides'!$H$4:$H$503,353)),TEXT(INDEX('Aides'!$H$4:$H$503,353),"yyyy-mm-dd"),"")&amp;". ")&amp;IF(LEN(IF(LEN(INDEX('Aides'!$U$4:$U$503,353))=0,"",INDEX('Aides'!$U$4:$U$503,353)))=0,"","Owner: "&amp;IF(LEN(INDEX('Aides'!$U$4:$U$503,353))=0,"",INDEX('Aides'!$U$4:$U$503,353))&amp;". ")&amp;IF(LEN(IF(LEN(INDEX('Aides'!$X$4:$X$503,353))=0,"",INDEX('Aides'!$X$4:$X$503,353)))=0,"",IF(LEN(INDEX('Aides'!$X$4:$X$503,353))=0,"",INDEX('Aides'!$X$4:$X$503,353))))</f>
        <v/>
      </c>
      <c r="I356">
        <f>IF(LEN(INDEX('Aides'!$W$4:$W$503,353))=0,"",INDEX('Aides'!$W$4:$W$503,353))</f>
        <v/>
      </c>
      <c r="J356">
        <f>IF(LEN(INDEX('Aides'!$V$4:$V$503,353))=0,"",INDEX('Aides'!$V$4:$V$503,353))</f>
        <v/>
      </c>
    </row>
    <row r="357">
      <c r="A357">
        <f>IF(AND(LEN('Aides'!A357)&gt;0,ISNUMBER('Aides'!I357)),1,0)</f>
        <v/>
      </c>
      <c r="B357">
        <f>B356+A357</f>
        <v/>
      </c>
      <c r="C357">
        <f>IF(354&gt;$B$1503,"",MATCH(354-0.5,$B$3:$B$1503,1))</f>
        <v/>
      </c>
      <c r="D357">
        <f>"CNA certification ("&amp;IF(LEN(INDEX('Aides'!$C$4:$C$503,354))=0,"",INDEX('Aides'!$C$4:$C$503,354))&amp;") – "&amp;IF(LEN(INDEX('Aides'!$A$4:$A$503,354))=0,"",INDEX('Aides'!$A$4:$A$503,354))</f>
        <v/>
      </c>
      <c r="E357">
        <f>IF(ISNUMBER(INDEX('Aides'!$I$4:$I$503,354)),TEXT(INDEX('Aides'!$I$4:$I$503,354),"yyyy-mm-dd"),"")</f>
        <v/>
      </c>
      <c r="F357">
        <f>"Certification"</f>
        <v/>
      </c>
      <c r="G357">
        <f>"High"</f>
        <v/>
      </c>
      <c r="H357">
        <f>TRIM(IF(LEN(IF(LEN(INDEX('Aides'!$D$4:$D$503,354))=0,"",INDEX('Aides'!$D$4:$D$503,354)))=0,"","Registry no.: "&amp;IF(LEN(INDEX('Aides'!$D$4:$D$503,354))=0,"",INDEX('Aides'!$D$4:$D$503,354))&amp;". ")&amp;IF(LEN(IF(ISNUMBER(INDEX('Aides'!$F$4:$F$503,354)),TEXT(INDEX('Aides'!$F$4:$F$503,354),"yyyy-mm-dd"),""))=0,"","Registry expiry: "&amp;IF(ISNUMBER(INDEX('Aides'!$F$4:$F$503,354)),TEXT(INDEX('Aides'!$F$4:$F$503,354),"yyyy-mm-dd"),"")&amp;". ")&amp;IF(LEN(IF(ISNUMBER(INDEX('Aides'!$G$4:$G$503,354)),TEXT(INDEX('Aides'!$G$4:$G$503,354),"yyyy-mm-dd"),""))=0,"","Last paid nursing work: "&amp;IF(ISNUMBER(INDEX('Aides'!$G$4:$G$503,354)),TEXT(INDEX('Aides'!$G$4:$G$503,354),"yyyy-mm-dd"),"")&amp;". ")&amp;IF(LEN(IF(ISNUMBER(INDEX('Aides'!$H$4:$H$503,354)),TEXT(INDEX('Aides'!$H$4:$H$503,354),"yyyy-mm-dd"),""))=0,"","24-month cut-off: "&amp;IF(ISNUMBER(INDEX('Aides'!$H$4:$H$503,354)),TEXT(INDEX('Aides'!$H$4:$H$503,354),"yyyy-mm-dd"),"")&amp;". ")&amp;IF(LEN(IF(LEN(INDEX('Aides'!$U$4:$U$503,354))=0,"",INDEX('Aides'!$U$4:$U$503,354)))=0,"","Owner: "&amp;IF(LEN(INDEX('Aides'!$U$4:$U$503,354))=0,"",INDEX('Aides'!$U$4:$U$503,354))&amp;". ")&amp;IF(LEN(IF(LEN(INDEX('Aides'!$X$4:$X$503,354))=0,"",INDEX('Aides'!$X$4:$X$503,354)))=0,"",IF(LEN(INDEX('Aides'!$X$4:$X$503,354))=0,"",INDEX('Aides'!$X$4:$X$503,354))))</f>
        <v/>
      </c>
      <c r="I357">
        <f>IF(LEN(INDEX('Aides'!$W$4:$W$503,354))=0,"",INDEX('Aides'!$W$4:$W$503,354))</f>
        <v/>
      </c>
      <c r="J357">
        <f>IF(LEN(INDEX('Aides'!$V$4:$V$503,354))=0,"",INDEX('Aides'!$V$4:$V$503,354))</f>
        <v/>
      </c>
    </row>
    <row r="358">
      <c r="A358">
        <f>IF(AND(LEN('Aides'!A358)&gt;0,ISNUMBER('Aides'!I358)),1,0)</f>
        <v/>
      </c>
      <c r="B358">
        <f>B357+A358</f>
        <v/>
      </c>
      <c r="C358">
        <f>IF(355&gt;$B$1503,"",MATCH(355-0.5,$B$3:$B$1503,1))</f>
        <v/>
      </c>
      <c r="D358">
        <f>"CNA certification ("&amp;IF(LEN(INDEX('Aides'!$C$4:$C$503,355))=0,"",INDEX('Aides'!$C$4:$C$503,355))&amp;") – "&amp;IF(LEN(INDEX('Aides'!$A$4:$A$503,355))=0,"",INDEX('Aides'!$A$4:$A$503,355))</f>
        <v/>
      </c>
      <c r="E358">
        <f>IF(ISNUMBER(INDEX('Aides'!$I$4:$I$503,355)),TEXT(INDEX('Aides'!$I$4:$I$503,355),"yyyy-mm-dd"),"")</f>
        <v/>
      </c>
      <c r="F358">
        <f>"Certification"</f>
        <v/>
      </c>
      <c r="G358">
        <f>"High"</f>
        <v/>
      </c>
      <c r="H358">
        <f>TRIM(IF(LEN(IF(LEN(INDEX('Aides'!$D$4:$D$503,355))=0,"",INDEX('Aides'!$D$4:$D$503,355)))=0,"","Registry no.: "&amp;IF(LEN(INDEX('Aides'!$D$4:$D$503,355))=0,"",INDEX('Aides'!$D$4:$D$503,355))&amp;". ")&amp;IF(LEN(IF(ISNUMBER(INDEX('Aides'!$F$4:$F$503,355)),TEXT(INDEX('Aides'!$F$4:$F$503,355),"yyyy-mm-dd"),""))=0,"","Registry expiry: "&amp;IF(ISNUMBER(INDEX('Aides'!$F$4:$F$503,355)),TEXT(INDEX('Aides'!$F$4:$F$503,355),"yyyy-mm-dd"),"")&amp;". ")&amp;IF(LEN(IF(ISNUMBER(INDEX('Aides'!$G$4:$G$503,355)),TEXT(INDEX('Aides'!$G$4:$G$503,355),"yyyy-mm-dd"),""))=0,"","Last paid nursing work: "&amp;IF(ISNUMBER(INDEX('Aides'!$G$4:$G$503,355)),TEXT(INDEX('Aides'!$G$4:$G$503,355),"yyyy-mm-dd"),"")&amp;". ")&amp;IF(LEN(IF(ISNUMBER(INDEX('Aides'!$H$4:$H$503,355)),TEXT(INDEX('Aides'!$H$4:$H$503,355),"yyyy-mm-dd"),""))=0,"","24-month cut-off: "&amp;IF(ISNUMBER(INDEX('Aides'!$H$4:$H$503,355)),TEXT(INDEX('Aides'!$H$4:$H$503,355),"yyyy-mm-dd"),"")&amp;". ")&amp;IF(LEN(IF(LEN(INDEX('Aides'!$U$4:$U$503,355))=0,"",INDEX('Aides'!$U$4:$U$503,355)))=0,"","Owner: "&amp;IF(LEN(INDEX('Aides'!$U$4:$U$503,355))=0,"",INDEX('Aides'!$U$4:$U$503,355))&amp;". ")&amp;IF(LEN(IF(LEN(INDEX('Aides'!$X$4:$X$503,355))=0,"",INDEX('Aides'!$X$4:$X$503,355)))=0,"",IF(LEN(INDEX('Aides'!$X$4:$X$503,355))=0,"",INDEX('Aides'!$X$4:$X$503,355))))</f>
        <v/>
      </c>
      <c r="I358">
        <f>IF(LEN(INDEX('Aides'!$W$4:$W$503,355))=0,"",INDEX('Aides'!$W$4:$W$503,355))</f>
        <v/>
      </c>
      <c r="J358">
        <f>IF(LEN(INDEX('Aides'!$V$4:$V$503,355))=0,"",INDEX('Aides'!$V$4:$V$503,355))</f>
        <v/>
      </c>
    </row>
    <row r="359">
      <c r="A359">
        <f>IF(AND(LEN('Aides'!A359)&gt;0,ISNUMBER('Aides'!I359)),1,0)</f>
        <v/>
      </c>
      <c r="B359">
        <f>B358+A359</f>
        <v/>
      </c>
      <c r="C359">
        <f>IF(356&gt;$B$1503,"",MATCH(356-0.5,$B$3:$B$1503,1))</f>
        <v/>
      </c>
      <c r="D359">
        <f>"CNA certification ("&amp;IF(LEN(INDEX('Aides'!$C$4:$C$503,356))=0,"",INDEX('Aides'!$C$4:$C$503,356))&amp;") – "&amp;IF(LEN(INDEX('Aides'!$A$4:$A$503,356))=0,"",INDEX('Aides'!$A$4:$A$503,356))</f>
        <v/>
      </c>
      <c r="E359">
        <f>IF(ISNUMBER(INDEX('Aides'!$I$4:$I$503,356)),TEXT(INDEX('Aides'!$I$4:$I$503,356),"yyyy-mm-dd"),"")</f>
        <v/>
      </c>
      <c r="F359">
        <f>"Certification"</f>
        <v/>
      </c>
      <c r="G359">
        <f>"High"</f>
        <v/>
      </c>
      <c r="H359">
        <f>TRIM(IF(LEN(IF(LEN(INDEX('Aides'!$D$4:$D$503,356))=0,"",INDEX('Aides'!$D$4:$D$503,356)))=0,"","Registry no.: "&amp;IF(LEN(INDEX('Aides'!$D$4:$D$503,356))=0,"",INDEX('Aides'!$D$4:$D$503,356))&amp;". ")&amp;IF(LEN(IF(ISNUMBER(INDEX('Aides'!$F$4:$F$503,356)),TEXT(INDEX('Aides'!$F$4:$F$503,356),"yyyy-mm-dd"),""))=0,"","Registry expiry: "&amp;IF(ISNUMBER(INDEX('Aides'!$F$4:$F$503,356)),TEXT(INDEX('Aides'!$F$4:$F$503,356),"yyyy-mm-dd"),"")&amp;". ")&amp;IF(LEN(IF(ISNUMBER(INDEX('Aides'!$G$4:$G$503,356)),TEXT(INDEX('Aides'!$G$4:$G$503,356),"yyyy-mm-dd"),""))=0,"","Last paid nursing work: "&amp;IF(ISNUMBER(INDEX('Aides'!$G$4:$G$503,356)),TEXT(INDEX('Aides'!$G$4:$G$503,356),"yyyy-mm-dd"),"")&amp;". ")&amp;IF(LEN(IF(ISNUMBER(INDEX('Aides'!$H$4:$H$503,356)),TEXT(INDEX('Aides'!$H$4:$H$503,356),"yyyy-mm-dd"),""))=0,"","24-month cut-off: "&amp;IF(ISNUMBER(INDEX('Aides'!$H$4:$H$503,356)),TEXT(INDEX('Aides'!$H$4:$H$503,356),"yyyy-mm-dd"),"")&amp;". ")&amp;IF(LEN(IF(LEN(INDEX('Aides'!$U$4:$U$503,356))=0,"",INDEX('Aides'!$U$4:$U$503,356)))=0,"","Owner: "&amp;IF(LEN(INDEX('Aides'!$U$4:$U$503,356))=0,"",INDEX('Aides'!$U$4:$U$503,356))&amp;". ")&amp;IF(LEN(IF(LEN(INDEX('Aides'!$X$4:$X$503,356))=0,"",INDEX('Aides'!$X$4:$X$503,356)))=0,"",IF(LEN(INDEX('Aides'!$X$4:$X$503,356))=0,"",INDEX('Aides'!$X$4:$X$503,356))))</f>
        <v/>
      </c>
      <c r="I359">
        <f>IF(LEN(INDEX('Aides'!$W$4:$W$503,356))=0,"",INDEX('Aides'!$W$4:$W$503,356))</f>
        <v/>
      </c>
      <c r="J359">
        <f>IF(LEN(INDEX('Aides'!$V$4:$V$503,356))=0,"",INDEX('Aides'!$V$4:$V$503,356))</f>
        <v/>
      </c>
    </row>
    <row r="360">
      <c r="A360">
        <f>IF(AND(LEN('Aides'!A360)&gt;0,ISNUMBER('Aides'!I360)),1,0)</f>
        <v/>
      </c>
      <c r="B360">
        <f>B359+A360</f>
        <v/>
      </c>
      <c r="C360">
        <f>IF(357&gt;$B$1503,"",MATCH(357-0.5,$B$3:$B$1503,1))</f>
        <v/>
      </c>
      <c r="D360">
        <f>"CNA certification ("&amp;IF(LEN(INDEX('Aides'!$C$4:$C$503,357))=0,"",INDEX('Aides'!$C$4:$C$503,357))&amp;") – "&amp;IF(LEN(INDEX('Aides'!$A$4:$A$503,357))=0,"",INDEX('Aides'!$A$4:$A$503,357))</f>
        <v/>
      </c>
      <c r="E360">
        <f>IF(ISNUMBER(INDEX('Aides'!$I$4:$I$503,357)),TEXT(INDEX('Aides'!$I$4:$I$503,357),"yyyy-mm-dd"),"")</f>
        <v/>
      </c>
      <c r="F360">
        <f>"Certification"</f>
        <v/>
      </c>
      <c r="G360">
        <f>"High"</f>
        <v/>
      </c>
      <c r="H360">
        <f>TRIM(IF(LEN(IF(LEN(INDEX('Aides'!$D$4:$D$503,357))=0,"",INDEX('Aides'!$D$4:$D$503,357)))=0,"","Registry no.: "&amp;IF(LEN(INDEX('Aides'!$D$4:$D$503,357))=0,"",INDEX('Aides'!$D$4:$D$503,357))&amp;". ")&amp;IF(LEN(IF(ISNUMBER(INDEX('Aides'!$F$4:$F$503,357)),TEXT(INDEX('Aides'!$F$4:$F$503,357),"yyyy-mm-dd"),""))=0,"","Registry expiry: "&amp;IF(ISNUMBER(INDEX('Aides'!$F$4:$F$503,357)),TEXT(INDEX('Aides'!$F$4:$F$503,357),"yyyy-mm-dd"),"")&amp;". ")&amp;IF(LEN(IF(ISNUMBER(INDEX('Aides'!$G$4:$G$503,357)),TEXT(INDEX('Aides'!$G$4:$G$503,357),"yyyy-mm-dd"),""))=0,"","Last paid nursing work: "&amp;IF(ISNUMBER(INDEX('Aides'!$G$4:$G$503,357)),TEXT(INDEX('Aides'!$G$4:$G$503,357),"yyyy-mm-dd"),"")&amp;". ")&amp;IF(LEN(IF(ISNUMBER(INDEX('Aides'!$H$4:$H$503,357)),TEXT(INDEX('Aides'!$H$4:$H$503,357),"yyyy-mm-dd"),""))=0,"","24-month cut-off: "&amp;IF(ISNUMBER(INDEX('Aides'!$H$4:$H$503,357)),TEXT(INDEX('Aides'!$H$4:$H$503,357),"yyyy-mm-dd"),"")&amp;". ")&amp;IF(LEN(IF(LEN(INDEX('Aides'!$U$4:$U$503,357))=0,"",INDEX('Aides'!$U$4:$U$503,357)))=0,"","Owner: "&amp;IF(LEN(INDEX('Aides'!$U$4:$U$503,357))=0,"",INDEX('Aides'!$U$4:$U$503,357))&amp;". ")&amp;IF(LEN(IF(LEN(INDEX('Aides'!$X$4:$X$503,357))=0,"",INDEX('Aides'!$X$4:$X$503,357)))=0,"",IF(LEN(INDEX('Aides'!$X$4:$X$503,357))=0,"",INDEX('Aides'!$X$4:$X$503,357))))</f>
        <v/>
      </c>
      <c r="I360">
        <f>IF(LEN(INDEX('Aides'!$W$4:$W$503,357))=0,"",INDEX('Aides'!$W$4:$W$503,357))</f>
        <v/>
      </c>
      <c r="J360">
        <f>IF(LEN(INDEX('Aides'!$V$4:$V$503,357))=0,"",INDEX('Aides'!$V$4:$V$503,357))</f>
        <v/>
      </c>
    </row>
    <row r="361">
      <c r="A361">
        <f>IF(AND(LEN('Aides'!A361)&gt;0,ISNUMBER('Aides'!I361)),1,0)</f>
        <v/>
      </c>
      <c r="B361">
        <f>B360+A361</f>
        <v/>
      </c>
      <c r="C361">
        <f>IF(358&gt;$B$1503,"",MATCH(358-0.5,$B$3:$B$1503,1))</f>
        <v/>
      </c>
      <c r="D361">
        <f>"CNA certification ("&amp;IF(LEN(INDEX('Aides'!$C$4:$C$503,358))=0,"",INDEX('Aides'!$C$4:$C$503,358))&amp;") – "&amp;IF(LEN(INDEX('Aides'!$A$4:$A$503,358))=0,"",INDEX('Aides'!$A$4:$A$503,358))</f>
        <v/>
      </c>
      <c r="E361">
        <f>IF(ISNUMBER(INDEX('Aides'!$I$4:$I$503,358)),TEXT(INDEX('Aides'!$I$4:$I$503,358),"yyyy-mm-dd"),"")</f>
        <v/>
      </c>
      <c r="F361">
        <f>"Certification"</f>
        <v/>
      </c>
      <c r="G361">
        <f>"High"</f>
        <v/>
      </c>
      <c r="H361">
        <f>TRIM(IF(LEN(IF(LEN(INDEX('Aides'!$D$4:$D$503,358))=0,"",INDEX('Aides'!$D$4:$D$503,358)))=0,"","Registry no.: "&amp;IF(LEN(INDEX('Aides'!$D$4:$D$503,358))=0,"",INDEX('Aides'!$D$4:$D$503,358))&amp;". ")&amp;IF(LEN(IF(ISNUMBER(INDEX('Aides'!$F$4:$F$503,358)),TEXT(INDEX('Aides'!$F$4:$F$503,358),"yyyy-mm-dd"),""))=0,"","Registry expiry: "&amp;IF(ISNUMBER(INDEX('Aides'!$F$4:$F$503,358)),TEXT(INDEX('Aides'!$F$4:$F$503,358),"yyyy-mm-dd"),"")&amp;". ")&amp;IF(LEN(IF(ISNUMBER(INDEX('Aides'!$G$4:$G$503,358)),TEXT(INDEX('Aides'!$G$4:$G$503,358),"yyyy-mm-dd"),""))=0,"","Last paid nursing work: "&amp;IF(ISNUMBER(INDEX('Aides'!$G$4:$G$503,358)),TEXT(INDEX('Aides'!$G$4:$G$503,358),"yyyy-mm-dd"),"")&amp;". ")&amp;IF(LEN(IF(ISNUMBER(INDEX('Aides'!$H$4:$H$503,358)),TEXT(INDEX('Aides'!$H$4:$H$503,358),"yyyy-mm-dd"),""))=0,"","24-month cut-off: "&amp;IF(ISNUMBER(INDEX('Aides'!$H$4:$H$503,358)),TEXT(INDEX('Aides'!$H$4:$H$503,358),"yyyy-mm-dd"),"")&amp;". ")&amp;IF(LEN(IF(LEN(INDEX('Aides'!$U$4:$U$503,358))=0,"",INDEX('Aides'!$U$4:$U$503,358)))=0,"","Owner: "&amp;IF(LEN(INDEX('Aides'!$U$4:$U$503,358))=0,"",INDEX('Aides'!$U$4:$U$503,358))&amp;". ")&amp;IF(LEN(IF(LEN(INDEX('Aides'!$X$4:$X$503,358))=0,"",INDEX('Aides'!$X$4:$X$503,358)))=0,"",IF(LEN(INDEX('Aides'!$X$4:$X$503,358))=0,"",INDEX('Aides'!$X$4:$X$503,358))))</f>
        <v/>
      </c>
      <c r="I361">
        <f>IF(LEN(INDEX('Aides'!$W$4:$W$503,358))=0,"",INDEX('Aides'!$W$4:$W$503,358))</f>
        <v/>
      </c>
      <c r="J361">
        <f>IF(LEN(INDEX('Aides'!$V$4:$V$503,358))=0,"",INDEX('Aides'!$V$4:$V$503,358))</f>
        <v/>
      </c>
    </row>
    <row r="362">
      <c r="A362">
        <f>IF(AND(LEN('Aides'!A362)&gt;0,ISNUMBER('Aides'!I362)),1,0)</f>
        <v/>
      </c>
      <c r="B362">
        <f>B361+A362</f>
        <v/>
      </c>
      <c r="C362">
        <f>IF(359&gt;$B$1503,"",MATCH(359-0.5,$B$3:$B$1503,1))</f>
        <v/>
      </c>
      <c r="D362">
        <f>"CNA certification ("&amp;IF(LEN(INDEX('Aides'!$C$4:$C$503,359))=0,"",INDEX('Aides'!$C$4:$C$503,359))&amp;") – "&amp;IF(LEN(INDEX('Aides'!$A$4:$A$503,359))=0,"",INDEX('Aides'!$A$4:$A$503,359))</f>
        <v/>
      </c>
      <c r="E362">
        <f>IF(ISNUMBER(INDEX('Aides'!$I$4:$I$503,359)),TEXT(INDEX('Aides'!$I$4:$I$503,359),"yyyy-mm-dd"),"")</f>
        <v/>
      </c>
      <c r="F362">
        <f>"Certification"</f>
        <v/>
      </c>
      <c r="G362">
        <f>"High"</f>
        <v/>
      </c>
      <c r="H362">
        <f>TRIM(IF(LEN(IF(LEN(INDEX('Aides'!$D$4:$D$503,359))=0,"",INDEX('Aides'!$D$4:$D$503,359)))=0,"","Registry no.: "&amp;IF(LEN(INDEX('Aides'!$D$4:$D$503,359))=0,"",INDEX('Aides'!$D$4:$D$503,359))&amp;". ")&amp;IF(LEN(IF(ISNUMBER(INDEX('Aides'!$F$4:$F$503,359)),TEXT(INDEX('Aides'!$F$4:$F$503,359),"yyyy-mm-dd"),""))=0,"","Registry expiry: "&amp;IF(ISNUMBER(INDEX('Aides'!$F$4:$F$503,359)),TEXT(INDEX('Aides'!$F$4:$F$503,359),"yyyy-mm-dd"),"")&amp;". ")&amp;IF(LEN(IF(ISNUMBER(INDEX('Aides'!$G$4:$G$503,359)),TEXT(INDEX('Aides'!$G$4:$G$503,359),"yyyy-mm-dd"),""))=0,"","Last paid nursing work: "&amp;IF(ISNUMBER(INDEX('Aides'!$G$4:$G$503,359)),TEXT(INDEX('Aides'!$G$4:$G$503,359),"yyyy-mm-dd"),"")&amp;". ")&amp;IF(LEN(IF(ISNUMBER(INDEX('Aides'!$H$4:$H$503,359)),TEXT(INDEX('Aides'!$H$4:$H$503,359),"yyyy-mm-dd"),""))=0,"","24-month cut-off: "&amp;IF(ISNUMBER(INDEX('Aides'!$H$4:$H$503,359)),TEXT(INDEX('Aides'!$H$4:$H$503,359),"yyyy-mm-dd"),"")&amp;". ")&amp;IF(LEN(IF(LEN(INDEX('Aides'!$U$4:$U$503,359))=0,"",INDEX('Aides'!$U$4:$U$503,359)))=0,"","Owner: "&amp;IF(LEN(INDEX('Aides'!$U$4:$U$503,359))=0,"",INDEX('Aides'!$U$4:$U$503,359))&amp;". ")&amp;IF(LEN(IF(LEN(INDEX('Aides'!$X$4:$X$503,359))=0,"",INDEX('Aides'!$X$4:$X$503,359)))=0,"",IF(LEN(INDEX('Aides'!$X$4:$X$503,359))=0,"",INDEX('Aides'!$X$4:$X$503,359))))</f>
        <v/>
      </c>
      <c r="I362">
        <f>IF(LEN(INDEX('Aides'!$W$4:$W$503,359))=0,"",INDEX('Aides'!$W$4:$W$503,359))</f>
        <v/>
      </c>
      <c r="J362">
        <f>IF(LEN(INDEX('Aides'!$V$4:$V$503,359))=0,"",INDEX('Aides'!$V$4:$V$503,359))</f>
        <v/>
      </c>
    </row>
    <row r="363">
      <c r="A363">
        <f>IF(AND(LEN('Aides'!A363)&gt;0,ISNUMBER('Aides'!I363)),1,0)</f>
        <v/>
      </c>
      <c r="B363">
        <f>B362+A363</f>
        <v/>
      </c>
      <c r="C363">
        <f>IF(360&gt;$B$1503,"",MATCH(360-0.5,$B$3:$B$1503,1))</f>
        <v/>
      </c>
      <c r="D363">
        <f>"CNA certification ("&amp;IF(LEN(INDEX('Aides'!$C$4:$C$503,360))=0,"",INDEX('Aides'!$C$4:$C$503,360))&amp;") – "&amp;IF(LEN(INDEX('Aides'!$A$4:$A$503,360))=0,"",INDEX('Aides'!$A$4:$A$503,360))</f>
        <v/>
      </c>
      <c r="E363">
        <f>IF(ISNUMBER(INDEX('Aides'!$I$4:$I$503,360)),TEXT(INDEX('Aides'!$I$4:$I$503,360),"yyyy-mm-dd"),"")</f>
        <v/>
      </c>
      <c r="F363">
        <f>"Certification"</f>
        <v/>
      </c>
      <c r="G363">
        <f>"High"</f>
        <v/>
      </c>
      <c r="H363">
        <f>TRIM(IF(LEN(IF(LEN(INDEX('Aides'!$D$4:$D$503,360))=0,"",INDEX('Aides'!$D$4:$D$503,360)))=0,"","Registry no.: "&amp;IF(LEN(INDEX('Aides'!$D$4:$D$503,360))=0,"",INDEX('Aides'!$D$4:$D$503,360))&amp;". ")&amp;IF(LEN(IF(ISNUMBER(INDEX('Aides'!$F$4:$F$503,360)),TEXT(INDEX('Aides'!$F$4:$F$503,360),"yyyy-mm-dd"),""))=0,"","Registry expiry: "&amp;IF(ISNUMBER(INDEX('Aides'!$F$4:$F$503,360)),TEXT(INDEX('Aides'!$F$4:$F$503,360),"yyyy-mm-dd"),"")&amp;". ")&amp;IF(LEN(IF(ISNUMBER(INDEX('Aides'!$G$4:$G$503,360)),TEXT(INDEX('Aides'!$G$4:$G$503,360),"yyyy-mm-dd"),""))=0,"","Last paid nursing work: "&amp;IF(ISNUMBER(INDEX('Aides'!$G$4:$G$503,360)),TEXT(INDEX('Aides'!$G$4:$G$503,360),"yyyy-mm-dd"),"")&amp;". ")&amp;IF(LEN(IF(ISNUMBER(INDEX('Aides'!$H$4:$H$503,360)),TEXT(INDEX('Aides'!$H$4:$H$503,360),"yyyy-mm-dd"),""))=0,"","24-month cut-off: "&amp;IF(ISNUMBER(INDEX('Aides'!$H$4:$H$503,360)),TEXT(INDEX('Aides'!$H$4:$H$503,360),"yyyy-mm-dd"),"")&amp;". ")&amp;IF(LEN(IF(LEN(INDEX('Aides'!$U$4:$U$503,360))=0,"",INDEX('Aides'!$U$4:$U$503,360)))=0,"","Owner: "&amp;IF(LEN(INDEX('Aides'!$U$4:$U$503,360))=0,"",INDEX('Aides'!$U$4:$U$503,360))&amp;". ")&amp;IF(LEN(IF(LEN(INDEX('Aides'!$X$4:$X$503,360))=0,"",INDEX('Aides'!$X$4:$X$503,360)))=0,"",IF(LEN(INDEX('Aides'!$X$4:$X$503,360))=0,"",INDEX('Aides'!$X$4:$X$503,360))))</f>
        <v/>
      </c>
      <c r="I363">
        <f>IF(LEN(INDEX('Aides'!$W$4:$W$503,360))=0,"",INDEX('Aides'!$W$4:$W$503,360))</f>
        <v/>
      </c>
      <c r="J363">
        <f>IF(LEN(INDEX('Aides'!$V$4:$V$503,360))=0,"",INDEX('Aides'!$V$4:$V$503,360))</f>
        <v/>
      </c>
    </row>
    <row r="364">
      <c r="A364">
        <f>IF(AND(LEN('Aides'!A364)&gt;0,ISNUMBER('Aides'!I364)),1,0)</f>
        <v/>
      </c>
      <c r="B364">
        <f>B363+A364</f>
        <v/>
      </c>
      <c r="C364">
        <f>IF(361&gt;$B$1503,"",MATCH(361-0.5,$B$3:$B$1503,1))</f>
        <v/>
      </c>
      <c r="D364">
        <f>"CNA certification ("&amp;IF(LEN(INDEX('Aides'!$C$4:$C$503,361))=0,"",INDEX('Aides'!$C$4:$C$503,361))&amp;") – "&amp;IF(LEN(INDEX('Aides'!$A$4:$A$503,361))=0,"",INDEX('Aides'!$A$4:$A$503,361))</f>
        <v/>
      </c>
      <c r="E364">
        <f>IF(ISNUMBER(INDEX('Aides'!$I$4:$I$503,361)),TEXT(INDEX('Aides'!$I$4:$I$503,361),"yyyy-mm-dd"),"")</f>
        <v/>
      </c>
      <c r="F364">
        <f>"Certification"</f>
        <v/>
      </c>
      <c r="G364">
        <f>"High"</f>
        <v/>
      </c>
      <c r="H364">
        <f>TRIM(IF(LEN(IF(LEN(INDEX('Aides'!$D$4:$D$503,361))=0,"",INDEX('Aides'!$D$4:$D$503,361)))=0,"","Registry no.: "&amp;IF(LEN(INDEX('Aides'!$D$4:$D$503,361))=0,"",INDEX('Aides'!$D$4:$D$503,361))&amp;". ")&amp;IF(LEN(IF(ISNUMBER(INDEX('Aides'!$F$4:$F$503,361)),TEXT(INDEX('Aides'!$F$4:$F$503,361),"yyyy-mm-dd"),""))=0,"","Registry expiry: "&amp;IF(ISNUMBER(INDEX('Aides'!$F$4:$F$503,361)),TEXT(INDEX('Aides'!$F$4:$F$503,361),"yyyy-mm-dd"),"")&amp;". ")&amp;IF(LEN(IF(ISNUMBER(INDEX('Aides'!$G$4:$G$503,361)),TEXT(INDEX('Aides'!$G$4:$G$503,361),"yyyy-mm-dd"),""))=0,"","Last paid nursing work: "&amp;IF(ISNUMBER(INDEX('Aides'!$G$4:$G$503,361)),TEXT(INDEX('Aides'!$G$4:$G$503,361),"yyyy-mm-dd"),"")&amp;". ")&amp;IF(LEN(IF(ISNUMBER(INDEX('Aides'!$H$4:$H$503,361)),TEXT(INDEX('Aides'!$H$4:$H$503,361),"yyyy-mm-dd"),""))=0,"","24-month cut-off: "&amp;IF(ISNUMBER(INDEX('Aides'!$H$4:$H$503,361)),TEXT(INDEX('Aides'!$H$4:$H$503,361),"yyyy-mm-dd"),"")&amp;". ")&amp;IF(LEN(IF(LEN(INDEX('Aides'!$U$4:$U$503,361))=0,"",INDEX('Aides'!$U$4:$U$503,361)))=0,"","Owner: "&amp;IF(LEN(INDEX('Aides'!$U$4:$U$503,361))=0,"",INDEX('Aides'!$U$4:$U$503,361))&amp;". ")&amp;IF(LEN(IF(LEN(INDEX('Aides'!$X$4:$X$503,361))=0,"",INDEX('Aides'!$X$4:$X$503,361)))=0,"",IF(LEN(INDEX('Aides'!$X$4:$X$503,361))=0,"",INDEX('Aides'!$X$4:$X$503,361))))</f>
        <v/>
      </c>
      <c r="I364">
        <f>IF(LEN(INDEX('Aides'!$W$4:$W$503,361))=0,"",INDEX('Aides'!$W$4:$W$503,361))</f>
        <v/>
      </c>
      <c r="J364">
        <f>IF(LEN(INDEX('Aides'!$V$4:$V$503,361))=0,"",INDEX('Aides'!$V$4:$V$503,361))</f>
        <v/>
      </c>
    </row>
    <row r="365">
      <c r="A365">
        <f>IF(AND(LEN('Aides'!A365)&gt;0,ISNUMBER('Aides'!I365)),1,0)</f>
        <v/>
      </c>
      <c r="B365">
        <f>B364+A365</f>
        <v/>
      </c>
      <c r="C365">
        <f>IF(362&gt;$B$1503,"",MATCH(362-0.5,$B$3:$B$1503,1))</f>
        <v/>
      </c>
      <c r="D365">
        <f>"CNA certification ("&amp;IF(LEN(INDEX('Aides'!$C$4:$C$503,362))=0,"",INDEX('Aides'!$C$4:$C$503,362))&amp;") – "&amp;IF(LEN(INDEX('Aides'!$A$4:$A$503,362))=0,"",INDEX('Aides'!$A$4:$A$503,362))</f>
        <v/>
      </c>
      <c r="E365">
        <f>IF(ISNUMBER(INDEX('Aides'!$I$4:$I$503,362)),TEXT(INDEX('Aides'!$I$4:$I$503,362),"yyyy-mm-dd"),"")</f>
        <v/>
      </c>
      <c r="F365">
        <f>"Certification"</f>
        <v/>
      </c>
      <c r="G365">
        <f>"High"</f>
        <v/>
      </c>
      <c r="H365">
        <f>TRIM(IF(LEN(IF(LEN(INDEX('Aides'!$D$4:$D$503,362))=0,"",INDEX('Aides'!$D$4:$D$503,362)))=0,"","Registry no.: "&amp;IF(LEN(INDEX('Aides'!$D$4:$D$503,362))=0,"",INDEX('Aides'!$D$4:$D$503,362))&amp;". ")&amp;IF(LEN(IF(ISNUMBER(INDEX('Aides'!$F$4:$F$503,362)),TEXT(INDEX('Aides'!$F$4:$F$503,362),"yyyy-mm-dd"),""))=0,"","Registry expiry: "&amp;IF(ISNUMBER(INDEX('Aides'!$F$4:$F$503,362)),TEXT(INDEX('Aides'!$F$4:$F$503,362),"yyyy-mm-dd"),"")&amp;". ")&amp;IF(LEN(IF(ISNUMBER(INDEX('Aides'!$G$4:$G$503,362)),TEXT(INDEX('Aides'!$G$4:$G$503,362),"yyyy-mm-dd"),""))=0,"","Last paid nursing work: "&amp;IF(ISNUMBER(INDEX('Aides'!$G$4:$G$503,362)),TEXT(INDEX('Aides'!$G$4:$G$503,362),"yyyy-mm-dd"),"")&amp;". ")&amp;IF(LEN(IF(ISNUMBER(INDEX('Aides'!$H$4:$H$503,362)),TEXT(INDEX('Aides'!$H$4:$H$503,362),"yyyy-mm-dd"),""))=0,"","24-month cut-off: "&amp;IF(ISNUMBER(INDEX('Aides'!$H$4:$H$503,362)),TEXT(INDEX('Aides'!$H$4:$H$503,362),"yyyy-mm-dd"),"")&amp;". ")&amp;IF(LEN(IF(LEN(INDEX('Aides'!$U$4:$U$503,362))=0,"",INDEX('Aides'!$U$4:$U$503,362)))=0,"","Owner: "&amp;IF(LEN(INDEX('Aides'!$U$4:$U$503,362))=0,"",INDEX('Aides'!$U$4:$U$503,362))&amp;". ")&amp;IF(LEN(IF(LEN(INDEX('Aides'!$X$4:$X$503,362))=0,"",INDEX('Aides'!$X$4:$X$503,362)))=0,"",IF(LEN(INDEX('Aides'!$X$4:$X$503,362))=0,"",INDEX('Aides'!$X$4:$X$503,362))))</f>
        <v/>
      </c>
      <c r="I365">
        <f>IF(LEN(INDEX('Aides'!$W$4:$W$503,362))=0,"",INDEX('Aides'!$W$4:$W$503,362))</f>
        <v/>
      </c>
      <c r="J365">
        <f>IF(LEN(INDEX('Aides'!$V$4:$V$503,362))=0,"",INDEX('Aides'!$V$4:$V$503,362))</f>
        <v/>
      </c>
    </row>
    <row r="366">
      <c r="A366">
        <f>IF(AND(LEN('Aides'!A366)&gt;0,ISNUMBER('Aides'!I366)),1,0)</f>
        <v/>
      </c>
      <c r="B366">
        <f>B365+A366</f>
        <v/>
      </c>
      <c r="C366">
        <f>IF(363&gt;$B$1503,"",MATCH(363-0.5,$B$3:$B$1503,1))</f>
        <v/>
      </c>
      <c r="D366">
        <f>"CNA certification ("&amp;IF(LEN(INDEX('Aides'!$C$4:$C$503,363))=0,"",INDEX('Aides'!$C$4:$C$503,363))&amp;") – "&amp;IF(LEN(INDEX('Aides'!$A$4:$A$503,363))=0,"",INDEX('Aides'!$A$4:$A$503,363))</f>
        <v/>
      </c>
      <c r="E366">
        <f>IF(ISNUMBER(INDEX('Aides'!$I$4:$I$503,363)),TEXT(INDEX('Aides'!$I$4:$I$503,363),"yyyy-mm-dd"),"")</f>
        <v/>
      </c>
      <c r="F366">
        <f>"Certification"</f>
        <v/>
      </c>
      <c r="G366">
        <f>"High"</f>
        <v/>
      </c>
      <c r="H366">
        <f>TRIM(IF(LEN(IF(LEN(INDEX('Aides'!$D$4:$D$503,363))=0,"",INDEX('Aides'!$D$4:$D$503,363)))=0,"","Registry no.: "&amp;IF(LEN(INDEX('Aides'!$D$4:$D$503,363))=0,"",INDEX('Aides'!$D$4:$D$503,363))&amp;". ")&amp;IF(LEN(IF(ISNUMBER(INDEX('Aides'!$F$4:$F$503,363)),TEXT(INDEX('Aides'!$F$4:$F$503,363),"yyyy-mm-dd"),""))=0,"","Registry expiry: "&amp;IF(ISNUMBER(INDEX('Aides'!$F$4:$F$503,363)),TEXT(INDEX('Aides'!$F$4:$F$503,363),"yyyy-mm-dd"),"")&amp;". ")&amp;IF(LEN(IF(ISNUMBER(INDEX('Aides'!$G$4:$G$503,363)),TEXT(INDEX('Aides'!$G$4:$G$503,363),"yyyy-mm-dd"),""))=0,"","Last paid nursing work: "&amp;IF(ISNUMBER(INDEX('Aides'!$G$4:$G$503,363)),TEXT(INDEX('Aides'!$G$4:$G$503,363),"yyyy-mm-dd"),"")&amp;". ")&amp;IF(LEN(IF(ISNUMBER(INDEX('Aides'!$H$4:$H$503,363)),TEXT(INDEX('Aides'!$H$4:$H$503,363),"yyyy-mm-dd"),""))=0,"","24-month cut-off: "&amp;IF(ISNUMBER(INDEX('Aides'!$H$4:$H$503,363)),TEXT(INDEX('Aides'!$H$4:$H$503,363),"yyyy-mm-dd"),"")&amp;". ")&amp;IF(LEN(IF(LEN(INDEX('Aides'!$U$4:$U$503,363))=0,"",INDEX('Aides'!$U$4:$U$503,363)))=0,"","Owner: "&amp;IF(LEN(INDEX('Aides'!$U$4:$U$503,363))=0,"",INDEX('Aides'!$U$4:$U$503,363))&amp;". ")&amp;IF(LEN(IF(LEN(INDEX('Aides'!$X$4:$X$503,363))=0,"",INDEX('Aides'!$X$4:$X$503,363)))=0,"",IF(LEN(INDEX('Aides'!$X$4:$X$503,363))=0,"",INDEX('Aides'!$X$4:$X$503,363))))</f>
        <v/>
      </c>
      <c r="I366">
        <f>IF(LEN(INDEX('Aides'!$W$4:$W$503,363))=0,"",INDEX('Aides'!$W$4:$W$503,363))</f>
        <v/>
      </c>
      <c r="J366">
        <f>IF(LEN(INDEX('Aides'!$V$4:$V$503,363))=0,"",INDEX('Aides'!$V$4:$V$503,363))</f>
        <v/>
      </c>
    </row>
    <row r="367">
      <c r="A367">
        <f>IF(AND(LEN('Aides'!A367)&gt;0,ISNUMBER('Aides'!I367)),1,0)</f>
        <v/>
      </c>
      <c r="B367">
        <f>B366+A367</f>
        <v/>
      </c>
      <c r="C367">
        <f>IF(364&gt;$B$1503,"",MATCH(364-0.5,$B$3:$B$1503,1))</f>
        <v/>
      </c>
      <c r="D367">
        <f>"CNA certification ("&amp;IF(LEN(INDEX('Aides'!$C$4:$C$503,364))=0,"",INDEX('Aides'!$C$4:$C$503,364))&amp;") – "&amp;IF(LEN(INDEX('Aides'!$A$4:$A$503,364))=0,"",INDEX('Aides'!$A$4:$A$503,364))</f>
        <v/>
      </c>
      <c r="E367">
        <f>IF(ISNUMBER(INDEX('Aides'!$I$4:$I$503,364)),TEXT(INDEX('Aides'!$I$4:$I$503,364),"yyyy-mm-dd"),"")</f>
        <v/>
      </c>
      <c r="F367">
        <f>"Certification"</f>
        <v/>
      </c>
      <c r="G367">
        <f>"High"</f>
        <v/>
      </c>
      <c r="H367">
        <f>TRIM(IF(LEN(IF(LEN(INDEX('Aides'!$D$4:$D$503,364))=0,"",INDEX('Aides'!$D$4:$D$503,364)))=0,"","Registry no.: "&amp;IF(LEN(INDEX('Aides'!$D$4:$D$503,364))=0,"",INDEX('Aides'!$D$4:$D$503,364))&amp;". ")&amp;IF(LEN(IF(ISNUMBER(INDEX('Aides'!$F$4:$F$503,364)),TEXT(INDEX('Aides'!$F$4:$F$503,364),"yyyy-mm-dd"),""))=0,"","Registry expiry: "&amp;IF(ISNUMBER(INDEX('Aides'!$F$4:$F$503,364)),TEXT(INDEX('Aides'!$F$4:$F$503,364),"yyyy-mm-dd"),"")&amp;". ")&amp;IF(LEN(IF(ISNUMBER(INDEX('Aides'!$G$4:$G$503,364)),TEXT(INDEX('Aides'!$G$4:$G$503,364),"yyyy-mm-dd"),""))=0,"","Last paid nursing work: "&amp;IF(ISNUMBER(INDEX('Aides'!$G$4:$G$503,364)),TEXT(INDEX('Aides'!$G$4:$G$503,364),"yyyy-mm-dd"),"")&amp;". ")&amp;IF(LEN(IF(ISNUMBER(INDEX('Aides'!$H$4:$H$503,364)),TEXT(INDEX('Aides'!$H$4:$H$503,364),"yyyy-mm-dd"),""))=0,"","24-month cut-off: "&amp;IF(ISNUMBER(INDEX('Aides'!$H$4:$H$503,364)),TEXT(INDEX('Aides'!$H$4:$H$503,364),"yyyy-mm-dd"),"")&amp;". ")&amp;IF(LEN(IF(LEN(INDEX('Aides'!$U$4:$U$503,364))=0,"",INDEX('Aides'!$U$4:$U$503,364)))=0,"","Owner: "&amp;IF(LEN(INDEX('Aides'!$U$4:$U$503,364))=0,"",INDEX('Aides'!$U$4:$U$503,364))&amp;". ")&amp;IF(LEN(IF(LEN(INDEX('Aides'!$X$4:$X$503,364))=0,"",INDEX('Aides'!$X$4:$X$503,364)))=0,"",IF(LEN(INDEX('Aides'!$X$4:$X$503,364))=0,"",INDEX('Aides'!$X$4:$X$503,364))))</f>
        <v/>
      </c>
      <c r="I367">
        <f>IF(LEN(INDEX('Aides'!$W$4:$W$503,364))=0,"",INDEX('Aides'!$W$4:$W$503,364))</f>
        <v/>
      </c>
      <c r="J367">
        <f>IF(LEN(INDEX('Aides'!$V$4:$V$503,364))=0,"",INDEX('Aides'!$V$4:$V$503,364))</f>
        <v/>
      </c>
    </row>
    <row r="368">
      <c r="A368">
        <f>IF(AND(LEN('Aides'!A368)&gt;0,ISNUMBER('Aides'!I368)),1,0)</f>
        <v/>
      </c>
      <c r="B368">
        <f>B367+A368</f>
        <v/>
      </c>
      <c r="C368">
        <f>IF(365&gt;$B$1503,"",MATCH(365-0.5,$B$3:$B$1503,1))</f>
        <v/>
      </c>
      <c r="D368">
        <f>"CNA certification ("&amp;IF(LEN(INDEX('Aides'!$C$4:$C$503,365))=0,"",INDEX('Aides'!$C$4:$C$503,365))&amp;") – "&amp;IF(LEN(INDEX('Aides'!$A$4:$A$503,365))=0,"",INDEX('Aides'!$A$4:$A$503,365))</f>
        <v/>
      </c>
      <c r="E368">
        <f>IF(ISNUMBER(INDEX('Aides'!$I$4:$I$503,365)),TEXT(INDEX('Aides'!$I$4:$I$503,365),"yyyy-mm-dd"),"")</f>
        <v/>
      </c>
      <c r="F368">
        <f>"Certification"</f>
        <v/>
      </c>
      <c r="G368">
        <f>"High"</f>
        <v/>
      </c>
      <c r="H368">
        <f>TRIM(IF(LEN(IF(LEN(INDEX('Aides'!$D$4:$D$503,365))=0,"",INDEX('Aides'!$D$4:$D$503,365)))=0,"","Registry no.: "&amp;IF(LEN(INDEX('Aides'!$D$4:$D$503,365))=0,"",INDEX('Aides'!$D$4:$D$503,365))&amp;". ")&amp;IF(LEN(IF(ISNUMBER(INDEX('Aides'!$F$4:$F$503,365)),TEXT(INDEX('Aides'!$F$4:$F$503,365),"yyyy-mm-dd"),""))=0,"","Registry expiry: "&amp;IF(ISNUMBER(INDEX('Aides'!$F$4:$F$503,365)),TEXT(INDEX('Aides'!$F$4:$F$503,365),"yyyy-mm-dd"),"")&amp;". ")&amp;IF(LEN(IF(ISNUMBER(INDEX('Aides'!$G$4:$G$503,365)),TEXT(INDEX('Aides'!$G$4:$G$503,365),"yyyy-mm-dd"),""))=0,"","Last paid nursing work: "&amp;IF(ISNUMBER(INDEX('Aides'!$G$4:$G$503,365)),TEXT(INDEX('Aides'!$G$4:$G$503,365),"yyyy-mm-dd"),"")&amp;". ")&amp;IF(LEN(IF(ISNUMBER(INDEX('Aides'!$H$4:$H$503,365)),TEXT(INDEX('Aides'!$H$4:$H$503,365),"yyyy-mm-dd"),""))=0,"","24-month cut-off: "&amp;IF(ISNUMBER(INDEX('Aides'!$H$4:$H$503,365)),TEXT(INDEX('Aides'!$H$4:$H$503,365),"yyyy-mm-dd"),"")&amp;". ")&amp;IF(LEN(IF(LEN(INDEX('Aides'!$U$4:$U$503,365))=0,"",INDEX('Aides'!$U$4:$U$503,365)))=0,"","Owner: "&amp;IF(LEN(INDEX('Aides'!$U$4:$U$503,365))=0,"",INDEX('Aides'!$U$4:$U$503,365))&amp;". ")&amp;IF(LEN(IF(LEN(INDEX('Aides'!$X$4:$X$503,365))=0,"",INDEX('Aides'!$X$4:$X$503,365)))=0,"",IF(LEN(INDEX('Aides'!$X$4:$X$503,365))=0,"",INDEX('Aides'!$X$4:$X$503,365))))</f>
        <v/>
      </c>
      <c r="I368">
        <f>IF(LEN(INDEX('Aides'!$W$4:$W$503,365))=0,"",INDEX('Aides'!$W$4:$W$503,365))</f>
        <v/>
      </c>
      <c r="J368">
        <f>IF(LEN(INDEX('Aides'!$V$4:$V$503,365))=0,"",INDEX('Aides'!$V$4:$V$503,365))</f>
        <v/>
      </c>
    </row>
    <row r="369">
      <c r="A369">
        <f>IF(AND(LEN('Aides'!A369)&gt;0,ISNUMBER('Aides'!I369)),1,0)</f>
        <v/>
      </c>
      <c r="B369">
        <f>B368+A369</f>
        <v/>
      </c>
      <c r="C369">
        <f>IF(366&gt;$B$1503,"",MATCH(366-0.5,$B$3:$B$1503,1))</f>
        <v/>
      </c>
      <c r="D369">
        <f>"CNA certification ("&amp;IF(LEN(INDEX('Aides'!$C$4:$C$503,366))=0,"",INDEX('Aides'!$C$4:$C$503,366))&amp;") – "&amp;IF(LEN(INDEX('Aides'!$A$4:$A$503,366))=0,"",INDEX('Aides'!$A$4:$A$503,366))</f>
        <v/>
      </c>
      <c r="E369">
        <f>IF(ISNUMBER(INDEX('Aides'!$I$4:$I$503,366)),TEXT(INDEX('Aides'!$I$4:$I$503,366),"yyyy-mm-dd"),"")</f>
        <v/>
      </c>
      <c r="F369">
        <f>"Certification"</f>
        <v/>
      </c>
      <c r="G369">
        <f>"High"</f>
        <v/>
      </c>
      <c r="H369">
        <f>TRIM(IF(LEN(IF(LEN(INDEX('Aides'!$D$4:$D$503,366))=0,"",INDEX('Aides'!$D$4:$D$503,366)))=0,"","Registry no.: "&amp;IF(LEN(INDEX('Aides'!$D$4:$D$503,366))=0,"",INDEX('Aides'!$D$4:$D$503,366))&amp;". ")&amp;IF(LEN(IF(ISNUMBER(INDEX('Aides'!$F$4:$F$503,366)),TEXT(INDEX('Aides'!$F$4:$F$503,366),"yyyy-mm-dd"),""))=0,"","Registry expiry: "&amp;IF(ISNUMBER(INDEX('Aides'!$F$4:$F$503,366)),TEXT(INDEX('Aides'!$F$4:$F$503,366),"yyyy-mm-dd"),"")&amp;". ")&amp;IF(LEN(IF(ISNUMBER(INDEX('Aides'!$G$4:$G$503,366)),TEXT(INDEX('Aides'!$G$4:$G$503,366),"yyyy-mm-dd"),""))=0,"","Last paid nursing work: "&amp;IF(ISNUMBER(INDEX('Aides'!$G$4:$G$503,366)),TEXT(INDEX('Aides'!$G$4:$G$503,366),"yyyy-mm-dd"),"")&amp;". ")&amp;IF(LEN(IF(ISNUMBER(INDEX('Aides'!$H$4:$H$503,366)),TEXT(INDEX('Aides'!$H$4:$H$503,366),"yyyy-mm-dd"),""))=0,"","24-month cut-off: "&amp;IF(ISNUMBER(INDEX('Aides'!$H$4:$H$503,366)),TEXT(INDEX('Aides'!$H$4:$H$503,366),"yyyy-mm-dd"),"")&amp;". ")&amp;IF(LEN(IF(LEN(INDEX('Aides'!$U$4:$U$503,366))=0,"",INDEX('Aides'!$U$4:$U$503,366)))=0,"","Owner: "&amp;IF(LEN(INDEX('Aides'!$U$4:$U$503,366))=0,"",INDEX('Aides'!$U$4:$U$503,366))&amp;". ")&amp;IF(LEN(IF(LEN(INDEX('Aides'!$X$4:$X$503,366))=0,"",INDEX('Aides'!$X$4:$X$503,366)))=0,"",IF(LEN(INDEX('Aides'!$X$4:$X$503,366))=0,"",INDEX('Aides'!$X$4:$X$503,366))))</f>
        <v/>
      </c>
      <c r="I369">
        <f>IF(LEN(INDEX('Aides'!$W$4:$W$503,366))=0,"",INDEX('Aides'!$W$4:$W$503,366))</f>
        <v/>
      </c>
      <c r="J369">
        <f>IF(LEN(INDEX('Aides'!$V$4:$V$503,366))=0,"",INDEX('Aides'!$V$4:$V$503,366))</f>
        <v/>
      </c>
    </row>
    <row r="370">
      <c r="A370">
        <f>IF(AND(LEN('Aides'!A370)&gt;0,ISNUMBER('Aides'!I370)),1,0)</f>
        <v/>
      </c>
      <c r="B370">
        <f>B369+A370</f>
        <v/>
      </c>
      <c r="C370">
        <f>IF(367&gt;$B$1503,"",MATCH(367-0.5,$B$3:$B$1503,1))</f>
        <v/>
      </c>
      <c r="D370">
        <f>"CNA certification ("&amp;IF(LEN(INDEX('Aides'!$C$4:$C$503,367))=0,"",INDEX('Aides'!$C$4:$C$503,367))&amp;") – "&amp;IF(LEN(INDEX('Aides'!$A$4:$A$503,367))=0,"",INDEX('Aides'!$A$4:$A$503,367))</f>
        <v/>
      </c>
      <c r="E370">
        <f>IF(ISNUMBER(INDEX('Aides'!$I$4:$I$503,367)),TEXT(INDEX('Aides'!$I$4:$I$503,367),"yyyy-mm-dd"),"")</f>
        <v/>
      </c>
      <c r="F370">
        <f>"Certification"</f>
        <v/>
      </c>
      <c r="G370">
        <f>"High"</f>
        <v/>
      </c>
      <c r="H370">
        <f>TRIM(IF(LEN(IF(LEN(INDEX('Aides'!$D$4:$D$503,367))=0,"",INDEX('Aides'!$D$4:$D$503,367)))=0,"","Registry no.: "&amp;IF(LEN(INDEX('Aides'!$D$4:$D$503,367))=0,"",INDEX('Aides'!$D$4:$D$503,367))&amp;". ")&amp;IF(LEN(IF(ISNUMBER(INDEX('Aides'!$F$4:$F$503,367)),TEXT(INDEX('Aides'!$F$4:$F$503,367),"yyyy-mm-dd"),""))=0,"","Registry expiry: "&amp;IF(ISNUMBER(INDEX('Aides'!$F$4:$F$503,367)),TEXT(INDEX('Aides'!$F$4:$F$503,367),"yyyy-mm-dd"),"")&amp;". ")&amp;IF(LEN(IF(ISNUMBER(INDEX('Aides'!$G$4:$G$503,367)),TEXT(INDEX('Aides'!$G$4:$G$503,367),"yyyy-mm-dd"),""))=0,"","Last paid nursing work: "&amp;IF(ISNUMBER(INDEX('Aides'!$G$4:$G$503,367)),TEXT(INDEX('Aides'!$G$4:$G$503,367),"yyyy-mm-dd"),"")&amp;". ")&amp;IF(LEN(IF(ISNUMBER(INDEX('Aides'!$H$4:$H$503,367)),TEXT(INDEX('Aides'!$H$4:$H$503,367),"yyyy-mm-dd"),""))=0,"","24-month cut-off: "&amp;IF(ISNUMBER(INDEX('Aides'!$H$4:$H$503,367)),TEXT(INDEX('Aides'!$H$4:$H$503,367),"yyyy-mm-dd"),"")&amp;". ")&amp;IF(LEN(IF(LEN(INDEX('Aides'!$U$4:$U$503,367))=0,"",INDEX('Aides'!$U$4:$U$503,367)))=0,"","Owner: "&amp;IF(LEN(INDEX('Aides'!$U$4:$U$503,367))=0,"",INDEX('Aides'!$U$4:$U$503,367))&amp;". ")&amp;IF(LEN(IF(LEN(INDEX('Aides'!$X$4:$X$503,367))=0,"",INDEX('Aides'!$X$4:$X$503,367)))=0,"",IF(LEN(INDEX('Aides'!$X$4:$X$503,367))=0,"",INDEX('Aides'!$X$4:$X$503,367))))</f>
        <v/>
      </c>
      <c r="I370">
        <f>IF(LEN(INDEX('Aides'!$W$4:$W$503,367))=0,"",INDEX('Aides'!$W$4:$W$503,367))</f>
        <v/>
      </c>
      <c r="J370">
        <f>IF(LEN(INDEX('Aides'!$V$4:$V$503,367))=0,"",INDEX('Aides'!$V$4:$V$503,367))</f>
        <v/>
      </c>
    </row>
    <row r="371">
      <c r="A371">
        <f>IF(AND(LEN('Aides'!A371)&gt;0,ISNUMBER('Aides'!I371)),1,0)</f>
        <v/>
      </c>
      <c r="B371">
        <f>B370+A371</f>
        <v/>
      </c>
      <c r="C371">
        <f>IF(368&gt;$B$1503,"",MATCH(368-0.5,$B$3:$B$1503,1))</f>
        <v/>
      </c>
      <c r="D371">
        <f>"CNA certification ("&amp;IF(LEN(INDEX('Aides'!$C$4:$C$503,368))=0,"",INDEX('Aides'!$C$4:$C$503,368))&amp;") – "&amp;IF(LEN(INDEX('Aides'!$A$4:$A$503,368))=0,"",INDEX('Aides'!$A$4:$A$503,368))</f>
        <v/>
      </c>
      <c r="E371">
        <f>IF(ISNUMBER(INDEX('Aides'!$I$4:$I$503,368)),TEXT(INDEX('Aides'!$I$4:$I$503,368),"yyyy-mm-dd"),"")</f>
        <v/>
      </c>
      <c r="F371">
        <f>"Certification"</f>
        <v/>
      </c>
      <c r="G371">
        <f>"High"</f>
        <v/>
      </c>
      <c r="H371">
        <f>TRIM(IF(LEN(IF(LEN(INDEX('Aides'!$D$4:$D$503,368))=0,"",INDEX('Aides'!$D$4:$D$503,368)))=0,"","Registry no.: "&amp;IF(LEN(INDEX('Aides'!$D$4:$D$503,368))=0,"",INDEX('Aides'!$D$4:$D$503,368))&amp;". ")&amp;IF(LEN(IF(ISNUMBER(INDEX('Aides'!$F$4:$F$503,368)),TEXT(INDEX('Aides'!$F$4:$F$503,368),"yyyy-mm-dd"),""))=0,"","Registry expiry: "&amp;IF(ISNUMBER(INDEX('Aides'!$F$4:$F$503,368)),TEXT(INDEX('Aides'!$F$4:$F$503,368),"yyyy-mm-dd"),"")&amp;". ")&amp;IF(LEN(IF(ISNUMBER(INDEX('Aides'!$G$4:$G$503,368)),TEXT(INDEX('Aides'!$G$4:$G$503,368),"yyyy-mm-dd"),""))=0,"","Last paid nursing work: "&amp;IF(ISNUMBER(INDEX('Aides'!$G$4:$G$503,368)),TEXT(INDEX('Aides'!$G$4:$G$503,368),"yyyy-mm-dd"),"")&amp;". ")&amp;IF(LEN(IF(ISNUMBER(INDEX('Aides'!$H$4:$H$503,368)),TEXT(INDEX('Aides'!$H$4:$H$503,368),"yyyy-mm-dd"),""))=0,"","24-month cut-off: "&amp;IF(ISNUMBER(INDEX('Aides'!$H$4:$H$503,368)),TEXT(INDEX('Aides'!$H$4:$H$503,368),"yyyy-mm-dd"),"")&amp;". ")&amp;IF(LEN(IF(LEN(INDEX('Aides'!$U$4:$U$503,368))=0,"",INDEX('Aides'!$U$4:$U$503,368)))=0,"","Owner: "&amp;IF(LEN(INDEX('Aides'!$U$4:$U$503,368))=0,"",INDEX('Aides'!$U$4:$U$503,368))&amp;". ")&amp;IF(LEN(IF(LEN(INDEX('Aides'!$X$4:$X$503,368))=0,"",INDEX('Aides'!$X$4:$X$503,368)))=0,"",IF(LEN(INDEX('Aides'!$X$4:$X$503,368))=0,"",INDEX('Aides'!$X$4:$X$503,368))))</f>
        <v/>
      </c>
      <c r="I371">
        <f>IF(LEN(INDEX('Aides'!$W$4:$W$503,368))=0,"",INDEX('Aides'!$W$4:$W$503,368))</f>
        <v/>
      </c>
      <c r="J371">
        <f>IF(LEN(INDEX('Aides'!$V$4:$V$503,368))=0,"",INDEX('Aides'!$V$4:$V$503,368))</f>
        <v/>
      </c>
    </row>
    <row r="372">
      <c r="A372">
        <f>IF(AND(LEN('Aides'!A372)&gt;0,ISNUMBER('Aides'!I372)),1,0)</f>
        <v/>
      </c>
      <c r="B372">
        <f>B371+A372</f>
        <v/>
      </c>
      <c r="C372">
        <f>IF(369&gt;$B$1503,"",MATCH(369-0.5,$B$3:$B$1503,1))</f>
        <v/>
      </c>
      <c r="D372">
        <f>"CNA certification ("&amp;IF(LEN(INDEX('Aides'!$C$4:$C$503,369))=0,"",INDEX('Aides'!$C$4:$C$503,369))&amp;") – "&amp;IF(LEN(INDEX('Aides'!$A$4:$A$503,369))=0,"",INDEX('Aides'!$A$4:$A$503,369))</f>
        <v/>
      </c>
      <c r="E372">
        <f>IF(ISNUMBER(INDEX('Aides'!$I$4:$I$503,369)),TEXT(INDEX('Aides'!$I$4:$I$503,369),"yyyy-mm-dd"),"")</f>
        <v/>
      </c>
      <c r="F372">
        <f>"Certification"</f>
        <v/>
      </c>
      <c r="G372">
        <f>"High"</f>
        <v/>
      </c>
      <c r="H372">
        <f>TRIM(IF(LEN(IF(LEN(INDEX('Aides'!$D$4:$D$503,369))=0,"",INDEX('Aides'!$D$4:$D$503,369)))=0,"","Registry no.: "&amp;IF(LEN(INDEX('Aides'!$D$4:$D$503,369))=0,"",INDEX('Aides'!$D$4:$D$503,369))&amp;". ")&amp;IF(LEN(IF(ISNUMBER(INDEX('Aides'!$F$4:$F$503,369)),TEXT(INDEX('Aides'!$F$4:$F$503,369),"yyyy-mm-dd"),""))=0,"","Registry expiry: "&amp;IF(ISNUMBER(INDEX('Aides'!$F$4:$F$503,369)),TEXT(INDEX('Aides'!$F$4:$F$503,369),"yyyy-mm-dd"),"")&amp;". ")&amp;IF(LEN(IF(ISNUMBER(INDEX('Aides'!$G$4:$G$503,369)),TEXT(INDEX('Aides'!$G$4:$G$503,369),"yyyy-mm-dd"),""))=0,"","Last paid nursing work: "&amp;IF(ISNUMBER(INDEX('Aides'!$G$4:$G$503,369)),TEXT(INDEX('Aides'!$G$4:$G$503,369),"yyyy-mm-dd"),"")&amp;". ")&amp;IF(LEN(IF(ISNUMBER(INDEX('Aides'!$H$4:$H$503,369)),TEXT(INDEX('Aides'!$H$4:$H$503,369),"yyyy-mm-dd"),""))=0,"","24-month cut-off: "&amp;IF(ISNUMBER(INDEX('Aides'!$H$4:$H$503,369)),TEXT(INDEX('Aides'!$H$4:$H$503,369),"yyyy-mm-dd"),"")&amp;". ")&amp;IF(LEN(IF(LEN(INDEX('Aides'!$U$4:$U$503,369))=0,"",INDEX('Aides'!$U$4:$U$503,369)))=0,"","Owner: "&amp;IF(LEN(INDEX('Aides'!$U$4:$U$503,369))=0,"",INDEX('Aides'!$U$4:$U$503,369))&amp;". ")&amp;IF(LEN(IF(LEN(INDEX('Aides'!$X$4:$X$503,369))=0,"",INDEX('Aides'!$X$4:$X$503,369)))=0,"",IF(LEN(INDEX('Aides'!$X$4:$X$503,369))=0,"",INDEX('Aides'!$X$4:$X$503,369))))</f>
        <v/>
      </c>
      <c r="I372">
        <f>IF(LEN(INDEX('Aides'!$W$4:$W$503,369))=0,"",INDEX('Aides'!$W$4:$W$503,369))</f>
        <v/>
      </c>
      <c r="J372">
        <f>IF(LEN(INDEX('Aides'!$V$4:$V$503,369))=0,"",INDEX('Aides'!$V$4:$V$503,369))</f>
        <v/>
      </c>
    </row>
    <row r="373">
      <c r="A373">
        <f>IF(AND(LEN('Aides'!A373)&gt;0,ISNUMBER('Aides'!I373)),1,0)</f>
        <v/>
      </c>
      <c r="B373">
        <f>B372+A373</f>
        <v/>
      </c>
      <c r="C373">
        <f>IF(370&gt;$B$1503,"",MATCH(370-0.5,$B$3:$B$1503,1))</f>
        <v/>
      </c>
      <c r="D373">
        <f>"CNA certification ("&amp;IF(LEN(INDEX('Aides'!$C$4:$C$503,370))=0,"",INDEX('Aides'!$C$4:$C$503,370))&amp;") – "&amp;IF(LEN(INDEX('Aides'!$A$4:$A$503,370))=0,"",INDEX('Aides'!$A$4:$A$503,370))</f>
        <v/>
      </c>
      <c r="E373">
        <f>IF(ISNUMBER(INDEX('Aides'!$I$4:$I$503,370)),TEXT(INDEX('Aides'!$I$4:$I$503,370),"yyyy-mm-dd"),"")</f>
        <v/>
      </c>
      <c r="F373">
        <f>"Certification"</f>
        <v/>
      </c>
      <c r="G373">
        <f>"High"</f>
        <v/>
      </c>
      <c r="H373">
        <f>TRIM(IF(LEN(IF(LEN(INDEX('Aides'!$D$4:$D$503,370))=0,"",INDEX('Aides'!$D$4:$D$503,370)))=0,"","Registry no.: "&amp;IF(LEN(INDEX('Aides'!$D$4:$D$503,370))=0,"",INDEX('Aides'!$D$4:$D$503,370))&amp;". ")&amp;IF(LEN(IF(ISNUMBER(INDEX('Aides'!$F$4:$F$503,370)),TEXT(INDEX('Aides'!$F$4:$F$503,370),"yyyy-mm-dd"),""))=0,"","Registry expiry: "&amp;IF(ISNUMBER(INDEX('Aides'!$F$4:$F$503,370)),TEXT(INDEX('Aides'!$F$4:$F$503,370),"yyyy-mm-dd"),"")&amp;". ")&amp;IF(LEN(IF(ISNUMBER(INDEX('Aides'!$G$4:$G$503,370)),TEXT(INDEX('Aides'!$G$4:$G$503,370),"yyyy-mm-dd"),""))=0,"","Last paid nursing work: "&amp;IF(ISNUMBER(INDEX('Aides'!$G$4:$G$503,370)),TEXT(INDEX('Aides'!$G$4:$G$503,370),"yyyy-mm-dd"),"")&amp;". ")&amp;IF(LEN(IF(ISNUMBER(INDEX('Aides'!$H$4:$H$503,370)),TEXT(INDEX('Aides'!$H$4:$H$503,370),"yyyy-mm-dd"),""))=0,"","24-month cut-off: "&amp;IF(ISNUMBER(INDEX('Aides'!$H$4:$H$503,370)),TEXT(INDEX('Aides'!$H$4:$H$503,370),"yyyy-mm-dd"),"")&amp;". ")&amp;IF(LEN(IF(LEN(INDEX('Aides'!$U$4:$U$503,370))=0,"",INDEX('Aides'!$U$4:$U$503,370)))=0,"","Owner: "&amp;IF(LEN(INDEX('Aides'!$U$4:$U$503,370))=0,"",INDEX('Aides'!$U$4:$U$503,370))&amp;". ")&amp;IF(LEN(IF(LEN(INDEX('Aides'!$X$4:$X$503,370))=0,"",INDEX('Aides'!$X$4:$X$503,370)))=0,"",IF(LEN(INDEX('Aides'!$X$4:$X$503,370))=0,"",INDEX('Aides'!$X$4:$X$503,370))))</f>
        <v/>
      </c>
      <c r="I373">
        <f>IF(LEN(INDEX('Aides'!$W$4:$W$503,370))=0,"",INDEX('Aides'!$W$4:$W$503,370))</f>
        <v/>
      </c>
      <c r="J373">
        <f>IF(LEN(INDEX('Aides'!$V$4:$V$503,370))=0,"",INDEX('Aides'!$V$4:$V$503,370))</f>
        <v/>
      </c>
    </row>
    <row r="374">
      <c r="A374">
        <f>IF(AND(LEN('Aides'!A374)&gt;0,ISNUMBER('Aides'!I374)),1,0)</f>
        <v/>
      </c>
      <c r="B374">
        <f>B373+A374</f>
        <v/>
      </c>
      <c r="C374">
        <f>IF(371&gt;$B$1503,"",MATCH(371-0.5,$B$3:$B$1503,1))</f>
        <v/>
      </c>
      <c r="D374">
        <f>"CNA certification ("&amp;IF(LEN(INDEX('Aides'!$C$4:$C$503,371))=0,"",INDEX('Aides'!$C$4:$C$503,371))&amp;") – "&amp;IF(LEN(INDEX('Aides'!$A$4:$A$503,371))=0,"",INDEX('Aides'!$A$4:$A$503,371))</f>
        <v/>
      </c>
      <c r="E374">
        <f>IF(ISNUMBER(INDEX('Aides'!$I$4:$I$503,371)),TEXT(INDEX('Aides'!$I$4:$I$503,371),"yyyy-mm-dd"),"")</f>
        <v/>
      </c>
      <c r="F374">
        <f>"Certification"</f>
        <v/>
      </c>
      <c r="G374">
        <f>"High"</f>
        <v/>
      </c>
      <c r="H374">
        <f>TRIM(IF(LEN(IF(LEN(INDEX('Aides'!$D$4:$D$503,371))=0,"",INDEX('Aides'!$D$4:$D$503,371)))=0,"","Registry no.: "&amp;IF(LEN(INDEX('Aides'!$D$4:$D$503,371))=0,"",INDEX('Aides'!$D$4:$D$503,371))&amp;". ")&amp;IF(LEN(IF(ISNUMBER(INDEX('Aides'!$F$4:$F$503,371)),TEXT(INDEX('Aides'!$F$4:$F$503,371),"yyyy-mm-dd"),""))=0,"","Registry expiry: "&amp;IF(ISNUMBER(INDEX('Aides'!$F$4:$F$503,371)),TEXT(INDEX('Aides'!$F$4:$F$503,371),"yyyy-mm-dd"),"")&amp;". ")&amp;IF(LEN(IF(ISNUMBER(INDEX('Aides'!$G$4:$G$503,371)),TEXT(INDEX('Aides'!$G$4:$G$503,371),"yyyy-mm-dd"),""))=0,"","Last paid nursing work: "&amp;IF(ISNUMBER(INDEX('Aides'!$G$4:$G$503,371)),TEXT(INDEX('Aides'!$G$4:$G$503,371),"yyyy-mm-dd"),"")&amp;". ")&amp;IF(LEN(IF(ISNUMBER(INDEX('Aides'!$H$4:$H$503,371)),TEXT(INDEX('Aides'!$H$4:$H$503,371),"yyyy-mm-dd"),""))=0,"","24-month cut-off: "&amp;IF(ISNUMBER(INDEX('Aides'!$H$4:$H$503,371)),TEXT(INDEX('Aides'!$H$4:$H$503,371),"yyyy-mm-dd"),"")&amp;". ")&amp;IF(LEN(IF(LEN(INDEX('Aides'!$U$4:$U$503,371))=0,"",INDEX('Aides'!$U$4:$U$503,371)))=0,"","Owner: "&amp;IF(LEN(INDEX('Aides'!$U$4:$U$503,371))=0,"",INDEX('Aides'!$U$4:$U$503,371))&amp;". ")&amp;IF(LEN(IF(LEN(INDEX('Aides'!$X$4:$X$503,371))=0,"",INDEX('Aides'!$X$4:$X$503,371)))=0,"",IF(LEN(INDEX('Aides'!$X$4:$X$503,371))=0,"",INDEX('Aides'!$X$4:$X$503,371))))</f>
        <v/>
      </c>
      <c r="I374">
        <f>IF(LEN(INDEX('Aides'!$W$4:$W$503,371))=0,"",INDEX('Aides'!$W$4:$W$503,371))</f>
        <v/>
      </c>
      <c r="J374">
        <f>IF(LEN(INDEX('Aides'!$V$4:$V$503,371))=0,"",INDEX('Aides'!$V$4:$V$503,371))</f>
        <v/>
      </c>
    </row>
    <row r="375">
      <c r="A375">
        <f>IF(AND(LEN('Aides'!A375)&gt;0,ISNUMBER('Aides'!I375)),1,0)</f>
        <v/>
      </c>
      <c r="B375">
        <f>B374+A375</f>
        <v/>
      </c>
      <c r="C375">
        <f>IF(372&gt;$B$1503,"",MATCH(372-0.5,$B$3:$B$1503,1))</f>
        <v/>
      </c>
      <c r="D375">
        <f>"CNA certification ("&amp;IF(LEN(INDEX('Aides'!$C$4:$C$503,372))=0,"",INDEX('Aides'!$C$4:$C$503,372))&amp;") – "&amp;IF(LEN(INDEX('Aides'!$A$4:$A$503,372))=0,"",INDEX('Aides'!$A$4:$A$503,372))</f>
        <v/>
      </c>
      <c r="E375">
        <f>IF(ISNUMBER(INDEX('Aides'!$I$4:$I$503,372)),TEXT(INDEX('Aides'!$I$4:$I$503,372),"yyyy-mm-dd"),"")</f>
        <v/>
      </c>
      <c r="F375">
        <f>"Certification"</f>
        <v/>
      </c>
      <c r="G375">
        <f>"High"</f>
        <v/>
      </c>
      <c r="H375">
        <f>TRIM(IF(LEN(IF(LEN(INDEX('Aides'!$D$4:$D$503,372))=0,"",INDEX('Aides'!$D$4:$D$503,372)))=0,"","Registry no.: "&amp;IF(LEN(INDEX('Aides'!$D$4:$D$503,372))=0,"",INDEX('Aides'!$D$4:$D$503,372))&amp;". ")&amp;IF(LEN(IF(ISNUMBER(INDEX('Aides'!$F$4:$F$503,372)),TEXT(INDEX('Aides'!$F$4:$F$503,372),"yyyy-mm-dd"),""))=0,"","Registry expiry: "&amp;IF(ISNUMBER(INDEX('Aides'!$F$4:$F$503,372)),TEXT(INDEX('Aides'!$F$4:$F$503,372),"yyyy-mm-dd"),"")&amp;". ")&amp;IF(LEN(IF(ISNUMBER(INDEX('Aides'!$G$4:$G$503,372)),TEXT(INDEX('Aides'!$G$4:$G$503,372),"yyyy-mm-dd"),""))=0,"","Last paid nursing work: "&amp;IF(ISNUMBER(INDEX('Aides'!$G$4:$G$503,372)),TEXT(INDEX('Aides'!$G$4:$G$503,372),"yyyy-mm-dd"),"")&amp;". ")&amp;IF(LEN(IF(ISNUMBER(INDEX('Aides'!$H$4:$H$503,372)),TEXT(INDEX('Aides'!$H$4:$H$503,372),"yyyy-mm-dd"),""))=0,"","24-month cut-off: "&amp;IF(ISNUMBER(INDEX('Aides'!$H$4:$H$503,372)),TEXT(INDEX('Aides'!$H$4:$H$503,372),"yyyy-mm-dd"),"")&amp;". ")&amp;IF(LEN(IF(LEN(INDEX('Aides'!$U$4:$U$503,372))=0,"",INDEX('Aides'!$U$4:$U$503,372)))=0,"","Owner: "&amp;IF(LEN(INDEX('Aides'!$U$4:$U$503,372))=0,"",INDEX('Aides'!$U$4:$U$503,372))&amp;". ")&amp;IF(LEN(IF(LEN(INDEX('Aides'!$X$4:$X$503,372))=0,"",INDEX('Aides'!$X$4:$X$503,372)))=0,"",IF(LEN(INDEX('Aides'!$X$4:$X$503,372))=0,"",INDEX('Aides'!$X$4:$X$503,372))))</f>
        <v/>
      </c>
      <c r="I375">
        <f>IF(LEN(INDEX('Aides'!$W$4:$W$503,372))=0,"",INDEX('Aides'!$W$4:$W$503,372))</f>
        <v/>
      </c>
      <c r="J375">
        <f>IF(LEN(INDEX('Aides'!$V$4:$V$503,372))=0,"",INDEX('Aides'!$V$4:$V$503,372))</f>
        <v/>
      </c>
    </row>
    <row r="376">
      <c r="A376">
        <f>IF(AND(LEN('Aides'!A376)&gt;0,ISNUMBER('Aides'!I376)),1,0)</f>
        <v/>
      </c>
      <c r="B376">
        <f>B375+A376</f>
        <v/>
      </c>
      <c r="C376">
        <f>IF(373&gt;$B$1503,"",MATCH(373-0.5,$B$3:$B$1503,1))</f>
        <v/>
      </c>
      <c r="D376">
        <f>"CNA certification ("&amp;IF(LEN(INDEX('Aides'!$C$4:$C$503,373))=0,"",INDEX('Aides'!$C$4:$C$503,373))&amp;") – "&amp;IF(LEN(INDEX('Aides'!$A$4:$A$503,373))=0,"",INDEX('Aides'!$A$4:$A$503,373))</f>
        <v/>
      </c>
      <c r="E376">
        <f>IF(ISNUMBER(INDEX('Aides'!$I$4:$I$503,373)),TEXT(INDEX('Aides'!$I$4:$I$503,373),"yyyy-mm-dd"),"")</f>
        <v/>
      </c>
      <c r="F376">
        <f>"Certification"</f>
        <v/>
      </c>
      <c r="G376">
        <f>"High"</f>
        <v/>
      </c>
      <c r="H376">
        <f>TRIM(IF(LEN(IF(LEN(INDEX('Aides'!$D$4:$D$503,373))=0,"",INDEX('Aides'!$D$4:$D$503,373)))=0,"","Registry no.: "&amp;IF(LEN(INDEX('Aides'!$D$4:$D$503,373))=0,"",INDEX('Aides'!$D$4:$D$503,373))&amp;". ")&amp;IF(LEN(IF(ISNUMBER(INDEX('Aides'!$F$4:$F$503,373)),TEXT(INDEX('Aides'!$F$4:$F$503,373),"yyyy-mm-dd"),""))=0,"","Registry expiry: "&amp;IF(ISNUMBER(INDEX('Aides'!$F$4:$F$503,373)),TEXT(INDEX('Aides'!$F$4:$F$503,373),"yyyy-mm-dd"),"")&amp;". ")&amp;IF(LEN(IF(ISNUMBER(INDEX('Aides'!$G$4:$G$503,373)),TEXT(INDEX('Aides'!$G$4:$G$503,373),"yyyy-mm-dd"),""))=0,"","Last paid nursing work: "&amp;IF(ISNUMBER(INDEX('Aides'!$G$4:$G$503,373)),TEXT(INDEX('Aides'!$G$4:$G$503,373),"yyyy-mm-dd"),"")&amp;". ")&amp;IF(LEN(IF(ISNUMBER(INDEX('Aides'!$H$4:$H$503,373)),TEXT(INDEX('Aides'!$H$4:$H$503,373),"yyyy-mm-dd"),""))=0,"","24-month cut-off: "&amp;IF(ISNUMBER(INDEX('Aides'!$H$4:$H$503,373)),TEXT(INDEX('Aides'!$H$4:$H$503,373),"yyyy-mm-dd"),"")&amp;". ")&amp;IF(LEN(IF(LEN(INDEX('Aides'!$U$4:$U$503,373))=0,"",INDEX('Aides'!$U$4:$U$503,373)))=0,"","Owner: "&amp;IF(LEN(INDEX('Aides'!$U$4:$U$503,373))=0,"",INDEX('Aides'!$U$4:$U$503,373))&amp;". ")&amp;IF(LEN(IF(LEN(INDEX('Aides'!$X$4:$X$503,373))=0,"",INDEX('Aides'!$X$4:$X$503,373)))=0,"",IF(LEN(INDEX('Aides'!$X$4:$X$503,373))=0,"",INDEX('Aides'!$X$4:$X$503,373))))</f>
        <v/>
      </c>
      <c r="I376">
        <f>IF(LEN(INDEX('Aides'!$W$4:$W$503,373))=0,"",INDEX('Aides'!$W$4:$W$503,373))</f>
        <v/>
      </c>
      <c r="J376">
        <f>IF(LEN(INDEX('Aides'!$V$4:$V$503,373))=0,"",INDEX('Aides'!$V$4:$V$503,373))</f>
        <v/>
      </c>
    </row>
    <row r="377">
      <c r="A377">
        <f>IF(AND(LEN('Aides'!A377)&gt;0,ISNUMBER('Aides'!I377)),1,0)</f>
        <v/>
      </c>
      <c r="B377">
        <f>B376+A377</f>
        <v/>
      </c>
      <c r="C377">
        <f>IF(374&gt;$B$1503,"",MATCH(374-0.5,$B$3:$B$1503,1))</f>
        <v/>
      </c>
      <c r="D377">
        <f>"CNA certification ("&amp;IF(LEN(INDEX('Aides'!$C$4:$C$503,374))=0,"",INDEX('Aides'!$C$4:$C$503,374))&amp;") – "&amp;IF(LEN(INDEX('Aides'!$A$4:$A$503,374))=0,"",INDEX('Aides'!$A$4:$A$503,374))</f>
        <v/>
      </c>
      <c r="E377">
        <f>IF(ISNUMBER(INDEX('Aides'!$I$4:$I$503,374)),TEXT(INDEX('Aides'!$I$4:$I$503,374),"yyyy-mm-dd"),"")</f>
        <v/>
      </c>
      <c r="F377">
        <f>"Certification"</f>
        <v/>
      </c>
      <c r="G377">
        <f>"High"</f>
        <v/>
      </c>
      <c r="H377">
        <f>TRIM(IF(LEN(IF(LEN(INDEX('Aides'!$D$4:$D$503,374))=0,"",INDEX('Aides'!$D$4:$D$503,374)))=0,"","Registry no.: "&amp;IF(LEN(INDEX('Aides'!$D$4:$D$503,374))=0,"",INDEX('Aides'!$D$4:$D$503,374))&amp;". ")&amp;IF(LEN(IF(ISNUMBER(INDEX('Aides'!$F$4:$F$503,374)),TEXT(INDEX('Aides'!$F$4:$F$503,374),"yyyy-mm-dd"),""))=0,"","Registry expiry: "&amp;IF(ISNUMBER(INDEX('Aides'!$F$4:$F$503,374)),TEXT(INDEX('Aides'!$F$4:$F$503,374),"yyyy-mm-dd"),"")&amp;". ")&amp;IF(LEN(IF(ISNUMBER(INDEX('Aides'!$G$4:$G$503,374)),TEXT(INDEX('Aides'!$G$4:$G$503,374),"yyyy-mm-dd"),""))=0,"","Last paid nursing work: "&amp;IF(ISNUMBER(INDEX('Aides'!$G$4:$G$503,374)),TEXT(INDEX('Aides'!$G$4:$G$503,374),"yyyy-mm-dd"),"")&amp;". ")&amp;IF(LEN(IF(ISNUMBER(INDEX('Aides'!$H$4:$H$503,374)),TEXT(INDEX('Aides'!$H$4:$H$503,374),"yyyy-mm-dd"),""))=0,"","24-month cut-off: "&amp;IF(ISNUMBER(INDEX('Aides'!$H$4:$H$503,374)),TEXT(INDEX('Aides'!$H$4:$H$503,374),"yyyy-mm-dd"),"")&amp;". ")&amp;IF(LEN(IF(LEN(INDEX('Aides'!$U$4:$U$503,374))=0,"",INDEX('Aides'!$U$4:$U$503,374)))=0,"","Owner: "&amp;IF(LEN(INDEX('Aides'!$U$4:$U$503,374))=0,"",INDEX('Aides'!$U$4:$U$503,374))&amp;". ")&amp;IF(LEN(IF(LEN(INDEX('Aides'!$X$4:$X$503,374))=0,"",INDEX('Aides'!$X$4:$X$503,374)))=0,"",IF(LEN(INDEX('Aides'!$X$4:$X$503,374))=0,"",INDEX('Aides'!$X$4:$X$503,374))))</f>
        <v/>
      </c>
      <c r="I377">
        <f>IF(LEN(INDEX('Aides'!$W$4:$W$503,374))=0,"",INDEX('Aides'!$W$4:$W$503,374))</f>
        <v/>
      </c>
      <c r="J377">
        <f>IF(LEN(INDEX('Aides'!$V$4:$V$503,374))=0,"",INDEX('Aides'!$V$4:$V$503,374))</f>
        <v/>
      </c>
    </row>
    <row r="378">
      <c r="A378">
        <f>IF(AND(LEN('Aides'!A378)&gt;0,ISNUMBER('Aides'!I378)),1,0)</f>
        <v/>
      </c>
      <c r="B378">
        <f>B377+A378</f>
        <v/>
      </c>
      <c r="C378">
        <f>IF(375&gt;$B$1503,"",MATCH(375-0.5,$B$3:$B$1503,1))</f>
        <v/>
      </c>
      <c r="D378">
        <f>"CNA certification ("&amp;IF(LEN(INDEX('Aides'!$C$4:$C$503,375))=0,"",INDEX('Aides'!$C$4:$C$503,375))&amp;") – "&amp;IF(LEN(INDEX('Aides'!$A$4:$A$503,375))=0,"",INDEX('Aides'!$A$4:$A$503,375))</f>
        <v/>
      </c>
      <c r="E378">
        <f>IF(ISNUMBER(INDEX('Aides'!$I$4:$I$503,375)),TEXT(INDEX('Aides'!$I$4:$I$503,375),"yyyy-mm-dd"),"")</f>
        <v/>
      </c>
      <c r="F378">
        <f>"Certification"</f>
        <v/>
      </c>
      <c r="G378">
        <f>"High"</f>
        <v/>
      </c>
      <c r="H378">
        <f>TRIM(IF(LEN(IF(LEN(INDEX('Aides'!$D$4:$D$503,375))=0,"",INDEX('Aides'!$D$4:$D$503,375)))=0,"","Registry no.: "&amp;IF(LEN(INDEX('Aides'!$D$4:$D$503,375))=0,"",INDEX('Aides'!$D$4:$D$503,375))&amp;". ")&amp;IF(LEN(IF(ISNUMBER(INDEX('Aides'!$F$4:$F$503,375)),TEXT(INDEX('Aides'!$F$4:$F$503,375),"yyyy-mm-dd"),""))=0,"","Registry expiry: "&amp;IF(ISNUMBER(INDEX('Aides'!$F$4:$F$503,375)),TEXT(INDEX('Aides'!$F$4:$F$503,375),"yyyy-mm-dd"),"")&amp;". ")&amp;IF(LEN(IF(ISNUMBER(INDEX('Aides'!$G$4:$G$503,375)),TEXT(INDEX('Aides'!$G$4:$G$503,375),"yyyy-mm-dd"),""))=0,"","Last paid nursing work: "&amp;IF(ISNUMBER(INDEX('Aides'!$G$4:$G$503,375)),TEXT(INDEX('Aides'!$G$4:$G$503,375),"yyyy-mm-dd"),"")&amp;". ")&amp;IF(LEN(IF(ISNUMBER(INDEX('Aides'!$H$4:$H$503,375)),TEXT(INDEX('Aides'!$H$4:$H$503,375),"yyyy-mm-dd"),""))=0,"","24-month cut-off: "&amp;IF(ISNUMBER(INDEX('Aides'!$H$4:$H$503,375)),TEXT(INDEX('Aides'!$H$4:$H$503,375),"yyyy-mm-dd"),"")&amp;". ")&amp;IF(LEN(IF(LEN(INDEX('Aides'!$U$4:$U$503,375))=0,"",INDEX('Aides'!$U$4:$U$503,375)))=0,"","Owner: "&amp;IF(LEN(INDEX('Aides'!$U$4:$U$503,375))=0,"",INDEX('Aides'!$U$4:$U$503,375))&amp;". ")&amp;IF(LEN(IF(LEN(INDEX('Aides'!$X$4:$X$503,375))=0,"",INDEX('Aides'!$X$4:$X$503,375)))=0,"",IF(LEN(INDEX('Aides'!$X$4:$X$503,375))=0,"",INDEX('Aides'!$X$4:$X$503,375))))</f>
        <v/>
      </c>
      <c r="I378">
        <f>IF(LEN(INDEX('Aides'!$W$4:$W$503,375))=0,"",INDEX('Aides'!$W$4:$W$503,375))</f>
        <v/>
      </c>
      <c r="J378">
        <f>IF(LEN(INDEX('Aides'!$V$4:$V$503,375))=0,"",INDEX('Aides'!$V$4:$V$503,375))</f>
        <v/>
      </c>
    </row>
    <row r="379">
      <c r="A379">
        <f>IF(AND(LEN('Aides'!A379)&gt;0,ISNUMBER('Aides'!I379)),1,0)</f>
        <v/>
      </c>
      <c r="B379">
        <f>B378+A379</f>
        <v/>
      </c>
      <c r="C379">
        <f>IF(376&gt;$B$1503,"",MATCH(376-0.5,$B$3:$B$1503,1))</f>
        <v/>
      </c>
      <c r="D379">
        <f>"CNA certification ("&amp;IF(LEN(INDEX('Aides'!$C$4:$C$503,376))=0,"",INDEX('Aides'!$C$4:$C$503,376))&amp;") – "&amp;IF(LEN(INDEX('Aides'!$A$4:$A$503,376))=0,"",INDEX('Aides'!$A$4:$A$503,376))</f>
        <v/>
      </c>
      <c r="E379">
        <f>IF(ISNUMBER(INDEX('Aides'!$I$4:$I$503,376)),TEXT(INDEX('Aides'!$I$4:$I$503,376),"yyyy-mm-dd"),"")</f>
        <v/>
      </c>
      <c r="F379">
        <f>"Certification"</f>
        <v/>
      </c>
      <c r="G379">
        <f>"High"</f>
        <v/>
      </c>
      <c r="H379">
        <f>TRIM(IF(LEN(IF(LEN(INDEX('Aides'!$D$4:$D$503,376))=0,"",INDEX('Aides'!$D$4:$D$503,376)))=0,"","Registry no.: "&amp;IF(LEN(INDEX('Aides'!$D$4:$D$503,376))=0,"",INDEX('Aides'!$D$4:$D$503,376))&amp;". ")&amp;IF(LEN(IF(ISNUMBER(INDEX('Aides'!$F$4:$F$503,376)),TEXT(INDEX('Aides'!$F$4:$F$503,376),"yyyy-mm-dd"),""))=0,"","Registry expiry: "&amp;IF(ISNUMBER(INDEX('Aides'!$F$4:$F$503,376)),TEXT(INDEX('Aides'!$F$4:$F$503,376),"yyyy-mm-dd"),"")&amp;". ")&amp;IF(LEN(IF(ISNUMBER(INDEX('Aides'!$G$4:$G$503,376)),TEXT(INDEX('Aides'!$G$4:$G$503,376),"yyyy-mm-dd"),""))=0,"","Last paid nursing work: "&amp;IF(ISNUMBER(INDEX('Aides'!$G$4:$G$503,376)),TEXT(INDEX('Aides'!$G$4:$G$503,376),"yyyy-mm-dd"),"")&amp;". ")&amp;IF(LEN(IF(ISNUMBER(INDEX('Aides'!$H$4:$H$503,376)),TEXT(INDEX('Aides'!$H$4:$H$503,376),"yyyy-mm-dd"),""))=0,"","24-month cut-off: "&amp;IF(ISNUMBER(INDEX('Aides'!$H$4:$H$503,376)),TEXT(INDEX('Aides'!$H$4:$H$503,376),"yyyy-mm-dd"),"")&amp;". ")&amp;IF(LEN(IF(LEN(INDEX('Aides'!$U$4:$U$503,376))=0,"",INDEX('Aides'!$U$4:$U$503,376)))=0,"","Owner: "&amp;IF(LEN(INDEX('Aides'!$U$4:$U$503,376))=0,"",INDEX('Aides'!$U$4:$U$503,376))&amp;". ")&amp;IF(LEN(IF(LEN(INDEX('Aides'!$X$4:$X$503,376))=0,"",INDEX('Aides'!$X$4:$X$503,376)))=0,"",IF(LEN(INDEX('Aides'!$X$4:$X$503,376))=0,"",INDEX('Aides'!$X$4:$X$503,376))))</f>
        <v/>
      </c>
      <c r="I379">
        <f>IF(LEN(INDEX('Aides'!$W$4:$W$503,376))=0,"",INDEX('Aides'!$W$4:$W$503,376))</f>
        <v/>
      </c>
      <c r="J379">
        <f>IF(LEN(INDEX('Aides'!$V$4:$V$503,376))=0,"",INDEX('Aides'!$V$4:$V$503,376))</f>
        <v/>
      </c>
    </row>
    <row r="380">
      <c r="A380">
        <f>IF(AND(LEN('Aides'!A380)&gt;0,ISNUMBER('Aides'!I380)),1,0)</f>
        <v/>
      </c>
      <c r="B380">
        <f>B379+A380</f>
        <v/>
      </c>
      <c r="C380">
        <f>IF(377&gt;$B$1503,"",MATCH(377-0.5,$B$3:$B$1503,1))</f>
        <v/>
      </c>
      <c r="D380">
        <f>"CNA certification ("&amp;IF(LEN(INDEX('Aides'!$C$4:$C$503,377))=0,"",INDEX('Aides'!$C$4:$C$503,377))&amp;") – "&amp;IF(LEN(INDEX('Aides'!$A$4:$A$503,377))=0,"",INDEX('Aides'!$A$4:$A$503,377))</f>
        <v/>
      </c>
      <c r="E380">
        <f>IF(ISNUMBER(INDEX('Aides'!$I$4:$I$503,377)),TEXT(INDEX('Aides'!$I$4:$I$503,377),"yyyy-mm-dd"),"")</f>
        <v/>
      </c>
      <c r="F380">
        <f>"Certification"</f>
        <v/>
      </c>
      <c r="G380">
        <f>"High"</f>
        <v/>
      </c>
      <c r="H380">
        <f>TRIM(IF(LEN(IF(LEN(INDEX('Aides'!$D$4:$D$503,377))=0,"",INDEX('Aides'!$D$4:$D$503,377)))=0,"","Registry no.: "&amp;IF(LEN(INDEX('Aides'!$D$4:$D$503,377))=0,"",INDEX('Aides'!$D$4:$D$503,377))&amp;". ")&amp;IF(LEN(IF(ISNUMBER(INDEX('Aides'!$F$4:$F$503,377)),TEXT(INDEX('Aides'!$F$4:$F$503,377),"yyyy-mm-dd"),""))=0,"","Registry expiry: "&amp;IF(ISNUMBER(INDEX('Aides'!$F$4:$F$503,377)),TEXT(INDEX('Aides'!$F$4:$F$503,377),"yyyy-mm-dd"),"")&amp;". ")&amp;IF(LEN(IF(ISNUMBER(INDEX('Aides'!$G$4:$G$503,377)),TEXT(INDEX('Aides'!$G$4:$G$503,377),"yyyy-mm-dd"),""))=0,"","Last paid nursing work: "&amp;IF(ISNUMBER(INDEX('Aides'!$G$4:$G$503,377)),TEXT(INDEX('Aides'!$G$4:$G$503,377),"yyyy-mm-dd"),"")&amp;". ")&amp;IF(LEN(IF(ISNUMBER(INDEX('Aides'!$H$4:$H$503,377)),TEXT(INDEX('Aides'!$H$4:$H$503,377),"yyyy-mm-dd"),""))=0,"","24-month cut-off: "&amp;IF(ISNUMBER(INDEX('Aides'!$H$4:$H$503,377)),TEXT(INDEX('Aides'!$H$4:$H$503,377),"yyyy-mm-dd"),"")&amp;". ")&amp;IF(LEN(IF(LEN(INDEX('Aides'!$U$4:$U$503,377))=0,"",INDEX('Aides'!$U$4:$U$503,377)))=0,"","Owner: "&amp;IF(LEN(INDEX('Aides'!$U$4:$U$503,377))=0,"",INDEX('Aides'!$U$4:$U$503,377))&amp;". ")&amp;IF(LEN(IF(LEN(INDEX('Aides'!$X$4:$X$503,377))=0,"",INDEX('Aides'!$X$4:$X$503,377)))=0,"",IF(LEN(INDEX('Aides'!$X$4:$X$503,377))=0,"",INDEX('Aides'!$X$4:$X$503,377))))</f>
        <v/>
      </c>
      <c r="I380">
        <f>IF(LEN(INDEX('Aides'!$W$4:$W$503,377))=0,"",INDEX('Aides'!$W$4:$W$503,377))</f>
        <v/>
      </c>
      <c r="J380">
        <f>IF(LEN(INDEX('Aides'!$V$4:$V$503,377))=0,"",INDEX('Aides'!$V$4:$V$503,377))</f>
        <v/>
      </c>
    </row>
    <row r="381">
      <c r="A381">
        <f>IF(AND(LEN('Aides'!A381)&gt;0,ISNUMBER('Aides'!I381)),1,0)</f>
        <v/>
      </c>
      <c r="B381">
        <f>B380+A381</f>
        <v/>
      </c>
      <c r="C381">
        <f>IF(378&gt;$B$1503,"",MATCH(378-0.5,$B$3:$B$1503,1))</f>
        <v/>
      </c>
      <c r="D381">
        <f>"CNA certification ("&amp;IF(LEN(INDEX('Aides'!$C$4:$C$503,378))=0,"",INDEX('Aides'!$C$4:$C$503,378))&amp;") – "&amp;IF(LEN(INDEX('Aides'!$A$4:$A$503,378))=0,"",INDEX('Aides'!$A$4:$A$503,378))</f>
        <v/>
      </c>
      <c r="E381">
        <f>IF(ISNUMBER(INDEX('Aides'!$I$4:$I$503,378)),TEXT(INDEX('Aides'!$I$4:$I$503,378),"yyyy-mm-dd"),"")</f>
        <v/>
      </c>
      <c r="F381">
        <f>"Certification"</f>
        <v/>
      </c>
      <c r="G381">
        <f>"High"</f>
        <v/>
      </c>
      <c r="H381">
        <f>TRIM(IF(LEN(IF(LEN(INDEX('Aides'!$D$4:$D$503,378))=0,"",INDEX('Aides'!$D$4:$D$503,378)))=0,"","Registry no.: "&amp;IF(LEN(INDEX('Aides'!$D$4:$D$503,378))=0,"",INDEX('Aides'!$D$4:$D$503,378))&amp;". ")&amp;IF(LEN(IF(ISNUMBER(INDEX('Aides'!$F$4:$F$503,378)),TEXT(INDEX('Aides'!$F$4:$F$503,378),"yyyy-mm-dd"),""))=0,"","Registry expiry: "&amp;IF(ISNUMBER(INDEX('Aides'!$F$4:$F$503,378)),TEXT(INDEX('Aides'!$F$4:$F$503,378),"yyyy-mm-dd"),"")&amp;". ")&amp;IF(LEN(IF(ISNUMBER(INDEX('Aides'!$G$4:$G$503,378)),TEXT(INDEX('Aides'!$G$4:$G$503,378),"yyyy-mm-dd"),""))=0,"","Last paid nursing work: "&amp;IF(ISNUMBER(INDEX('Aides'!$G$4:$G$503,378)),TEXT(INDEX('Aides'!$G$4:$G$503,378),"yyyy-mm-dd"),"")&amp;". ")&amp;IF(LEN(IF(ISNUMBER(INDEX('Aides'!$H$4:$H$503,378)),TEXT(INDEX('Aides'!$H$4:$H$503,378),"yyyy-mm-dd"),""))=0,"","24-month cut-off: "&amp;IF(ISNUMBER(INDEX('Aides'!$H$4:$H$503,378)),TEXT(INDEX('Aides'!$H$4:$H$503,378),"yyyy-mm-dd"),"")&amp;". ")&amp;IF(LEN(IF(LEN(INDEX('Aides'!$U$4:$U$503,378))=0,"",INDEX('Aides'!$U$4:$U$503,378)))=0,"","Owner: "&amp;IF(LEN(INDEX('Aides'!$U$4:$U$503,378))=0,"",INDEX('Aides'!$U$4:$U$503,378))&amp;". ")&amp;IF(LEN(IF(LEN(INDEX('Aides'!$X$4:$X$503,378))=0,"",INDEX('Aides'!$X$4:$X$503,378)))=0,"",IF(LEN(INDEX('Aides'!$X$4:$X$503,378))=0,"",INDEX('Aides'!$X$4:$X$503,378))))</f>
        <v/>
      </c>
      <c r="I381">
        <f>IF(LEN(INDEX('Aides'!$W$4:$W$503,378))=0,"",INDEX('Aides'!$W$4:$W$503,378))</f>
        <v/>
      </c>
      <c r="J381">
        <f>IF(LEN(INDEX('Aides'!$V$4:$V$503,378))=0,"",INDEX('Aides'!$V$4:$V$503,378))</f>
        <v/>
      </c>
    </row>
    <row r="382">
      <c r="A382">
        <f>IF(AND(LEN('Aides'!A382)&gt;0,ISNUMBER('Aides'!I382)),1,0)</f>
        <v/>
      </c>
      <c r="B382">
        <f>B381+A382</f>
        <v/>
      </c>
      <c r="C382">
        <f>IF(379&gt;$B$1503,"",MATCH(379-0.5,$B$3:$B$1503,1))</f>
        <v/>
      </c>
      <c r="D382">
        <f>"CNA certification ("&amp;IF(LEN(INDEX('Aides'!$C$4:$C$503,379))=0,"",INDEX('Aides'!$C$4:$C$503,379))&amp;") – "&amp;IF(LEN(INDEX('Aides'!$A$4:$A$503,379))=0,"",INDEX('Aides'!$A$4:$A$503,379))</f>
        <v/>
      </c>
      <c r="E382">
        <f>IF(ISNUMBER(INDEX('Aides'!$I$4:$I$503,379)),TEXT(INDEX('Aides'!$I$4:$I$503,379),"yyyy-mm-dd"),"")</f>
        <v/>
      </c>
      <c r="F382">
        <f>"Certification"</f>
        <v/>
      </c>
      <c r="G382">
        <f>"High"</f>
        <v/>
      </c>
      <c r="H382">
        <f>TRIM(IF(LEN(IF(LEN(INDEX('Aides'!$D$4:$D$503,379))=0,"",INDEX('Aides'!$D$4:$D$503,379)))=0,"","Registry no.: "&amp;IF(LEN(INDEX('Aides'!$D$4:$D$503,379))=0,"",INDEX('Aides'!$D$4:$D$503,379))&amp;". ")&amp;IF(LEN(IF(ISNUMBER(INDEX('Aides'!$F$4:$F$503,379)),TEXT(INDEX('Aides'!$F$4:$F$503,379),"yyyy-mm-dd"),""))=0,"","Registry expiry: "&amp;IF(ISNUMBER(INDEX('Aides'!$F$4:$F$503,379)),TEXT(INDEX('Aides'!$F$4:$F$503,379),"yyyy-mm-dd"),"")&amp;". ")&amp;IF(LEN(IF(ISNUMBER(INDEX('Aides'!$G$4:$G$503,379)),TEXT(INDEX('Aides'!$G$4:$G$503,379),"yyyy-mm-dd"),""))=0,"","Last paid nursing work: "&amp;IF(ISNUMBER(INDEX('Aides'!$G$4:$G$503,379)),TEXT(INDEX('Aides'!$G$4:$G$503,379),"yyyy-mm-dd"),"")&amp;". ")&amp;IF(LEN(IF(ISNUMBER(INDEX('Aides'!$H$4:$H$503,379)),TEXT(INDEX('Aides'!$H$4:$H$503,379),"yyyy-mm-dd"),""))=0,"","24-month cut-off: "&amp;IF(ISNUMBER(INDEX('Aides'!$H$4:$H$503,379)),TEXT(INDEX('Aides'!$H$4:$H$503,379),"yyyy-mm-dd"),"")&amp;". ")&amp;IF(LEN(IF(LEN(INDEX('Aides'!$U$4:$U$503,379))=0,"",INDEX('Aides'!$U$4:$U$503,379)))=0,"","Owner: "&amp;IF(LEN(INDEX('Aides'!$U$4:$U$503,379))=0,"",INDEX('Aides'!$U$4:$U$503,379))&amp;". ")&amp;IF(LEN(IF(LEN(INDEX('Aides'!$X$4:$X$503,379))=0,"",INDEX('Aides'!$X$4:$X$503,379)))=0,"",IF(LEN(INDEX('Aides'!$X$4:$X$503,379))=0,"",INDEX('Aides'!$X$4:$X$503,379))))</f>
        <v/>
      </c>
      <c r="I382">
        <f>IF(LEN(INDEX('Aides'!$W$4:$W$503,379))=0,"",INDEX('Aides'!$W$4:$W$503,379))</f>
        <v/>
      </c>
      <c r="J382">
        <f>IF(LEN(INDEX('Aides'!$V$4:$V$503,379))=0,"",INDEX('Aides'!$V$4:$V$503,379))</f>
        <v/>
      </c>
    </row>
    <row r="383">
      <c r="A383">
        <f>IF(AND(LEN('Aides'!A383)&gt;0,ISNUMBER('Aides'!I383)),1,0)</f>
        <v/>
      </c>
      <c r="B383">
        <f>B382+A383</f>
        <v/>
      </c>
      <c r="C383">
        <f>IF(380&gt;$B$1503,"",MATCH(380-0.5,$B$3:$B$1503,1))</f>
        <v/>
      </c>
      <c r="D383">
        <f>"CNA certification ("&amp;IF(LEN(INDEX('Aides'!$C$4:$C$503,380))=0,"",INDEX('Aides'!$C$4:$C$503,380))&amp;") – "&amp;IF(LEN(INDEX('Aides'!$A$4:$A$503,380))=0,"",INDEX('Aides'!$A$4:$A$503,380))</f>
        <v/>
      </c>
      <c r="E383">
        <f>IF(ISNUMBER(INDEX('Aides'!$I$4:$I$503,380)),TEXT(INDEX('Aides'!$I$4:$I$503,380),"yyyy-mm-dd"),"")</f>
        <v/>
      </c>
      <c r="F383">
        <f>"Certification"</f>
        <v/>
      </c>
      <c r="G383">
        <f>"High"</f>
        <v/>
      </c>
      <c r="H383">
        <f>TRIM(IF(LEN(IF(LEN(INDEX('Aides'!$D$4:$D$503,380))=0,"",INDEX('Aides'!$D$4:$D$503,380)))=0,"","Registry no.: "&amp;IF(LEN(INDEX('Aides'!$D$4:$D$503,380))=0,"",INDEX('Aides'!$D$4:$D$503,380))&amp;". ")&amp;IF(LEN(IF(ISNUMBER(INDEX('Aides'!$F$4:$F$503,380)),TEXT(INDEX('Aides'!$F$4:$F$503,380),"yyyy-mm-dd"),""))=0,"","Registry expiry: "&amp;IF(ISNUMBER(INDEX('Aides'!$F$4:$F$503,380)),TEXT(INDEX('Aides'!$F$4:$F$503,380),"yyyy-mm-dd"),"")&amp;". ")&amp;IF(LEN(IF(ISNUMBER(INDEX('Aides'!$G$4:$G$503,380)),TEXT(INDEX('Aides'!$G$4:$G$503,380),"yyyy-mm-dd"),""))=0,"","Last paid nursing work: "&amp;IF(ISNUMBER(INDEX('Aides'!$G$4:$G$503,380)),TEXT(INDEX('Aides'!$G$4:$G$503,380),"yyyy-mm-dd"),"")&amp;". ")&amp;IF(LEN(IF(ISNUMBER(INDEX('Aides'!$H$4:$H$503,380)),TEXT(INDEX('Aides'!$H$4:$H$503,380),"yyyy-mm-dd"),""))=0,"","24-month cut-off: "&amp;IF(ISNUMBER(INDEX('Aides'!$H$4:$H$503,380)),TEXT(INDEX('Aides'!$H$4:$H$503,380),"yyyy-mm-dd"),"")&amp;". ")&amp;IF(LEN(IF(LEN(INDEX('Aides'!$U$4:$U$503,380))=0,"",INDEX('Aides'!$U$4:$U$503,380)))=0,"","Owner: "&amp;IF(LEN(INDEX('Aides'!$U$4:$U$503,380))=0,"",INDEX('Aides'!$U$4:$U$503,380))&amp;". ")&amp;IF(LEN(IF(LEN(INDEX('Aides'!$X$4:$X$503,380))=0,"",INDEX('Aides'!$X$4:$X$503,380)))=0,"",IF(LEN(INDEX('Aides'!$X$4:$X$503,380))=0,"",INDEX('Aides'!$X$4:$X$503,380))))</f>
        <v/>
      </c>
      <c r="I383">
        <f>IF(LEN(INDEX('Aides'!$W$4:$W$503,380))=0,"",INDEX('Aides'!$W$4:$W$503,380))</f>
        <v/>
      </c>
      <c r="J383">
        <f>IF(LEN(INDEX('Aides'!$V$4:$V$503,380))=0,"",INDEX('Aides'!$V$4:$V$503,380))</f>
        <v/>
      </c>
    </row>
    <row r="384">
      <c r="A384">
        <f>IF(AND(LEN('Aides'!A384)&gt;0,ISNUMBER('Aides'!I384)),1,0)</f>
        <v/>
      </c>
      <c r="B384">
        <f>B383+A384</f>
        <v/>
      </c>
      <c r="C384">
        <f>IF(381&gt;$B$1503,"",MATCH(381-0.5,$B$3:$B$1503,1))</f>
        <v/>
      </c>
      <c r="D384">
        <f>"CNA certification ("&amp;IF(LEN(INDEX('Aides'!$C$4:$C$503,381))=0,"",INDEX('Aides'!$C$4:$C$503,381))&amp;") – "&amp;IF(LEN(INDEX('Aides'!$A$4:$A$503,381))=0,"",INDEX('Aides'!$A$4:$A$503,381))</f>
        <v/>
      </c>
      <c r="E384">
        <f>IF(ISNUMBER(INDEX('Aides'!$I$4:$I$503,381)),TEXT(INDEX('Aides'!$I$4:$I$503,381),"yyyy-mm-dd"),"")</f>
        <v/>
      </c>
      <c r="F384">
        <f>"Certification"</f>
        <v/>
      </c>
      <c r="G384">
        <f>"High"</f>
        <v/>
      </c>
      <c r="H384">
        <f>TRIM(IF(LEN(IF(LEN(INDEX('Aides'!$D$4:$D$503,381))=0,"",INDEX('Aides'!$D$4:$D$503,381)))=0,"","Registry no.: "&amp;IF(LEN(INDEX('Aides'!$D$4:$D$503,381))=0,"",INDEX('Aides'!$D$4:$D$503,381))&amp;". ")&amp;IF(LEN(IF(ISNUMBER(INDEX('Aides'!$F$4:$F$503,381)),TEXT(INDEX('Aides'!$F$4:$F$503,381),"yyyy-mm-dd"),""))=0,"","Registry expiry: "&amp;IF(ISNUMBER(INDEX('Aides'!$F$4:$F$503,381)),TEXT(INDEX('Aides'!$F$4:$F$503,381),"yyyy-mm-dd"),"")&amp;". ")&amp;IF(LEN(IF(ISNUMBER(INDEX('Aides'!$G$4:$G$503,381)),TEXT(INDEX('Aides'!$G$4:$G$503,381),"yyyy-mm-dd"),""))=0,"","Last paid nursing work: "&amp;IF(ISNUMBER(INDEX('Aides'!$G$4:$G$503,381)),TEXT(INDEX('Aides'!$G$4:$G$503,381),"yyyy-mm-dd"),"")&amp;". ")&amp;IF(LEN(IF(ISNUMBER(INDEX('Aides'!$H$4:$H$503,381)),TEXT(INDEX('Aides'!$H$4:$H$503,381),"yyyy-mm-dd"),""))=0,"","24-month cut-off: "&amp;IF(ISNUMBER(INDEX('Aides'!$H$4:$H$503,381)),TEXT(INDEX('Aides'!$H$4:$H$503,381),"yyyy-mm-dd"),"")&amp;". ")&amp;IF(LEN(IF(LEN(INDEX('Aides'!$U$4:$U$503,381))=0,"",INDEX('Aides'!$U$4:$U$503,381)))=0,"","Owner: "&amp;IF(LEN(INDEX('Aides'!$U$4:$U$503,381))=0,"",INDEX('Aides'!$U$4:$U$503,381))&amp;". ")&amp;IF(LEN(IF(LEN(INDEX('Aides'!$X$4:$X$503,381))=0,"",INDEX('Aides'!$X$4:$X$503,381)))=0,"",IF(LEN(INDEX('Aides'!$X$4:$X$503,381))=0,"",INDEX('Aides'!$X$4:$X$503,381))))</f>
        <v/>
      </c>
      <c r="I384">
        <f>IF(LEN(INDEX('Aides'!$W$4:$W$503,381))=0,"",INDEX('Aides'!$W$4:$W$503,381))</f>
        <v/>
      </c>
      <c r="J384">
        <f>IF(LEN(INDEX('Aides'!$V$4:$V$503,381))=0,"",INDEX('Aides'!$V$4:$V$503,381))</f>
        <v/>
      </c>
    </row>
    <row r="385">
      <c r="A385">
        <f>IF(AND(LEN('Aides'!A385)&gt;0,ISNUMBER('Aides'!I385)),1,0)</f>
        <v/>
      </c>
      <c r="B385">
        <f>B384+A385</f>
        <v/>
      </c>
      <c r="C385">
        <f>IF(382&gt;$B$1503,"",MATCH(382-0.5,$B$3:$B$1503,1))</f>
        <v/>
      </c>
      <c r="D385">
        <f>"CNA certification ("&amp;IF(LEN(INDEX('Aides'!$C$4:$C$503,382))=0,"",INDEX('Aides'!$C$4:$C$503,382))&amp;") – "&amp;IF(LEN(INDEX('Aides'!$A$4:$A$503,382))=0,"",INDEX('Aides'!$A$4:$A$503,382))</f>
        <v/>
      </c>
      <c r="E385">
        <f>IF(ISNUMBER(INDEX('Aides'!$I$4:$I$503,382)),TEXT(INDEX('Aides'!$I$4:$I$503,382),"yyyy-mm-dd"),"")</f>
        <v/>
      </c>
      <c r="F385">
        <f>"Certification"</f>
        <v/>
      </c>
      <c r="G385">
        <f>"High"</f>
        <v/>
      </c>
      <c r="H385">
        <f>TRIM(IF(LEN(IF(LEN(INDEX('Aides'!$D$4:$D$503,382))=0,"",INDEX('Aides'!$D$4:$D$503,382)))=0,"","Registry no.: "&amp;IF(LEN(INDEX('Aides'!$D$4:$D$503,382))=0,"",INDEX('Aides'!$D$4:$D$503,382))&amp;". ")&amp;IF(LEN(IF(ISNUMBER(INDEX('Aides'!$F$4:$F$503,382)),TEXT(INDEX('Aides'!$F$4:$F$503,382),"yyyy-mm-dd"),""))=0,"","Registry expiry: "&amp;IF(ISNUMBER(INDEX('Aides'!$F$4:$F$503,382)),TEXT(INDEX('Aides'!$F$4:$F$503,382),"yyyy-mm-dd"),"")&amp;". ")&amp;IF(LEN(IF(ISNUMBER(INDEX('Aides'!$G$4:$G$503,382)),TEXT(INDEX('Aides'!$G$4:$G$503,382),"yyyy-mm-dd"),""))=0,"","Last paid nursing work: "&amp;IF(ISNUMBER(INDEX('Aides'!$G$4:$G$503,382)),TEXT(INDEX('Aides'!$G$4:$G$503,382),"yyyy-mm-dd"),"")&amp;". ")&amp;IF(LEN(IF(ISNUMBER(INDEX('Aides'!$H$4:$H$503,382)),TEXT(INDEX('Aides'!$H$4:$H$503,382),"yyyy-mm-dd"),""))=0,"","24-month cut-off: "&amp;IF(ISNUMBER(INDEX('Aides'!$H$4:$H$503,382)),TEXT(INDEX('Aides'!$H$4:$H$503,382),"yyyy-mm-dd"),"")&amp;". ")&amp;IF(LEN(IF(LEN(INDEX('Aides'!$U$4:$U$503,382))=0,"",INDEX('Aides'!$U$4:$U$503,382)))=0,"","Owner: "&amp;IF(LEN(INDEX('Aides'!$U$4:$U$503,382))=0,"",INDEX('Aides'!$U$4:$U$503,382))&amp;". ")&amp;IF(LEN(IF(LEN(INDEX('Aides'!$X$4:$X$503,382))=0,"",INDEX('Aides'!$X$4:$X$503,382)))=0,"",IF(LEN(INDEX('Aides'!$X$4:$X$503,382))=0,"",INDEX('Aides'!$X$4:$X$503,382))))</f>
        <v/>
      </c>
      <c r="I385">
        <f>IF(LEN(INDEX('Aides'!$W$4:$W$503,382))=0,"",INDEX('Aides'!$W$4:$W$503,382))</f>
        <v/>
      </c>
      <c r="J385">
        <f>IF(LEN(INDEX('Aides'!$V$4:$V$503,382))=0,"",INDEX('Aides'!$V$4:$V$503,382))</f>
        <v/>
      </c>
    </row>
    <row r="386">
      <c r="A386">
        <f>IF(AND(LEN('Aides'!A386)&gt;0,ISNUMBER('Aides'!I386)),1,0)</f>
        <v/>
      </c>
      <c r="B386">
        <f>B385+A386</f>
        <v/>
      </c>
      <c r="C386">
        <f>IF(383&gt;$B$1503,"",MATCH(383-0.5,$B$3:$B$1503,1))</f>
        <v/>
      </c>
      <c r="D386">
        <f>"CNA certification ("&amp;IF(LEN(INDEX('Aides'!$C$4:$C$503,383))=0,"",INDEX('Aides'!$C$4:$C$503,383))&amp;") – "&amp;IF(LEN(INDEX('Aides'!$A$4:$A$503,383))=0,"",INDEX('Aides'!$A$4:$A$503,383))</f>
        <v/>
      </c>
      <c r="E386">
        <f>IF(ISNUMBER(INDEX('Aides'!$I$4:$I$503,383)),TEXT(INDEX('Aides'!$I$4:$I$503,383),"yyyy-mm-dd"),"")</f>
        <v/>
      </c>
      <c r="F386">
        <f>"Certification"</f>
        <v/>
      </c>
      <c r="G386">
        <f>"High"</f>
        <v/>
      </c>
      <c r="H386">
        <f>TRIM(IF(LEN(IF(LEN(INDEX('Aides'!$D$4:$D$503,383))=0,"",INDEX('Aides'!$D$4:$D$503,383)))=0,"","Registry no.: "&amp;IF(LEN(INDEX('Aides'!$D$4:$D$503,383))=0,"",INDEX('Aides'!$D$4:$D$503,383))&amp;". ")&amp;IF(LEN(IF(ISNUMBER(INDEX('Aides'!$F$4:$F$503,383)),TEXT(INDEX('Aides'!$F$4:$F$503,383),"yyyy-mm-dd"),""))=0,"","Registry expiry: "&amp;IF(ISNUMBER(INDEX('Aides'!$F$4:$F$503,383)),TEXT(INDEX('Aides'!$F$4:$F$503,383),"yyyy-mm-dd"),"")&amp;". ")&amp;IF(LEN(IF(ISNUMBER(INDEX('Aides'!$G$4:$G$503,383)),TEXT(INDEX('Aides'!$G$4:$G$503,383),"yyyy-mm-dd"),""))=0,"","Last paid nursing work: "&amp;IF(ISNUMBER(INDEX('Aides'!$G$4:$G$503,383)),TEXT(INDEX('Aides'!$G$4:$G$503,383),"yyyy-mm-dd"),"")&amp;". ")&amp;IF(LEN(IF(ISNUMBER(INDEX('Aides'!$H$4:$H$503,383)),TEXT(INDEX('Aides'!$H$4:$H$503,383),"yyyy-mm-dd"),""))=0,"","24-month cut-off: "&amp;IF(ISNUMBER(INDEX('Aides'!$H$4:$H$503,383)),TEXT(INDEX('Aides'!$H$4:$H$503,383),"yyyy-mm-dd"),"")&amp;". ")&amp;IF(LEN(IF(LEN(INDEX('Aides'!$U$4:$U$503,383))=0,"",INDEX('Aides'!$U$4:$U$503,383)))=0,"","Owner: "&amp;IF(LEN(INDEX('Aides'!$U$4:$U$503,383))=0,"",INDEX('Aides'!$U$4:$U$503,383))&amp;". ")&amp;IF(LEN(IF(LEN(INDEX('Aides'!$X$4:$X$503,383))=0,"",INDEX('Aides'!$X$4:$X$503,383)))=0,"",IF(LEN(INDEX('Aides'!$X$4:$X$503,383))=0,"",INDEX('Aides'!$X$4:$X$503,383))))</f>
        <v/>
      </c>
      <c r="I386">
        <f>IF(LEN(INDEX('Aides'!$W$4:$W$503,383))=0,"",INDEX('Aides'!$W$4:$W$503,383))</f>
        <v/>
      </c>
      <c r="J386">
        <f>IF(LEN(INDEX('Aides'!$V$4:$V$503,383))=0,"",INDEX('Aides'!$V$4:$V$503,383))</f>
        <v/>
      </c>
    </row>
    <row r="387">
      <c r="A387">
        <f>IF(AND(LEN('Aides'!A387)&gt;0,ISNUMBER('Aides'!I387)),1,0)</f>
        <v/>
      </c>
      <c r="B387">
        <f>B386+A387</f>
        <v/>
      </c>
      <c r="C387">
        <f>IF(384&gt;$B$1503,"",MATCH(384-0.5,$B$3:$B$1503,1))</f>
        <v/>
      </c>
      <c r="D387">
        <f>"CNA certification ("&amp;IF(LEN(INDEX('Aides'!$C$4:$C$503,384))=0,"",INDEX('Aides'!$C$4:$C$503,384))&amp;") – "&amp;IF(LEN(INDEX('Aides'!$A$4:$A$503,384))=0,"",INDEX('Aides'!$A$4:$A$503,384))</f>
        <v/>
      </c>
      <c r="E387">
        <f>IF(ISNUMBER(INDEX('Aides'!$I$4:$I$503,384)),TEXT(INDEX('Aides'!$I$4:$I$503,384),"yyyy-mm-dd"),"")</f>
        <v/>
      </c>
      <c r="F387">
        <f>"Certification"</f>
        <v/>
      </c>
      <c r="G387">
        <f>"High"</f>
        <v/>
      </c>
      <c r="H387">
        <f>TRIM(IF(LEN(IF(LEN(INDEX('Aides'!$D$4:$D$503,384))=0,"",INDEX('Aides'!$D$4:$D$503,384)))=0,"","Registry no.: "&amp;IF(LEN(INDEX('Aides'!$D$4:$D$503,384))=0,"",INDEX('Aides'!$D$4:$D$503,384))&amp;". ")&amp;IF(LEN(IF(ISNUMBER(INDEX('Aides'!$F$4:$F$503,384)),TEXT(INDEX('Aides'!$F$4:$F$503,384),"yyyy-mm-dd"),""))=0,"","Registry expiry: "&amp;IF(ISNUMBER(INDEX('Aides'!$F$4:$F$503,384)),TEXT(INDEX('Aides'!$F$4:$F$503,384),"yyyy-mm-dd"),"")&amp;". ")&amp;IF(LEN(IF(ISNUMBER(INDEX('Aides'!$G$4:$G$503,384)),TEXT(INDEX('Aides'!$G$4:$G$503,384),"yyyy-mm-dd"),""))=0,"","Last paid nursing work: "&amp;IF(ISNUMBER(INDEX('Aides'!$G$4:$G$503,384)),TEXT(INDEX('Aides'!$G$4:$G$503,384),"yyyy-mm-dd"),"")&amp;". ")&amp;IF(LEN(IF(ISNUMBER(INDEX('Aides'!$H$4:$H$503,384)),TEXT(INDEX('Aides'!$H$4:$H$503,384),"yyyy-mm-dd"),""))=0,"","24-month cut-off: "&amp;IF(ISNUMBER(INDEX('Aides'!$H$4:$H$503,384)),TEXT(INDEX('Aides'!$H$4:$H$503,384),"yyyy-mm-dd"),"")&amp;". ")&amp;IF(LEN(IF(LEN(INDEX('Aides'!$U$4:$U$503,384))=0,"",INDEX('Aides'!$U$4:$U$503,384)))=0,"","Owner: "&amp;IF(LEN(INDEX('Aides'!$U$4:$U$503,384))=0,"",INDEX('Aides'!$U$4:$U$503,384))&amp;". ")&amp;IF(LEN(IF(LEN(INDEX('Aides'!$X$4:$X$503,384))=0,"",INDEX('Aides'!$X$4:$X$503,384)))=0,"",IF(LEN(INDEX('Aides'!$X$4:$X$503,384))=0,"",INDEX('Aides'!$X$4:$X$503,384))))</f>
        <v/>
      </c>
      <c r="I387">
        <f>IF(LEN(INDEX('Aides'!$W$4:$W$503,384))=0,"",INDEX('Aides'!$W$4:$W$503,384))</f>
        <v/>
      </c>
      <c r="J387">
        <f>IF(LEN(INDEX('Aides'!$V$4:$V$503,384))=0,"",INDEX('Aides'!$V$4:$V$503,384))</f>
        <v/>
      </c>
    </row>
    <row r="388">
      <c r="A388">
        <f>IF(AND(LEN('Aides'!A388)&gt;0,ISNUMBER('Aides'!I388)),1,0)</f>
        <v/>
      </c>
      <c r="B388">
        <f>B387+A388</f>
        <v/>
      </c>
      <c r="C388">
        <f>IF(385&gt;$B$1503,"",MATCH(385-0.5,$B$3:$B$1503,1))</f>
        <v/>
      </c>
      <c r="D388">
        <f>"CNA certification ("&amp;IF(LEN(INDEX('Aides'!$C$4:$C$503,385))=0,"",INDEX('Aides'!$C$4:$C$503,385))&amp;") – "&amp;IF(LEN(INDEX('Aides'!$A$4:$A$503,385))=0,"",INDEX('Aides'!$A$4:$A$503,385))</f>
        <v/>
      </c>
      <c r="E388">
        <f>IF(ISNUMBER(INDEX('Aides'!$I$4:$I$503,385)),TEXT(INDEX('Aides'!$I$4:$I$503,385),"yyyy-mm-dd"),"")</f>
        <v/>
      </c>
      <c r="F388">
        <f>"Certification"</f>
        <v/>
      </c>
      <c r="G388">
        <f>"High"</f>
        <v/>
      </c>
      <c r="H388">
        <f>TRIM(IF(LEN(IF(LEN(INDEX('Aides'!$D$4:$D$503,385))=0,"",INDEX('Aides'!$D$4:$D$503,385)))=0,"","Registry no.: "&amp;IF(LEN(INDEX('Aides'!$D$4:$D$503,385))=0,"",INDEX('Aides'!$D$4:$D$503,385))&amp;". ")&amp;IF(LEN(IF(ISNUMBER(INDEX('Aides'!$F$4:$F$503,385)),TEXT(INDEX('Aides'!$F$4:$F$503,385),"yyyy-mm-dd"),""))=0,"","Registry expiry: "&amp;IF(ISNUMBER(INDEX('Aides'!$F$4:$F$503,385)),TEXT(INDEX('Aides'!$F$4:$F$503,385),"yyyy-mm-dd"),"")&amp;". ")&amp;IF(LEN(IF(ISNUMBER(INDEX('Aides'!$G$4:$G$503,385)),TEXT(INDEX('Aides'!$G$4:$G$503,385),"yyyy-mm-dd"),""))=0,"","Last paid nursing work: "&amp;IF(ISNUMBER(INDEX('Aides'!$G$4:$G$503,385)),TEXT(INDEX('Aides'!$G$4:$G$503,385),"yyyy-mm-dd"),"")&amp;". ")&amp;IF(LEN(IF(ISNUMBER(INDEX('Aides'!$H$4:$H$503,385)),TEXT(INDEX('Aides'!$H$4:$H$503,385),"yyyy-mm-dd"),""))=0,"","24-month cut-off: "&amp;IF(ISNUMBER(INDEX('Aides'!$H$4:$H$503,385)),TEXT(INDEX('Aides'!$H$4:$H$503,385),"yyyy-mm-dd"),"")&amp;". ")&amp;IF(LEN(IF(LEN(INDEX('Aides'!$U$4:$U$503,385))=0,"",INDEX('Aides'!$U$4:$U$503,385)))=0,"","Owner: "&amp;IF(LEN(INDEX('Aides'!$U$4:$U$503,385))=0,"",INDEX('Aides'!$U$4:$U$503,385))&amp;". ")&amp;IF(LEN(IF(LEN(INDEX('Aides'!$X$4:$X$503,385))=0,"",INDEX('Aides'!$X$4:$X$503,385)))=0,"",IF(LEN(INDEX('Aides'!$X$4:$X$503,385))=0,"",INDEX('Aides'!$X$4:$X$503,385))))</f>
        <v/>
      </c>
      <c r="I388">
        <f>IF(LEN(INDEX('Aides'!$W$4:$W$503,385))=0,"",INDEX('Aides'!$W$4:$W$503,385))</f>
        <v/>
      </c>
      <c r="J388">
        <f>IF(LEN(INDEX('Aides'!$V$4:$V$503,385))=0,"",INDEX('Aides'!$V$4:$V$503,385))</f>
        <v/>
      </c>
    </row>
    <row r="389">
      <c r="A389">
        <f>IF(AND(LEN('Aides'!A389)&gt;0,ISNUMBER('Aides'!I389)),1,0)</f>
        <v/>
      </c>
      <c r="B389">
        <f>B388+A389</f>
        <v/>
      </c>
      <c r="C389">
        <f>IF(386&gt;$B$1503,"",MATCH(386-0.5,$B$3:$B$1503,1))</f>
        <v/>
      </c>
      <c r="D389">
        <f>"CNA certification ("&amp;IF(LEN(INDEX('Aides'!$C$4:$C$503,386))=0,"",INDEX('Aides'!$C$4:$C$503,386))&amp;") – "&amp;IF(LEN(INDEX('Aides'!$A$4:$A$503,386))=0,"",INDEX('Aides'!$A$4:$A$503,386))</f>
        <v/>
      </c>
      <c r="E389">
        <f>IF(ISNUMBER(INDEX('Aides'!$I$4:$I$503,386)),TEXT(INDEX('Aides'!$I$4:$I$503,386),"yyyy-mm-dd"),"")</f>
        <v/>
      </c>
      <c r="F389">
        <f>"Certification"</f>
        <v/>
      </c>
      <c r="G389">
        <f>"High"</f>
        <v/>
      </c>
      <c r="H389">
        <f>TRIM(IF(LEN(IF(LEN(INDEX('Aides'!$D$4:$D$503,386))=0,"",INDEX('Aides'!$D$4:$D$503,386)))=0,"","Registry no.: "&amp;IF(LEN(INDEX('Aides'!$D$4:$D$503,386))=0,"",INDEX('Aides'!$D$4:$D$503,386))&amp;". ")&amp;IF(LEN(IF(ISNUMBER(INDEX('Aides'!$F$4:$F$503,386)),TEXT(INDEX('Aides'!$F$4:$F$503,386),"yyyy-mm-dd"),""))=0,"","Registry expiry: "&amp;IF(ISNUMBER(INDEX('Aides'!$F$4:$F$503,386)),TEXT(INDEX('Aides'!$F$4:$F$503,386),"yyyy-mm-dd"),"")&amp;". ")&amp;IF(LEN(IF(ISNUMBER(INDEX('Aides'!$G$4:$G$503,386)),TEXT(INDEX('Aides'!$G$4:$G$503,386),"yyyy-mm-dd"),""))=0,"","Last paid nursing work: "&amp;IF(ISNUMBER(INDEX('Aides'!$G$4:$G$503,386)),TEXT(INDEX('Aides'!$G$4:$G$503,386),"yyyy-mm-dd"),"")&amp;". ")&amp;IF(LEN(IF(ISNUMBER(INDEX('Aides'!$H$4:$H$503,386)),TEXT(INDEX('Aides'!$H$4:$H$503,386),"yyyy-mm-dd"),""))=0,"","24-month cut-off: "&amp;IF(ISNUMBER(INDEX('Aides'!$H$4:$H$503,386)),TEXT(INDEX('Aides'!$H$4:$H$503,386),"yyyy-mm-dd"),"")&amp;". ")&amp;IF(LEN(IF(LEN(INDEX('Aides'!$U$4:$U$503,386))=0,"",INDEX('Aides'!$U$4:$U$503,386)))=0,"","Owner: "&amp;IF(LEN(INDEX('Aides'!$U$4:$U$503,386))=0,"",INDEX('Aides'!$U$4:$U$503,386))&amp;". ")&amp;IF(LEN(IF(LEN(INDEX('Aides'!$X$4:$X$503,386))=0,"",INDEX('Aides'!$X$4:$X$503,386)))=0,"",IF(LEN(INDEX('Aides'!$X$4:$X$503,386))=0,"",INDEX('Aides'!$X$4:$X$503,386))))</f>
        <v/>
      </c>
      <c r="I389">
        <f>IF(LEN(INDEX('Aides'!$W$4:$W$503,386))=0,"",INDEX('Aides'!$W$4:$W$503,386))</f>
        <v/>
      </c>
      <c r="J389">
        <f>IF(LEN(INDEX('Aides'!$V$4:$V$503,386))=0,"",INDEX('Aides'!$V$4:$V$503,386))</f>
        <v/>
      </c>
    </row>
    <row r="390">
      <c r="A390">
        <f>IF(AND(LEN('Aides'!A390)&gt;0,ISNUMBER('Aides'!I390)),1,0)</f>
        <v/>
      </c>
      <c r="B390">
        <f>B389+A390</f>
        <v/>
      </c>
      <c r="C390">
        <f>IF(387&gt;$B$1503,"",MATCH(387-0.5,$B$3:$B$1503,1))</f>
        <v/>
      </c>
      <c r="D390">
        <f>"CNA certification ("&amp;IF(LEN(INDEX('Aides'!$C$4:$C$503,387))=0,"",INDEX('Aides'!$C$4:$C$503,387))&amp;") – "&amp;IF(LEN(INDEX('Aides'!$A$4:$A$503,387))=0,"",INDEX('Aides'!$A$4:$A$503,387))</f>
        <v/>
      </c>
      <c r="E390">
        <f>IF(ISNUMBER(INDEX('Aides'!$I$4:$I$503,387)),TEXT(INDEX('Aides'!$I$4:$I$503,387),"yyyy-mm-dd"),"")</f>
        <v/>
      </c>
      <c r="F390">
        <f>"Certification"</f>
        <v/>
      </c>
      <c r="G390">
        <f>"High"</f>
        <v/>
      </c>
      <c r="H390">
        <f>TRIM(IF(LEN(IF(LEN(INDEX('Aides'!$D$4:$D$503,387))=0,"",INDEX('Aides'!$D$4:$D$503,387)))=0,"","Registry no.: "&amp;IF(LEN(INDEX('Aides'!$D$4:$D$503,387))=0,"",INDEX('Aides'!$D$4:$D$503,387))&amp;". ")&amp;IF(LEN(IF(ISNUMBER(INDEX('Aides'!$F$4:$F$503,387)),TEXT(INDEX('Aides'!$F$4:$F$503,387),"yyyy-mm-dd"),""))=0,"","Registry expiry: "&amp;IF(ISNUMBER(INDEX('Aides'!$F$4:$F$503,387)),TEXT(INDEX('Aides'!$F$4:$F$503,387),"yyyy-mm-dd"),"")&amp;". ")&amp;IF(LEN(IF(ISNUMBER(INDEX('Aides'!$G$4:$G$503,387)),TEXT(INDEX('Aides'!$G$4:$G$503,387),"yyyy-mm-dd"),""))=0,"","Last paid nursing work: "&amp;IF(ISNUMBER(INDEX('Aides'!$G$4:$G$503,387)),TEXT(INDEX('Aides'!$G$4:$G$503,387),"yyyy-mm-dd"),"")&amp;". ")&amp;IF(LEN(IF(ISNUMBER(INDEX('Aides'!$H$4:$H$503,387)),TEXT(INDEX('Aides'!$H$4:$H$503,387),"yyyy-mm-dd"),""))=0,"","24-month cut-off: "&amp;IF(ISNUMBER(INDEX('Aides'!$H$4:$H$503,387)),TEXT(INDEX('Aides'!$H$4:$H$503,387),"yyyy-mm-dd"),"")&amp;". ")&amp;IF(LEN(IF(LEN(INDEX('Aides'!$U$4:$U$503,387))=0,"",INDEX('Aides'!$U$4:$U$503,387)))=0,"","Owner: "&amp;IF(LEN(INDEX('Aides'!$U$4:$U$503,387))=0,"",INDEX('Aides'!$U$4:$U$503,387))&amp;". ")&amp;IF(LEN(IF(LEN(INDEX('Aides'!$X$4:$X$503,387))=0,"",INDEX('Aides'!$X$4:$X$503,387)))=0,"",IF(LEN(INDEX('Aides'!$X$4:$X$503,387))=0,"",INDEX('Aides'!$X$4:$X$503,387))))</f>
        <v/>
      </c>
      <c r="I390">
        <f>IF(LEN(INDEX('Aides'!$W$4:$W$503,387))=0,"",INDEX('Aides'!$W$4:$W$503,387))</f>
        <v/>
      </c>
      <c r="J390">
        <f>IF(LEN(INDEX('Aides'!$V$4:$V$503,387))=0,"",INDEX('Aides'!$V$4:$V$503,387))</f>
        <v/>
      </c>
    </row>
    <row r="391">
      <c r="A391">
        <f>IF(AND(LEN('Aides'!A391)&gt;0,ISNUMBER('Aides'!I391)),1,0)</f>
        <v/>
      </c>
      <c r="B391">
        <f>B390+A391</f>
        <v/>
      </c>
      <c r="C391">
        <f>IF(388&gt;$B$1503,"",MATCH(388-0.5,$B$3:$B$1503,1))</f>
        <v/>
      </c>
      <c r="D391">
        <f>"CNA certification ("&amp;IF(LEN(INDEX('Aides'!$C$4:$C$503,388))=0,"",INDEX('Aides'!$C$4:$C$503,388))&amp;") – "&amp;IF(LEN(INDEX('Aides'!$A$4:$A$503,388))=0,"",INDEX('Aides'!$A$4:$A$503,388))</f>
        <v/>
      </c>
      <c r="E391">
        <f>IF(ISNUMBER(INDEX('Aides'!$I$4:$I$503,388)),TEXT(INDEX('Aides'!$I$4:$I$503,388),"yyyy-mm-dd"),"")</f>
        <v/>
      </c>
      <c r="F391">
        <f>"Certification"</f>
        <v/>
      </c>
      <c r="G391">
        <f>"High"</f>
        <v/>
      </c>
      <c r="H391">
        <f>TRIM(IF(LEN(IF(LEN(INDEX('Aides'!$D$4:$D$503,388))=0,"",INDEX('Aides'!$D$4:$D$503,388)))=0,"","Registry no.: "&amp;IF(LEN(INDEX('Aides'!$D$4:$D$503,388))=0,"",INDEX('Aides'!$D$4:$D$503,388))&amp;". ")&amp;IF(LEN(IF(ISNUMBER(INDEX('Aides'!$F$4:$F$503,388)),TEXT(INDEX('Aides'!$F$4:$F$503,388),"yyyy-mm-dd"),""))=0,"","Registry expiry: "&amp;IF(ISNUMBER(INDEX('Aides'!$F$4:$F$503,388)),TEXT(INDEX('Aides'!$F$4:$F$503,388),"yyyy-mm-dd"),"")&amp;". ")&amp;IF(LEN(IF(ISNUMBER(INDEX('Aides'!$G$4:$G$503,388)),TEXT(INDEX('Aides'!$G$4:$G$503,388),"yyyy-mm-dd"),""))=0,"","Last paid nursing work: "&amp;IF(ISNUMBER(INDEX('Aides'!$G$4:$G$503,388)),TEXT(INDEX('Aides'!$G$4:$G$503,388),"yyyy-mm-dd"),"")&amp;". ")&amp;IF(LEN(IF(ISNUMBER(INDEX('Aides'!$H$4:$H$503,388)),TEXT(INDEX('Aides'!$H$4:$H$503,388),"yyyy-mm-dd"),""))=0,"","24-month cut-off: "&amp;IF(ISNUMBER(INDEX('Aides'!$H$4:$H$503,388)),TEXT(INDEX('Aides'!$H$4:$H$503,388),"yyyy-mm-dd"),"")&amp;". ")&amp;IF(LEN(IF(LEN(INDEX('Aides'!$U$4:$U$503,388))=0,"",INDEX('Aides'!$U$4:$U$503,388)))=0,"","Owner: "&amp;IF(LEN(INDEX('Aides'!$U$4:$U$503,388))=0,"",INDEX('Aides'!$U$4:$U$503,388))&amp;". ")&amp;IF(LEN(IF(LEN(INDEX('Aides'!$X$4:$X$503,388))=0,"",INDEX('Aides'!$X$4:$X$503,388)))=0,"",IF(LEN(INDEX('Aides'!$X$4:$X$503,388))=0,"",INDEX('Aides'!$X$4:$X$503,388))))</f>
        <v/>
      </c>
      <c r="I391">
        <f>IF(LEN(INDEX('Aides'!$W$4:$W$503,388))=0,"",INDEX('Aides'!$W$4:$W$503,388))</f>
        <v/>
      </c>
      <c r="J391">
        <f>IF(LEN(INDEX('Aides'!$V$4:$V$503,388))=0,"",INDEX('Aides'!$V$4:$V$503,388))</f>
        <v/>
      </c>
    </row>
    <row r="392">
      <c r="A392">
        <f>IF(AND(LEN('Aides'!A392)&gt;0,ISNUMBER('Aides'!I392)),1,0)</f>
        <v/>
      </c>
      <c r="B392">
        <f>B391+A392</f>
        <v/>
      </c>
      <c r="C392">
        <f>IF(389&gt;$B$1503,"",MATCH(389-0.5,$B$3:$B$1503,1))</f>
        <v/>
      </c>
      <c r="D392">
        <f>"CNA certification ("&amp;IF(LEN(INDEX('Aides'!$C$4:$C$503,389))=0,"",INDEX('Aides'!$C$4:$C$503,389))&amp;") – "&amp;IF(LEN(INDEX('Aides'!$A$4:$A$503,389))=0,"",INDEX('Aides'!$A$4:$A$503,389))</f>
        <v/>
      </c>
      <c r="E392">
        <f>IF(ISNUMBER(INDEX('Aides'!$I$4:$I$503,389)),TEXT(INDEX('Aides'!$I$4:$I$503,389),"yyyy-mm-dd"),"")</f>
        <v/>
      </c>
      <c r="F392">
        <f>"Certification"</f>
        <v/>
      </c>
      <c r="G392">
        <f>"High"</f>
        <v/>
      </c>
      <c r="H392">
        <f>TRIM(IF(LEN(IF(LEN(INDEX('Aides'!$D$4:$D$503,389))=0,"",INDEX('Aides'!$D$4:$D$503,389)))=0,"","Registry no.: "&amp;IF(LEN(INDEX('Aides'!$D$4:$D$503,389))=0,"",INDEX('Aides'!$D$4:$D$503,389))&amp;". ")&amp;IF(LEN(IF(ISNUMBER(INDEX('Aides'!$F$4:$F$503,389)),TEXT(INDEX('Aides'!$F$4:$F$503,389),"yyyy-mm-dd"),""))=0,"","Registry expiry: "&amp;IF(ISNUMBER(INDEX('Aides'!$F$4:$F$503,389)),TEXT(INDEX('Aides'!$F$4:$F$503,389),"yyyy-mm-dd"),"")&amp;". ")&amp;IF(LEN(IF(ISNUMBER(INDEX('Aides'!$G$4:$G$503,389)),TEXT(INDEX('Aides'!$G$4:$G$503,389),"yyyy-mm-dd"),""))=0,"","Last paid nursing work: "&amp;IF(ISNUMBER(INDEX('Aides'!$G$4:$G$503,389)),TEXT(INDEX('Aides'!$G$4:$G$503,389),"yyyy-mm-dd"),"")&amp;". ")&amp;IF(LEN(IF(ISNUMBER(INDEX('Aides'!$H$4:$H$503,389)),TEXT(INDEX('Aides'!$H$4:$H$503,389),"yyyy-mm-dd"),""))=0,"","24-month cut-off: "&amp;IF(ISNUMBER(INDEX('Aides'!$H$4:$H$503,389)),TEXT(INDEX('Aides'!$H$4:$H$503,389),"yyyy-mm-dd"),"")&amp;". ")&amp;IF(LEN(IF(LEN(INDEX('Aides'!$U$4:$U$503,389))=0,"",INDEX('Aides'!$U$4:$U$503,389)))=0,"","Owner: "&amp;IF(LEN(INDEX('Aides'!$U$4:$U$503,389))=0,"",INDEX('Aides'!$U$4:$U$503,389))&amp;". ")&amp;IF(LEN(IF(LEN(INDEX('Aides'!$X$4:$X$503,389))=0,"",INDEX('Aides'!$X$4:$X$503,389)))=0,"",IF(LEN(INDEX('Aides'!$X$4:$X$503,389))=0,"",INDEX('Aides'!$X$4:$X$503,389))))</f>
        <v/>
      </c>
      <c r="I392">
        <f>IF(LEN(INDEX('Aides'!$W$4:$W$503,389))=0,"",INDEX('Aides'!$W$4:$W$503,389))</f>
        <v/>
      </c>
      <c r="J392">
        <f>IF(LEN(INDEX('Aides'!$V$4:$V$503,389))=0,"",INDEX('Aides'!$V$4:$V$503,389))</f>
        <v/>
      </c>
    </row>
    <row r="393">
      <c r="A393">
        <f>IF(AND(LEN('Aides'!A393)&gt;0,ISNUMBER('Aides'!I393)),1,0)</f>
        <v/>
      </c>
      <c r="B393">
        <f>B392+A393</f>
        <v/>
      </c>
      <c r="C393">
        <f>IF(390&gt;$B$1503,"",MATCH(390-0.5,$B$3:$B$1503,1))</f>
        <v/>
      </c>
      <c r="D393">
        <f>"CNA certification ("&amp;IF(LEN(INDEX('Aides'!$C$4:$C$503,390))=0,"",INDEX('Aides'!$C$4:$C$503,390))&amp;") – "&amp;IF(LEN(INDEX('Aides'!$A$4:$A$503,390))=0,"",INDEX('Aides'!$A$4:$A$503,390))</f>
        <v/>
      </c>
      <c r="E393">
        <f>IF(ISNUMBER(INDEX('Aides'!$I$4:$I$503,390)),TEXT(INDEX('Aides'!$I$4:$I$503,390),"yyyy-mm-dd"),"")</f>
        <v/>
      </c>
      <c r="F393">
        <f>"Certification"</f>
        <v/>
      </c>
      <c r="G393">
        <f>"High"</f>
        <v/>
      </c>
      <c r="H393">
        <f>TRIM(IF(LEN(IF(LEN(INDEX('Aides'!$D$4:$D$503,390))=0,"",INDEX('Aides'!$D$4:$D$503,390)))=0,"","Registry no.: "&amp;IF(LEN(INDEX('Aides'!$D$4:$D$503,390))=0,"",INDEX('Aides'!$D$4:$D$503,390))&amp;". ")&amp;IF(LEN(IF(ISNUMBER(INDEX('Aides'!$F$4:$F$503,390)),TEXT(INDEX('Aides'!$F$4:$F$503,390),"yyyy-mm-dd"),""))=0,"","Registry expiry: "&amp;IF(ISNUMBER(INDEX('Aides'!$F$4:$F$503,390)),TEXT(INDEX('Aides'!$F$4:$F$503,390),"yyyy-mm-dd"),"")&amp;". ")&amp;IF(LEN(IF(ISNUMBER(INDEX('Aides'!$G$4:$G$503,390)),TEXT(INDEX('Aides'!$G$4:$G$503,390),"yyyy-mm-dd"),""))=0,"","Last paid nursing work: "&amp;IF(ISNUMBER(INDEX('Aides'!$G$4:$G$503,390)),TEXT(INDEX('Aides'!$G$4:$G$503,390),"yyyy-mm-dd"),"")&amp;". ")&amp;IF(LEN(IF(ISNUMBER(INDEX('Aides'!$H$4:$H$503,390)),TEXT(INDEX('Aides'!$H$4:$H$503,390),"yyyy-mm-dd"),""))=0,"","24-month cut-off: "&amp;IF(ISNUMBER(INDEX('Aides'!$H$4:$H$503,390)),TEXT(INDEX('Aides'!$H$4:$H$503,390),"yyyy-mm-dd"),"")&amp;". ")&amp;IF(LEN(IF(LEN(INDEX('Aides'!$U$4:$U$503,390))=0,"",INDEX('Aides'!$U$4:$U$503,390)))=0,"","Owner: "&amp;IF(LEN(INDEX('Aides'!$U$4:$U$503,390))=0,"",INDEX('Aides'!$U$4:$U$503,390))&amp;". ")&amp;IF(LEN(IF(LEN(INDEX('Aides'!$X$4:$X$503,390))=0,"",INDEX('Aides'!$X$4:$X$503,390)))=0,"",IF(LEN(INDEX('Aides'!$X$4:$X$503,390))=0,"",INDEX('Aides'!$X$4:$X$503,390))))</f>
        <v/>
      </c>
      <c r="I393">
        <f>IF(LEN(INDEX('Aides'!$W$4:$W$503,390))=0,"",INDEX('Aides'!$W$4:$W$503,390))</f>
        <v/>
      </c>
      <c r="J393">
        <f>IF(LEN(INDEX('Aides'!$V$4:$V$503,390))=0,"",INDEX('Aides'!$V$4:$V$503,390))</f>
        <v/>
      </c>
    </row>
    <row r="394">
      <c r="A394">
        <f>IF(AND(LEN('Aides'!A394)&gt;0,ISNUMBER('Aides'!I394)),1,0)</f>
        <v/>
      </c>
      <c r="B394">
        <f>B393+A394</f>
        <v/>
      </c>
      <c r="C394">
        <f>IF(391&gt;$B$1503,"",MATCH(391-0.5,$B$3:$B$1503,1))</f>
        <v/>
      </c>
      <c r="D394">
        <f>"CNA certification ("&amp;IF(LEN(INDEX('Aides'!$C$4:$C$503,391))=0,"",INDEX('Aides'!$C$4:$C$503,391))&amp;") – "&amp;IF(LEN(INDEX('Aides'!$A$4:$A$503,391))=0,"",INDEX('Aides'!$A$4:$A$503,391))</f>
        <v/>
      </c>
      <c r="E394">
        <f>IF(ISNUMBER(INDEX('Aides'!$I$4:$I$503,391)),TEXT(INDEX('Aides'!$I$4:$I$503,391),"yyyy-mm-dd"),"")</f>
        <v/>
      </c>
      <c r="F394">
        <f>"Certification"</f>
        <v/>
      </c>
      <c r="G394">
        <f>"High"</f>
        <v/>
      </c>
      <c r="H394">
        <f>TRIM(IF(LEN(IF(LEN(INDEX('Aides'!$D$4:$D$503,391))=0,"",INDEX('Aides'!$D$4:$D$503,391)))=0,"","Registry no.: "&amp;IF(LEN(INDEX('Aides'!$D$4:$D$503,391))=0,"",INDEX('Aides'!$D$4:$D$503,391))&amp;". ")&amp;IF(LEN(IF(ISNUMBER(INDEX('Aides'!$F$4:$F$503,391)),TEXT(INDEX('Aides'!$F$4:$F$503,391),"yyyy-mm-dd"),""))=0,"","Registry expiry: "&amp;IF(ISNUMBER(INDEX('Aides'!$F$4:$F$503,391)),TEXT(INDEX('Aides'!$F$4:$F$503,391),"yyyy-mm-dd"),"")&amp;". ")&amp;IF(LEN(IF(ISNUMBER(INDEX('Aides'!$G$4:$G$503,391)),TEXT(INDEX('Aides'!$G$4:$G$503,391),"yyyy-mm-dd"),""))=0,"","Last paid nursing work: "&amp;IF(ISNUMBER(INDEX('Aides'!$G$4:$G$503,391)),TEXT(INDEX('Aides'!$G$4:$G$503,391),"yyyy-mm-dd"),"")&amp;". ")&amp;IF(LEN(IF(ISNUMBER(INDEX('Aides'!$H$4:$H$503,391)),TEXT(INDEX('Aides'!$H$4:$H$503,391),"yyyy-mm-dd"),""))=0,"","24-month cut-off: "&amp;IF(ISNUMBER(INDEX('Aides'!$H$4:$H$503,391)),TEXT(INDEX('Aides'!$H$4:$H$503,391),"yyyy-mm-dd"),"")&amp;". ")&amp;IF(LEN(IF(LEN(INDEX('Aides'!$U$4:$U$503,391))=0,"",INDEX('Aides'!$U$4:$U$503,391)))=0,"","Owner: "&amp;IF(LEN(INDEX('Aides'!$U$4:$U$503,391))=0,"",INDEX('Aides'!$U$4:$U$503,391))&amp;". ")&amp;IF(LEN(IF(LEN(INDEX('Aides'!$X$4:$X$503,391))=0,"",INDEX('Aides'!$X$4:$X$503,391)))=0,"",IF(LEN(INDEX('Aides'!$X$4:$X$503,391))=0,"",INDEX('Aides'!$X$4:$X$503,391))))</f>
        <v/>
      </c>
      <c r="I394">
        <f>IF(LEN(INDEX('Aides'!$W$4:$W$503,391))=0,"",INDEX('Aides'!$W$4:$W$503,391))</f>
        <v/>
      </c>
      <c r="J394">
        <f>IF(LEN(INDEX('Aides'!$V$4:$V$503,391))=0,"",INDEX('Aides'!$V$4:$V$503,391))</f>
        <v/>
      </c>
    </row>
    <row r="395">
      <c r="A395">
        <f>IF(AND(LEN('Aides'!A395)&gt;0,ISNUMBER('Aides'!I395)),1,0)</f>
        <v/>
      </c>
      <c r="B395">
        <f>B394+A395</f>
        <v/>
      </c>
      <c r="C395">
        <f>IF(392&gt;$B$1503,"",MATCH(392-0.5,$B$3:$B$1503,1))</f>
        <v/>
      </c>
      <c r="D395">
        <f>"CNA certification ("&amp;IF(LEN(INDEX('Aides'!$C$4:$C$503,392))=0,"",INDEX('Aides'!$C$4:$C$503,392))&amp;") – "&amp;IF(LEN(INDEX('Aides'!$A$4:$A$503,392))=0,"",INDEX('Aides'!$A$4:$A$503,392))</f>
        <v/>
      </c>
      <c r="E395">
        <f>IF(ISNUMBER(INDEX('Aides'!$I$4:$I$503,392)),TEXT(INDEX('Aides'!$I$4:$I$503,392),"yyyy-mm-dd"),"")</f>
        <v/>
      </c>
      <c r="F395">
        <f>"Certification"</f>
        <v/>
      </c>
      <c r="G395">
        <f>"High"</f>
        <v/>
      </c>
      <c r="H395">
        <f>TRIM(IF(LEN(IF(LEN(INDEX('Aides'!$D$4:$D$503,392))=0,"",INDEX('Aides'!$D$4:$D$503,392)))=0,"","Registry no.: "&amp;IF(LEN(INDEX('Aides'!$D$4:$D$503,392))=0,"",INDEX('Aides'!$D$4:$D$503,392))&amp;". ")&amp;IF(LEN(IF(ISNUMBER(INDEX('Aides'!$F$4:$F$503,392)),TEXT(INDEX('Aides'!$F$4:$F$503,392),"yyyy-mm-dd"),""))=0,"","Registry expiry: "&amp;IF(ISNUMBER(INDEX('Aides'!$F$4:$F$503,392)),TEXT(INDEX('Aides'!$F$4:$F$503,392),"yyyy-mm-dd"),"")&amp;". ")&amp;IF(LEN(IF(ISNUMBER(INDEX('Aides'!$G$4:$G$503,392)),TEXT(INDEX('Aides'!$G$4:$G$503,392),"yyyy-mm-dd"),""))=0,"","Last paid nursing work: "&amp;IF(ISNUMBER(INDEX('Aides'!$G$4:$G$503,392)),TEXT(INDEX('Aides'!$G$4:$G$503,392),"yyyy-mm-dd"),"")&amp;". ")&amp;IF(LEN(IF(ISNUMBER(INDEX('Aides'!$H$4:$H$503,392)),TEXT(INDEX('Aides'!$H$4:$H$503,392),"yyyy-mm-dd"),""))=0,"","24-month cut-off: "&amp;IF(ISNUMBER(INDEX('Aides'!$H$4:$H$503,392)),TEXT(INDEX('Aides'!$H$4:$H$503,392),"yyyy-mm-dd"),"")&amp;". ")&amp;IF(LEN(IF(LEN(INDEX('Aides'!$U$4:$U$503,392))=0,"",INDEX('Aides'!$U$4:$U$503,392)))=0,"","Owner: "&amp;IF(LEN(INDEX('Aides'!$U$4:$U$503,392))=0,"",INDEX('Aides'!$U$4:$U$503,392))&amp;". ")&amp;IF(LEN(IF(LEN(INDEX('Aides'!$X$4:$X$503,392))=0,"",INDEX('Aides'!$X$4:$X$503,392)))=0,"",IF(LEN(INDEX('Aides'!$X$4:$X$503,392))=0,"",INDEX('Aides'!$X$4:$X$503,392))))</f>
        <v/>
      </c>
      <c r="I395">
        <f>IF(LEN(INDEX('Aides'!$W$4:$W$503,392))=0,"",INDEX('Aides'!$W$4:$W$503,392))</f>
        <v/>
      </c>
      <c r="J395">
        <f>IF(LEN(INDEX('Aides'!$V$4:$V$503,392))=0,"",INDEX('Aides'!$V$4:$V$503,392))</f>
        <v/>
      </c>
    </row>
    <row r="396">
      <c r="A396">
        <f>IF(AND(LEN('Aides'!A396)&gt;0,ISNUMBER('Aides'!I396)),1,0)</f>
        <v/>
      </c>
      <c r="B396">
        <f>B395+A396</f>
        <v/>
      </c>
      <c r="C396">
        <f>IF(393&gt;$B$1503,"",MATCH(393-0.5,$B$3:$B$1503,1))</f>
        <v/>
      </c>
      <c r="D396">
        <f>"CNA certification ("&amp;IF(LEN(INDEX('Aides'!$C$4:$C$503,393))=0,"",INDEX('Aides'!$C$4:$C$503,393))&amp;") – "&amp;IF(LEN(INDEX('Aides'!$A$4:$A$503,393))=0,"",INDEX('Aides'!$A$4:$A$503,393))</f>
        <v/>
      </c>
      <c r="E396">
        <f>IF(ISNUMBER(INDEX('Aides'!$I$4:$I$503,393)),TEXT(INDEX('Aides'!$I$4:$I$503,393),"yyyy-mm-dd"),"")</f>
        <v/>
      </c>
      <c r="F396">
        <f>"Certification"</f>
        <v/>
      </c>
      <c r="G396">
        <f>"High"</f>
        <v/>
      </c>
      <c r="H396">
        <f>TRIM(IF(LEN(IF(LEN(INDEX('Aides'!$D$4:$D$503,393))=0,"",INDEX('Aides'!$D$4:$D$503,393)))=0,"","Registry no.: "&amp;IF(LEN(INDEX('Aides'!$D$4:$D$503,393))=0,"",INDEX('Aides'!$D$4:$D$503,393))&amp;". ")&amp;IF(LEN(IF(ISNUMBER(INDEX('Aides'!$F$4:$F$503,393)),TEXT(INDEX('Aides'!$F$4:$F$503,393),"yyyy-mm-dd"),""))=0,"","Registry expiry: "&amp;IF(ISNUMBER(INDEX('Aides'!$F$4:$F$503,393)),TEXT(INDEX('Aides'!$F$4:$F$503,393),"yyyy-mm-dd"),"")&amp;". ")&amp;IF(LEN(IF(ISNUMBER(INDEX('Aides'!$G$4:$G$503,393)),TEXT(INDEX('Aides'!$G$4:$G$503,393),"yyyy-mm-dd"),""))=0,"","Last paid nursing work: "&amp;IF(ISNUMBER(INDEX('Aides'!$G$4:$G$503,393)),TEXT(INDEX('Aides'!$G$4:$G$503,393),"yyyy-mm-dd"),"")&amp;". ")&amp;IF(LEN(IF(ISNUMBER(INDEX('Aides'!$H$4:$H$503,393)),TEXT(INDEX('Aides'!$H$4:$H$503,393),"yyyy-mm-dd"),""))=0,"","24-month cut-off: "&amp;IF(ISNUMBER(INDEX('Aides'!$H$4:$H$503,393)),TEXT(INDEX('Aides'!$H$4:$H$503,393),"yyyy-mm-dd"),"")&amp;". ")&amp;IF(LEN(IF(LEN(INDEX('Aides'!$U$4:$U$503,393))=0,"",INDEX('Aides'!$U$4:$U$503,393)))=0,"","Owner: "&amp;IF(LEN(INDEX('Aides'!$U$4:$U$503,393))=0,"",INDEX('Aides'!$U$4:$U$503,393))&amp;". ")&amp;IF(LEN(IF(LEN(INDEX('Aides'!$X$4:$X$503,393))=0,"",INDEX('Aides'!$X$4:$X$503,393)))=0,"",IF(LEN(INDEX('Aides'!$X$4:$X$503,393))=0,"",INDEX('Aides'!$X$4:$X$503,393))))</f>
        <v/>
      </c>
      <c r="I396">
        <f>IF(LEN(INDEX('Aides'!$W$4:$W$503,393))=0,"",INDEX('Aides'!$W$4:$W$503,393))</f>
        <v/>
      </c>
      <c r="J396">
        <f>IF(LEN(INDEX('Aides'!$V$4:$V$503,393))=0,"",INDEX('Aides'!$V$4:$V$503,393))</f>
        <v/>
      </c>
    </row>
    <row r="397">
      <c r="A397">
        <f>IF(AND(LEN('Aides'!A397)&gt;0,ISNUMBER('Aides'!I397)),1,0)</f>
        <v/>
      </c>
      <c r="B397">
        <f>B396+A397</f>
        <v/>
      </c>
      <c r="C397">
        <f>IF(394&gt;$B$1503,"",MATCH(394-0.5,$B$3:$B$1503,1))</f>
        <v/>
      </c>
      <c r="D397">
        <f>"CNA certification ("&amp;IF(LEN(INDEX('Aides'!$C$4:$C$503,394))=0,"",INDEX('Aides'!$C$4:$C$503,394))&amp;") – "&amp;IF(LEN(INDEX('Aides'!$A$4:$A$503,394))=0,"",INDEX('Aides'!$A$4:$A$503,394))</f>
        <v/>
      </c>
      <c r="E397">
        <f>IF(ISNUMBER(INDEX('Aides'!$I$4:$I$503,394)),TEXT(INDEX('Aides'!$I$4:$I$503,394),"yyyy-mm-dd"),"")</f>
        <v/>
      </c>
      <c r="F397">
        <f>"Certification"</f>
        <v/>
      </c>
      <c r="G397">
        <f>"High"</f>
        <v/>
      </c>
      <c r="H397">
        <f>TRIM(IF(LEN(IF(LEN(INDEX('Aides'!$D$4:$D$503,394))=0,"",INDEX('Aides'!$D$4:$D$503,394)))=0,"","Registry no.: "&amp;IF(LEN(INDEX('Aides'!$D$4:$D$503,394))=0,"",INDEX('Aides'!$D$4:$D$503,394))&amp;". ")&amp;IF(LEN(IF(ISNUMBER(INDEX('Aides'!$F$4:$F$503,394)),TEXT(INDEX('Aides'!$F$4:$F$503,394),"yyyy-mm-dd"),""))=0,"","Registry expiry: "&amp;IF(ISNUMBER(INDEX('Aides'!$F$4:$F$503,394)),TEXT(INDEX('Aides'!$F$4:$F$503,394),"yyyy-mm-dd"),"")&amp;". ")&amp;IF(LEN(IF(ISNUMBER(INDEX('Aides'!$G$4:$G$503,394)),TEXT(INDEX('Aides'!$G$4:$G$503,394),"yyyy-mm-dd"),""))=0,"","Last paid nursing work: "&amp;IF(ISNUMBER(INDEX('Aides'!$G$4:$G$503,394)),TEXT(INDEX('Aides'!$G$4:$G$503,394),"yyyy-mm-dd"),"")&amp;". ")&amp;IF(LEN(IF(ISNUMBER(INDEX('Aides'!$H$4:$H$503,394)),TEXT(INDEX('Aides'!$H$4:$H$503,394),"yyyy-mm-dd"),""))=0,"","24-month cut-off: "&amp;IF(ISNUMBER(INDEX('Aides'!$H$4:$H$503,394)),TEXT(INDEX('Aides'!$H$4:$H$503,394),"yyyy-mm-dd"),"")&amp;". ")&amp;IF(LEN(IF(LEN(INDEX('Aides'!$U$4:$U$503,394))=0,"",INDEX('Aides'!$U$4:$U$503,394)))=0,"","Owner: "&amp;IF(LEN(INDEX('Aides'!$U$4:$U$503,394))=0,"",INDEX('Aides'!$U$4:$U$503,394))&amp;". ")&amp;IF(LEN(IF(LEN(INDEX('Aides'!$X$4:$X$503,394))=0,"",INDEX('Aides'!$X$4:$X$503,394)))=0,"",IF(LEN(INDEX('Aides'!$X$4:$X$503,394))=0,"",INDEX('Aides'!$X$4:$X$503,394))))</f>
        <v/>
      </c>
      <c r="I397">
        <f>IF(LEN(INDEX('Aides'!$W$4:$W$503,394))=0,"",INDEX('Aides'!$W$4:$W$503,394))</f>
        <v/>
      </c>
      <c r="J397">
        <f>IF(LEN(INDEX('Aides'!$V$4:$V$503,394))=0,"",INDEX('Aides'!$V$4:$V$503,394))</f>
        <v/>
      </c>
    </row>
    <row r="398">
      <c r="A398">
        <f>IF(AND(LEN('Aides'!A398)&gt;0,ISNUMBER('Aides'!I398)),1,0)</f>
        <v/>
      </c>
      <c r="B398">
        <f>B397+A398</f>
        <v/>
      </c>
      <c r="C398">
        <f>IF(395&gt;$B$1503,"",MATCH(395-0.5,$B$3:$B$1503,1))</f>
        <v/>
      </c>
      <c r="D398">
        <f>"CNA certification ("&amp;IF(LEN(INDEX('Aides'!$C$4:$C$503,395))=0,"",INDEX('Aides'!$C$4:$C$503,395))&amp;") – "&amp;IF(LEN(INDEX('Aides'!$A$4:$A$503,395))=0,"",INDEX('Aides'!$A$4:$A$503,395))</f>
        <v/>
      </c>
      <c r="E398">
        <f>IF(ISNUMBER(INDEX('Aides'!$I$4:$I$503,395)),TEXT(INDEX('Aides'!$I$4:$I$503,395),"yyyy-mm-dd"),"")</f>
        <v/>
      </c>
      <c r="F398">
        <f>"Certification"</f>
        <v/>
      </c>
      <c r="G398">
        <f>"High"</f>
        <v/>
      </c>
      <c r="H398">
        <f>TRIM(IF(LEN(IF(LEN(INDEX('Aides'!$D$4:$D$503,395))=0,"",INDEX('Aides'!$D$4:$D$503,395)))=0,"","Registry no.: "&amp;IF(LEN(INDEX('Aides'!$D$4:$D$503,395))=0,"",INDEX('Aides'!$D$4:$D$503,395))&amp;". ")&amp;IF(LEN(IF(ISNUMBER(INDEX('Aides'!$F$4:$F$503,395)),TEXT(INDEX('Aides'!$F$4:$F$503,395),"yyyy-mm-dd"),""))=0,"","Registry expiry: "&amp;IF(ISNUMBER(INDEX('Aides'!$F$4:$F$503,395)),TEXT(INDEX('Aides'!$F$4:$F$503,395),"yyyy-mm-dd"),"")&amp;". ")&amp;IF(LEN(IF(ISNUMBER(INDEX('Aides'!$G$4:$G$503,395)),TEXT(INDEX('Aides'!$G$4:$G$503,395),"yyyy-mm-dd"),""))=0,"","Last paid nursing work: "&amp;IF(ISNUMBER(INDEX('Aides'!$G$4:$G$503,395)),TEXT(INDEX('Aides'!$G$4:$G$503,395),"yyyy-mm-dd"),"")&amp;". ")&amp;IF(LEN(IF(ISNUMBER(INDEX('Aides'!$H$4:$H$503,395)),TEXT(INDEX('Aides'!$H$4:$H$503,395),"yyyy-mm-dd"),""))=0,"","24-month cut-off: "&amp;IF(ISNUMBER(INDEX('Aides'!$H$4:$H$503,395)),TEXT(INDEX('Aides'!$H$4:$H$503,395),"yyyy-mm-dd"),"")&amp;". ")&amp;IF(LEN(IF(LEN(INDEX('Aides'!$U$4:$U$503,395))=0,"",INDEX('Aides'!$U$4:$U$503,395)))=0,"","Owner: "&amp;IF(LEN(INDEX('Aides'!$U$4:$U$503,395))=0,"",INDEX('Aides'!$U$4:$U$503,395))&amp;". ")&amp;IF(LEN(IF(LEN(INDEX('Aides'!$X$4:$X$503,395))=0,"",INDEX('Aides'!$X$4:$X$503,395)))=0,"",IF(LEN(INDEX('Aides'!$X$4:$X$503,395))=0,"",INDEX('Aides'!$X$4:$X$503,395))))</f>
        <v/>
      </c>
      <c r="I398">
        <f>IF(LEN(INDEX('Aides'!$W$4:$W$503,395))=0,"",INDEX('Aides'!$W$4:$W$503,395))</f>
        <v/>
      </c>
      <c r="J398">
        <f>IF(LEN(INDEX('Aides'!$V$4:$V$503,395))=0,"",INDEX('Aides'!$V$4:$V$503,395))</f>
        <v/>
      </c>
    </row>
    <row r="399">
      <c r="A399">
        <f>IF(AND(LEN('Aides'!A399)&gt;0,ISNUMBER('Aides'!I399)),1,0)</f>
        <v/>
      </c>
      <c r="B399">
        <f>B398+A399</f>
        <v/>
      </c>
      <c r="C399">
        <f>IF(396&gt;$B$1503,"",MATCH(396-0.5,$B$3:$B$1503,1))</f>
        <v/>
      </c>
      <c r="D399">
        <f>"CNA certification ("&amp;IF(LEN(INDEX('Aides'!$C$4:$C$503,396))=0,"",INDEX('Aides'!$C$4:$C$503,396))&amp;") – "&amp;IF(LEN(INDEX('Aides'!$A$4:$A$503,396))=0,"",INDEX('Aides'!$A$4:$A$503,396))</f>
        <v/>
      </c>
      <c r="E399">
        <f>IF(ISNUMBER(INDEX('Aides'!$I$4:$I$503,396)),TEXT(INDEX('Aides'!$I$4:$I$503,396),"yyyy-mm-dd"),"")</f>
        <v/>
      </c>
      <c r="F399">
        <f>"Certification"</f>
        <v/>
      </c>
      <c r="G399">
        <f>"High"</f>
        <v/>
      </c>
      <c r="H399">
        <f>TRIM(IF(LEN(IF(LEN(INDEX('Aides'!$D$4:$D$503,396))=0,"",INDEX('Aides'!$D$4:$D$503,396)))=0,"","Registry no.: "&amp;IF(LEN(INDEX('Aides'!$D$4:$D$503,396))=0,"",INDEX('Aides'!$D$4:$D$503,396))&amp;". ")&amp;IF(LEN(IF(ISNUMBER(INDEX('Aides'!$F$4:$F$503,396)),TEXT(INDEX('Aides'!$F$4:$F$503,396),"yyyy-mm-dd"),""))=0,"","Registry expiry: "&amp;IF(ISNUMBER(INDEX('Aides'!$F$4:$F$503,396)),TEXT(INDEX('Aides'!$F$4:$F$503,396),"yyyy-mm-dd"),"")&amp;". ")&amp;IF(LEN(IF(ISNUMBER(INDEX('Aides'!$G$4:$G$503,396)),TEXT(INDEX('Aides'!$G$4:$G$503,396),"yyyy-mm-dd"),""))=0,"","Last paid nursing work: "&amp;IF(ISNUMBER(INDEX('Aides'!$G$4:$G$503,396)),TEXT(INDEX('Aides'!$G$4:$G$503,396),"yyyy-mm-dd"),"")&amp;". ")&amp;IF(LEN(IF(ISNUMBER(INDEX('Aides'!$H$4:$H$503,396)),TEXT(INDEX('Aides'!$H$4:$H$503,396),"yyyy-mm-dd"),""))=0,"","24-month cut-off: "&amp;IF(ISNUMBER(INDEX('Aides'!$H$4:$H$503,396)),TEXT(INDEX('Aides'!$H$4:$H$503,396),"yyyy-mm-dd"),"")&amp;". ")&amp;IF(LEN(IF(LEN(INDEX('Aides'!$U$4:$U$503,396))=0,"",INDEX('Aides'!$U$4:$U$503,396)))=0,"","Owner: "&amp;IF(LEN(INDEX('Aides'!$U$4:$U$503,396))=0,"",INDEX('Aides'!$U$4:$U$503,396))&amp;". ")&amp;IF(LEN(IF(LEN(INDEX('Aides'!$X$4:$X$503,396))=0,"",INDEX('Aides'!$X$4:$X$503,396)))=0,"",IF(LEN(INDEX('Aides'!$X$4:$X$503,396))=0,"",INDEX('Aides'!$X$4:$X$503,396))))</f>
        <v/>
      </c>
      <c r="I399">
        <f>IF(LEN(INDEX('Aides'!$W$4:$W$503,396))=0,"",INDEX('Aides'!$W$4:$W$503,396))</f>
        <v/>
      </c>
      <c r="J399">
        <f>IF(LEN(INDEX('Aides'!$V$4:$V$503,396))=0,"",INDEX('Aides'!$V$4:$V$503,396))</f>
        <v/>
      </c>
    </row>
    <row r="400">
      <c r="A400">
        <f>IF(AND(LEN('Aides'!A400)&gt;0,ISNUMBER('Aides'!I400)),1,0)</f>
        <v/>
      </c>
      <c r="B400">
        <f>B399+A400</f>
        <v/>
      </c>
      <c r="C400">
        <f>IF(397&gt;$B$1503,"",MATCH(397-0.5,$B$3:$B$1503,1))</f>
        <v/>
      </c>
      <c r="D400">
        <f>"CNA certification ("&amp;IF(LEN(INDEX('Aides'!$C$4:$C$503,397))=0,"",INDEX('Aides'!$C$4:$C$503,397))&amp;") – "&amp;IF(LEN(INDEX('Aides'!$A$4:$A$503,397))=0,"",INDEX('Aides'!$A$4:$A$503,397))</f>
        <v/>
      </c>
      <c r="E400">
        <f>IF(ISNUMBER(INDEX('Aides'!$I$4:$I$503,397)),TEXT(INDEX('Aides'!$I$4:$I$503,397),"yyyy-mm-dd"),"")</f>
        <v/>
      </c>
      <c r="F400">
        <f>"Certification"</f>
        <v/>
      </c>
      <c r="G400">
        <f>"High"</f>
        <v/>
      </c>
      <c r="H400">
        <f>TRIM(IF(LEN(IF(LEN(INDEX('Aides'!$D$4:$D$503,397))=0,"",INDEX('Aides'!$D$4:$D$503,397)))=0,"","Registry no.: "&amp;IF(LEN(INDEX('Aides'!$D$4:$D$503,397))=0,"",INDEX('Aides'!$D$4:$D$503,397))&amp;". ")&amp;IF(LEN(IF(ISNUMBER(INDEX('Aides'!$F$4:$F$503,397)),TEXT(INDEX('Aides'!$F$4:$F$503,397),"yyyy-mm-dd"),""))=0,"","Registry expiry: "&amp;IF(ISNUMBER(INDEX('Aides'!$F$4:$F$503,397)),TEXT(INDEX('Aides'!$F$4:$F$503,397),"yyyy-mm-dd"),"")&amp;". ")&amp;IF(LEN(IF(ISNUMBER(INDEX('Aides'!$G$4:$G$503,397)),TEXT(INDEX('Aides'!$G$4:$G$503,397),"yyyy-mm-dd"),""))=0,"","Last paid nursing work: "&amp;IF(ISNUMBER(INDEX('Aides'!$G$4:$G$503,397)),TEXT(INDEX('Aides'!$G$4:$G$503,397),"yyyy-mm-dd"),"")&amp;". ")&amp;IF(LEN(IF(ISNUMBER(INDEX('Aides'!$H$4:$H$503,397)),TEXT(INDEX('Aides'!$H$4:$H$503,397),"yyyy-mm-dd"),""))=0,"","24-month cut-off: "&amp;IF(ISNUMBER(INDEX('Aides'!$H$4:$H$503,397)),TEXT(INDEX('Aides'!$H$4:$H$503,397),"yyyy-mm-dd"),"")&amp;". ")&amp;IF(LEN(IF(LEN(INDEX('Aides'!$U$4:$U$503,397))=0,"",INDEX('Aides'!$U$4:$U$503,397)))=0,"","Owner: "&amp;IF(LEN(INDEX('Aides'!$U$4:$U$503,397))=0,"",INDEX('Aides'!$U$4:$U$503,397))&amp;". ")&amp;IF(LEN(IF(LEN(INDEX('Aides'!$X$4:$X$503,397))=0,"",INDEX('Aides'!$X$4:$X$503,397)))=0,"",IF(LEN(INDEX('Aides'!$X$4:$X$503,397))=0,"",INDEX('Aides'!$X$4:$X$503,397))))</f>
        <v/>
      </c>
      <c r="I400">
        <f>IF(LEN(INDEX('Aides'!$W$4:$W$503,397))=0,"",INDEX('Aides'!$W$4:$W$503,397))</f>
        <v/>
      </c>
      <c r="J400">
        <f>IF(LEN(INDEX('Aides'!$V$4:$V$503,397))=0,"",INDEX('Aides'!$V$4:$V$503,397))</f>
        <v/>
      </c>
    </row>
    <row r="401">
      <c r="A401">
        <f>IF(AND(LEN('Aides'!A401)&gt;0,ISNUMBER('Aides'!I401)),1,0)</f>
        <v/>
      </c>
      <c r="B401">
        <f>B400+A401</f>
        <v/>
      </c>
      <c r="C401">
        <f>IF(398&gt;$B$1503,"",MATCH(398-0.5,$B$3:$B$1503,1))</f>
        <v/>
      </c>
      <c r="D401">
        <f>"CNA certification ("&amp;IF(LEN(INDEX('Aides'!$C$4:$C$503,398))=0,"",INDEX('Aides'!$C$4:$C$503,398))&amp;") – "&amp;IF(LEN(INDEX('Aides'!$A$4:$A$503,398))=0,"",INDEX('Aides'!$A$4:$A$503,398))</f>
        <v/>
      </c>
      <c r="E401">
        <f>IF(ISNUMBER(INDEX('Aides'!$I$4:$I$503,398)),TEXT(INDEX('Aides'!$I$4:$I$503,398),"yyyy-mm-dd"),"")</f>
        <v/>
      </c>
      <c r="F401">
        <f>"Certification"</f>
        <v/>
      </c>
      <c r="G401">
        <f>"High"</f>
        <v/>
      </c>
      <c r="H401">
        <f>TRIM(IF(LEN(IF(LEN(INDEX('Aides'!$D$4:$D$503,398))=0,"",INDEX('Aides'!$D$4:$D$503,398)))=0,"","Registry no.: "&amp;IF(LEN(INDEX('Aides'!$D$4:$D$503,398))=0,"",INDEX('Aides'!$D$4:$D$503,398))&amp;". ")&amp;IF(LEN(IF(ISNUMBER(INDEX('Aides'!$F$4:$F$503,398)),TEXT(INDEX('Aides'!$F$4:$F$503,398),"yyyy-mm-dd"),""))=0,"","Registry expiry: "&amp;IF(ISNUMBER(INDEX('Aides'!$F$4:$F$503,398)),TEXT(INDEX('Aides'!$F$4:$F$503,398),"yyyy-mm-dd"),"")&amp;". ")&amp;IF(LEN(IF(ISNUMBER(INDEX('Aides'!$G$4:$G$503,398)),TEXT(INDEX('Aides'!$G$4:$G$503,398),"yyyy-mm-dd"),""))=0,"","Last paid nursing work: "&amp;IF(ISNUMBER(INDEX('Aides'!$G$4:$G$503,398)),TEXT(INDEX('Aides'!$G$4:$G$503,398),"yyyy-mm-dd"),"")&amp;". ")&amp;IF(LEN(IF(ISNUMBER(INDEX('Aides'!$H$4:$H$503,398)),TEXT(INDEX('Aides'!$H$4:$H$503,398),"yyyy-mm-dd"),""))=0,"","24-month cut-off: "&amp;IF(ISNUMBER(INDEX('Aides'!$H$4:$H$503,398)),TEXT(INDEX('Aides'!$H$4:$H$503,398),"yyyy-mm-dd"),"")&amp;". ")&amp;IF(LEN(IF(LEN(INDEX('Aides'!$U$4:$U$503,398))=0,"",INDEX('Aides'!$U$4:$U$503,398)))=0,"","Owner: "&amp;IF(LEN(INDEX('Aides'!$U$4:$U$503,398))=0,"",INDEX('Aides'!$U$4:$U$503,398))&amp;". ")&amp;IF(LEN(IF(LEN(INDEX('Aides'!$X$4:$X$503,398))=0,"",INDEX('Aides'!$X$4:$X$503,398)))=0,"",IF(LEN(INDEX('Aides'!$X$4:$X$503,398))=0,"",INDEX('Aides'!$X$4:$X$503,398))))</f>
        <v/>
      </c>
      <c r="I401">
        <f>IF(LEN(INDEX('Aides'!$W$4:$W$503,398))=0,"",INDEX('Aides'!$W$4:$W$503,398))</f>
        <v/>
      </c>
      <c r="J401">
        <f>IF(LEN(INDEX('Aides'!$V$4:$V$503,398))=0,"",INDEX('Aides'!$V$4:$V$503,398))</f>
        <v/>
      </c>
    </row>
    <row r="402">
      <c r="A402">
        <f>IF(AND(LEN('Aides'!A402)&gt;0,ISNUMBER('Aides'!I402)),1,0)</f>
        <v/>
      </c>
      <c r="B402">
        <f>B401+A402</f>
        <v/>
      </c>
      <c r="C402">
        <f>IF(399&gt;$B$1503,"",MATCH(399-0.5,$B$3:$B$1503,1))</f>
        <v/>
      </c>
      <c r="D402">
        <f>"CNA certification ("&amp;IF(LEN(INDEX('Aides'!$C$4:$C$503,399))=0,"",INDEX('Aides'!$C$4:$C$503,399))&amp;") – "&amp;IF(LEN(INDEX('Aides'!$A$4:$A$503,399))=0,"",INDEX('Aides'!$A$4:$A$503,399))</f>
        <v/>
      </c>
      <c r="E402">
        <f>IF(ISNUMBER(INDEX('Aides'!$I$4:$I$503,399)),TEXT(INDEX('Aides'!$I$4:$I$503,399),"yyyy-mm-dd"),"")</f>
        <v/>
      </c>
      <c r="F402">
        <f>"Certification"</f>
        <v/>
      </c>
      <c r="G402">
        <f>"High"</f>
        <v/>
      </c>
      <c r="H402">
        <f>TRIM(IF(LEN(IF(LEN(INDEX('Aides'!$D$4:$D$503,399))=0,"",INDEX('Aides'!$D$4:$D$503,399)))=0,"","Registry no.: "&amp;IF(LEN(INDEX('Aides'!$D$4:$D$503,399))=0,"",INDEX('Aides'!$D$4:$D$503,399))&amp;". ")&amp;IF(LEN(IF(ISNUMBER(INDEX('Aides'!$F$4:$F$503,399)),TEXT(INDEX('Aides'!$F$4:$F$503,399),"yyyy-mm-dd"),""))=0,"","Registry expiry: "&amp;IF(ISNUMBER(INDEX('Aides'!$F$4:$F$503,399)),TEXT(INDEX('Aides'!$F$4:$F$503,399),"yyyy-mm-dd"),"")&amp;". ")&amp;IF(LEN(IF(ISNUMBER(INDEX('Aides'!$G$4:$G$503,399)),TEXT(INDEX('Aides'!$G$4:$G$503,399),"yyyy-mm-dd"),""))=0,"","Last paid nursing work: "&amp;IF(ISNUMBER(INDEX('Aides'!$G$4:$G$503,399)),TEXT(INDEX('Aides'!$G$4:$G$503,399),"yyyy-mm-dd"),"")&amp;". ")&amp;IF(LEN(IF(ISNUMBER(INDEX('Aides'!$H$4:$H$503,399)),TEXT(INDEX('Aides'!$H$4:$H$503,399),"yyyy-mm-dd"),""))=0,"","24-month cut-off: "&amp;IF(ISNUMBER(INDEX('Aides'!$H$4:$H$503,399)),TEXT(INDEX('Aides'!$H$4:$H$503,399),"yyyy-mm-dd"),"")&amp;". ")&amp;IF(LEN(IF(LEN(INDEX('Aides'!$U$4:$U$503,399))=0,"",INDEX('Aides'!$U$4:$U$503,399)))=0,"","Owner: "&amp;IF(LEN(INDEX('Aides'!$U$4:$U$503,399))=0,"",INDEX('Aides'!$U$4:$U$503,399))&amp;". ")&amp;IF(LEN(IF(LEN(INDEX('Aides'!$X$4:$X$503,399))=0,"",INDEX('Aides'!$X$4:$X$503,399)))=0,"",IF(LEN(INDEX('Aides'!$X$4:$X$503,399))=0,"",INDEX('Aides'!$X$4:$X$503,399))))</f>
        <v/>
      </c>
      <c r="I402">
        <f>IF(LEN(INDEX('Aides'!$W$4:$W$503,399))=0,"",INDEX('Aides'!$W$4:$W$503,399))</f>
        <v/>
      </c>
      <c r="J402">
        <f>IF(LEN(INDEX('Aides'!$V$4:$V$503,399))=0,"",INDEX('Aides'!$V$4:$V$503,399))</f>
        <v/>
      </c>
    </row>
    <row r="403">
      <c r="A403">
        <f>IF(AND(LEN('Aides'!A403)&gt;0,ISNUMBER('Aides'!I403)),1,0)</f>
        <v/>
      </c>
      <c r="B403">
        <f>B402+A403</f>
        <v/>
      </c>
      <c r="C403">
        <f>IF(400&gt;$B$1503,"",MATCH(400-0.5,$B$3:$B$1503,1))</f>
        <v/>
      </c>
      <c r="D403">
        <f>"CNA certification ("&amp;IF(LEN(INDEX('Aides'!$C$4:$C$503,400))=0,"",INDEX('Aides'!$C$4:$C$503,400))&amp;") – "&amp;IF(LEN(INDEX('Aides'!$A$4:$A$503,400))=0,"",INDEX('Aides'!$A$4:$A$503,400))</f>
        <v/>
      </c>
      <c r="E403">
        <f>IF(ISNUMBER(INDEX('Aides'!$I$4:$I$503,400)),TEXT(INDEX('Aides'!$I$4:$I$503,400),"yyyy-mm-dd"),"")</f>
        <v/>
      </c>
      <c r="F403">
        <f>"Certification"</f>
        <v/>
      </c>
      <c r="G403">
        <f>"High"</f>
        <v/>
      </c>
      <c r="H403">
        <f>TRIM(IF(LEN(IF(LEN(INDEX('Aides'!$D$4:$D$503,400))=0,"",INDEX('Aides'!$D$4:$D$503,400)))=0,"","Registry no.: "&amp;IF(LEN(INDEX('Aides'!$D$4:$D$503,400))=0,"",INDEX('Aides'!$D$4:$D$503,400))&amp;". ")&amp;IF(LEN(IF(ISNUMBER(INDEX('Aides'!$F$4:$F$503,400)),TEXT(INDEX('Aides'!$F$4:$F$503,400),"yyyy-mm-dd"),""))=0,"","Registry expiry: "&amp;IF(ISNUMBER(INDEX('Aides'!$F$4:$F$503,400)),TEXT(INDEX('Aides'!$F$4:$F$503,400),"yyyy-mm-dd"),"")&amp;". ")&amp;IF(LEN(IF(ISNUMBER(INDEX('Aides'!$G$4:$G$503,400)),TEXT(INDEX('Aides'!$G$4:$G$503,400),"yyyy-mm-dd"),""))=0,"","Last paid nursing work: "&amp;IF(ISNUMBER(INDEX('Aides'!$G$4:$G$503,400)),TEXT(INDEX('Aides'!$G$4:$G$503,400),"yyyy-mm-dd"),"")&amp;". ")&amp;IF(LEN(IF(ISNUMBER(INDEX('Aides'!$H$4:$H$503,400)),TEXT(INDEX('Aides'!$H$4:$H$503,400),"yyyy-mm-dd"),""))=0,"","24-month cut-off: "&amp;IF(ISNUMBER(INDEX('Aides'!$H$4:$H$503,400)),TEXT(INDEX('Aides'!$H$4:$H$503,400),"yyyy-mm-dd"),"")&amp;". ")&amp;IF(LEN(IF(LEN(INDEX('Aides'!$U$4:$U$503,400))=0,"",INDEX('Aides'!$U$4:$U$503,400)))=0,"","Owner: "&amp;IF(LEN(INDEX('Aides'!$U$4:$U$503,400))=0,"",INDEX('Aides'!$U$4:$U$503,400))&amp;". ")&amp;IF(LEN(IF(LEN(INDEX('Aides'!$X$4:$X$503,400))=0,"",INDEX('Aides'!$X$4:$X$503,400)))=0,"",IF(LEN(INDEX('Aides'!$X$4:$X$503,400))=0,"",INDEX('Aides'!$X$4:$X$503,400))))</f>
        <v/>
      </c>
      <c r="I403">
        <f>IF(LEN(INDEX('Aides'!$W$4:$W$503,400))=0,"",INDEX('Aides'!$W$4:$W$503,400))</f>
        <v/>
      </c>
      <c r="J403">
        <f>IF(LEN(INDEX('Aides'!$V$4:$V$503,400))=0,"",INDEX('Aides'!$V$4:$V$503,400))</f>
        <v/>
      </c>
    </row>
    <row r="404">
      <c r="A404">
        <f>IF(AND(LEN('Aides'!A404)&gt;0,ISNUMBER('Aides'!I404)),1,0)</f>
        <v/>
      </c>
      <c r="B404">
        <f>B403+A404</f>
        <v/>
      </c>
      <c r="C404">
        <f>IF(401&gt;$B$1503,"",MATCH(401-0.5,$B$3:$B$1503,1))</f>
        <v/>
      </c>
      <c r="D404">
        <f>"CNA certification ("&amp;IF(LEN(INDEX('Aides'!$C$4:$C$503,401))=0,"",INDEX('Aides'!$C$4:$C$503,401))&amp;") – "&amp;IF(LEN(INDEX('Aides'!$A$4:$A$503,401))=0,"",INDEX('Aides'!$A$4:$A$503,401))</f>
        <v/>
      </c>
      <c r="E404">
        <f>IF(ISNUMBER(INDEX('Aides'!$I$4:$I$503,401)),TEXT(INDEX('Aides'!$I$4:$I$503,401),"yyyy-mm-dd"),"")</f>
        <v/>
      </c>
      <c r="F404">
        <f>"Certification"</f>
        <v/>
      </c>
      <c r="G404">
        <f>"High"</f>
        <v/>
      </c>
      <c r="H404">
        <f>TRIM(IF(LEN(IF(LEN(INDEX('Aides'!$D$4:$D$503,401))=0,"",INDEX('Aides'!$D$4:$D$503,401)))=0,"","Registry no.: "&amp;IF(LEN(INDEX('Aides'!$D$4:$D$503,401))=0,"",INDEX('Aides'!$D$4:$D$503,401))&amp;". ")&amp;IF(LEN(IF(ISNUMBER(INDEX('Aides'!$F$4:$F$503,401)),TEXT(INDEX('Aides'!$F$4:$F$503,401),"yyyy-mm-dd"),""))=0,"","Registry expiry: "&amp;IF(ISNUMBER(INDEX('Aides'!$F$4:$F$503,401)),TEXT(INDEX('Aides'!$F$4:$F$503,401),"yyyy-mm-dd"),"")&amp;". ")&amp;IF(LEN(IF(ISNUMBER(INDEX('Aides'!$G$4:$G$503,401)),TEXT(INDEX('Aides'!$G$4:$G$503,401),"yyyy-mm-dd"),""))=0,"","Last paid nursing work: "&amp;IF(ISNUMBER(INDEX('Aides'!$G$4:$G$503,401)),TEXT(INDEX('Aides'!$G$4:$G$503,401),"yyyy-mm-dd"),"")&amp;". ")&amp;IF(LEN(IF(ISNUMBER(INDEX('Aides'!$H$4:$H$503,401)),TEXT(INDEX('Aides'!$H$4:$H$503,401),"yyyy-mm-dd"),""))=0,"","24-month cut-off: "&amp;IF(ISNUMBER(INDEX('Aides'!$H$4:$H$503,401)),TEXT(INDEX('Aides'!$H$4:$H$503,401),"yyyy-mm-dd"),"")&amp;". ")&amp;IF(LEN(IF(LEN(INDEX('Aides'!$U$4:$U$503,401))=0,"",INDEX('Aides'!$U$4:$U$503,401)))=0,"","Owner: "&amp;IF(LEN(INDEX('Aides'!$U$4:$U$503,401))=0,"",INDEX('Aides'!$U$4:$U$503,401))&amp;". ")&amp;IF(LEN(IF(LEN(INDEX('Aides'!$X$4:$X$503,401))=0,"",INDEX('Aides'!$X$4:$X$503,401)))=0,"",IF(LEN(INDEX('Aides'!$X$4:$X$503,401))=0,"",INDEX('Aides'!$X$4:$X$503,401))))</f>
        <v/>
      </c>
      <c r="I404">
        <f>IF(LEN(INDEX('Aides'!$W$4:$W$503,401))=0,"",INDEX('Aides'!$W$4:$W$503,401))</f>
        <v/>
      </c>
      <c r="J404">
        <f>IF(LEN(INDEX('Aides'!$V$4:$V$503,401))=0,"",INDEX('Aides'!$V$4:$V$503,401))</f>
        <v/>
      </c>
    </row>
    <row r="405">
      <c r="A405">
        <f>IF(AND(LEN('Aides'!A405)&gt;0,ISNUMBER('Aides'!I405)),1,0)</f>
        <v/>
      </c>
      <c r="B405">
        <f>B404+A405</f>
        <v/>
      </c>
      <c r="C405">
        <f>IF(402&gt;$B$1503,"",MATCH(402-0.5,$B$3:$B$1503,1))</f>
        <v/>
      </c>
      <c r="D405">
        <f>"CNA certification ("&amp;IF(LEN(INDEX('Aides'!$C$4:$C$503,402))=0,"",INDEX('Aides'!$C$4:$C$503,402))&amp;") – "&amp;IF(LEN(INDEX('Aides'!$A$4:$A$503,402))=0,"",INDEX('Aides'!$A$4:$A$503,402))</f>
        <v/>
      </c>
      <c r="E405">
        <f>IF(ISNUMBER(INDEX('Aides'!$I$4:$I$503,402)),TEXT(INDEX('Aides'!$I$4:$I$503,402),"yyyy-mm-dd"),"")</f>
        <v/>
      </c>
      <c r="F405">
        <f>"Certification"</f>
        <v/>
      </c>
      <c r="G405">
        <f>"High"</f>
        <v/>
      </c>
      <c r="H405">
        <f>TRIM(IF(LEN(IF(LEN(INDEX('Aides'!$D$4:$D$503,402))=0,"",INDEX('Aides'!$D$4:$D$503,402)))=0,"","Registry no.: "&amp;IF(LEN(INDEX('Aides'!$D$4:$D$503,402))=0,"",INDEX('Aides'!$D$4:$D$503,402))&amp;". ")&amp;IF(LEN(IF(ISNUMBER(INDEX('Aides'!$F$4:$F$503,402)),TEXT(INDEX('Aides'!$F$4:$F$503,402),"yyyy-mm-dd"),""))=0,"","Registry expiry: "&amp;IF(ISNUMBER(INDEX('Aides'!$F$4:$F$503,402)),TEXT(INDEX('Aides'!$F$4:$F$503,402),"yyyy-mm-dd"),"")&amp;". ")&amp;IF(LEN(IF(ISNUMBER(INDEX('Aides'!$G$4:$G$503,402)),TEXT(INDEX('Aides'!$G$4:$G$503,402),"yyyy-mm-dd"),""))=0,"","Last paid nursing work: "&amp;IF(ISNUMBER(INDEX('Aides'!$G$4:$G$503,402)),TEXT(INDEX('Aides'!$G$4:$G$503,402),"yyyy-mm-dd"),"")&amp;". ")&amp;IF(LEN(IF(ISNUMBER(INDEX('Aides'!$H$4:$H$503,402)),TEXT(INDEX('Aides'!$H$4:$H$503,402),"yyyy-mm-dd"),""))=0,"","24-month cut-off: "&amp;IF(ISNUMBER(INDEX('Aides'!$H$4:$H$503,402)),TEXT(INDEX('Aides'!$H$4:$H$503,402),"yyyy-mm-dd"),"")&amp;". ")&amp;IF(LEN(IF(LEN(INDEX('Aides'!$U$4:$U$503,402))=0,"",INDEX('Aides'!$U$4:$U$503,402)))=0,"","Owner: "&amp;IF(LEN(INDEX('Aides'!$U$4:$U$503,402))=0,"",INDEX('Aides'!$U$4:$U$503,402))&amp;". ")&amp;IF(LEN(IF(LEN(INDEX('Aides'!$X$4:$X$503,402))=0,"",INDEX('Aides'!$X$4:$X$503,402)))=0,"",IF(LEN(INDEX('Aides'!$X$4:$X$503,402))=0,"",INDEX('Aides'!$X$4:$X$503,402))))</f>
        <v/>
      </c>
      <c r="I405">
        <f>IF(LEN(INDEX('Aides'!$W$4:$W$503,402))=0,"",INDEX('Aides'!$W$4:$W$503,402))</f>
        <v/>
      </c>
      <c r="J405">
        <f>IF(LEN(INDEX('Aides'!$V$4:$V$503,402))=0,"",INDEX('Aides'!$V$4:$V$503,402))</f>
        <v/>
      </c>
    </row>
    <row r="406">
      <c r="A406">
        <f>IF(AND(LEN('Aides'!A406)&gt;0,ISNUMBER('Aides'!I406)),1,0)</f>
        <v/>
      </c>
      <c r="B406">
        <f>B405+A406</f>
        <v/>
      </c>
      <c r="C406">
        <f>IF(403&gt;$B$1503,"",MATCH(403-0.5,$B$3:$B$1503,1))</f>
        <v/>
      </c>
      <c r="D406">
        <f>"CNA certification ("&amp;IF(LEN(INDEX('Aides'!$C$4:$C$503,403))=0,"",INDEX('Aides'!$C$4:$C$503,403))&amp;") – "&amp;IF(LEN(INDEX('Aides'!$A$4:$A$503,403))=0,"",INDEX('Aides'!$A$4:$A$503,403))</f>
        <v/>
      </c>
      <c r="E406">
        <f>IF(ISNUMBER(INDEX('Aides'!$I$4:$I$503,403)),TEXT(INDEX('Aides'!$I$4:$I$503,403),"yyyy-mm-dd"),"")</f>
        <v/>
      </c>
      <c r="F406">
        <f>"Certification"</f>
        <v/>
      </c>
      <c r="G406">
        <f>"High"</f>
        <v/>
      </c>
      <c r="H406">
        <f>TRIM(IF(LEN(IF(LEN(INDEX('Aides'!$D$4:$D$503,403))=0,"",INDEX('Aides'!$D$4:$D$503,403)))=0,"","Registry no.: "&amp;IF(LEN(INDEX('Aides'!$D$4:$D$503,403))=0,"",INDEX('Aides'!$D$4:$D$503,403))&amp;". ")&amp;IF(LEN(IF(ISNUMBER(INDEX('Aides'!$F$4:$F$503,403)),TEXT(INDEX('Aides'!$F$4:$F$503,403),"yyyy-mm-dd"),""))=0,"","Registry expiry: "&amp;IF(ISNUMBER(INDEX('Aides'!$F$4:$F$503,403)),TEXT(INDEX('Aides'!$F$4:$F$503,403),"yyyy-mm-dd"),"")&amp;". ")&amp;IF(LEN(IF(ISNUMBER(INDEX('Aides'!$G$4:$G$503,403)),TEXT(INDEX('Aides'!$G$4:$G$503,403),"yyyy-mm-dd"),""))=0,"","Last paid nursing work: "&amp;IF(ISNUMBER(INDEX('Aides'!$G$4:$G$503,403)),TEXT(INDEX('Aides'!$G$4:$G$503,403),"yyyy-mm-dd"),"")&amp;". ")&amp;IF(LEN(IF(ISNUMBER(INDEX('Aides'!$H$4:$H$503,403)),TEXT(INDEX('Aides'!$H$4:$H$503,403),"yyyy-mm-dd"),""))=0,"","24-month cut-off: "&amp;IF(ISNUMBER(INDEX('Aides'!$H$4:$H$503,403)),TEXT(INDEX('Aides'!$H$4:$H$503,403),"yyyy-mm-dd"),"")&amp;". ")&amp;IF(LEN(IF(LEN(INDEX('Aides'!$U$4:$U$503,403))=0,"",INDEX('Aides'!$U$4:$U$503,403)))=0,"","Owner: "&amp;IF(LEN(INDEX('Aides'!$U$4:$U$503,403))=0,"",INDEX('Aides'!$U$4:$U$503,403))&amp;". ")&amp;IF(LEN(IF(LEN(INDEX('Aides'!$X$4:$X$503,403))=0,"",INDEX('Aides'!$X$4:$X$503,403)))=0,"",IF(LEN(INDEX('Aides'!$X$4:$X$503,403))=0,"",INDEX('Aides'!$X$4:$X$503,403))))</f>
        <v/>
      </c>
      <c r="I406">
        <f>IF(LEN(INDEX('Aides'!$W$4:$W$503,403))=0,"",INDEX('Aides'!$W$4:$W$503,403))</f>
        <v/>
      </c>
      <c r="J406">
        <f>IF(LEN(INDEX('Aides'!$V$4:$V$503,403))=0,"",INDEX('Aides'!$V$4:$V$503,403))</f>
        <v/>
      </c>
    </row>
    <row r="407">
      <c r="A407">
        <f>IF(AND(LEN('Aides'!A407)&gt;0,ISNUMBER('Aides'!I407)),1,0)</f>
        <v/>
      </c>
      <c r="B407">
        <f>B406+A407</f>
        <v/>
      </c>
      <c r="C407">
        <f>IF(404&gt;$B$1503,"",MATCH(404-0.5,$B$3:$B$1503,1))</f>
        <v/>
      </c>
      <c r="D407">
        <f>"CNA certification ("&amp;IF(LEN(INDEX('Aides'!$C$4:$C$503,404))=0,"",INDEX('Aides'!$C$4:$C$503,404))&amp;") – "&amp;IF(LEN(INDEX('Aides'!$A$4:$A$503,404))=0,"",INDEX('Aides'!$A$4:$A$503,404))</f>
        <v/>
      </c>
      <c r="E407">
        <f>IF(ISNUMBER(INDEX('Aides'!$I$4:$I$503,404)),TEXT(INDEX('Aides'!$I$4:$I$503,404),"yyyy-mm-dd"),"")</f>
        <v/>
      </c>
      <c r="F407">
        <f>"Certification"</f>
        <v/>
      </c>
      <c r="G407">
        <f>"High"</f>
        <v/>
      </c>
      <c r="H407">
        <f>TRIM(IF(LEN(IF(LEN(INDEX('Aides'!$D$4:$D$503,404))=0,"",INDEX('Aides'!$D$4:$D$503,404)))=0,"","Registry no.: "&amp;IF(LEN(INDEX('Aides'!$D$4:$D$503,404))=0,"",INDEX('Aides'!$D$4:$D$503,404))&amp;". ")&amp;IF(LEN(IF(ISNUMBER(INDEX('Aides'!$F$4:$F$503,404)),TEXT(INDEX('Aides'!$F$4:$F$503,404),"yyyy-mm-dd"),""))=0,"","Registry expiry: "&amp;IF(ISNUMBER(INDEX('Aides'!$F$4:$F$503,404)),TEXT(INDEX('Aides'!$F$4:$F$503,404),"yyyy-mm-dd"),"")&amp;". ")&amp;IF(LEN(IF(ISNUMBER(INDEX('Aides'!$G$4:$G$503,404)),TEXT(INDEX('Aides'!$G$4:$G$503,404),"yyyy-mm-dd"),""))=0,"","Last paid nursing work: "&amp;IF(ISNUMBER(INDEX('Aides'!$G$4:$G$503,404)),TEXT(INDEX('Aides'!$G$4:$G$503,404),"yyyy-mm-dd"),"")&amp;". ")&amp;IF(LEN(IF(ISNUMBER(INDEX('Aides'!$H$4:$H$503,404)),TEXT(INDEX('Aides'!$H$4:$H$503,404),"yyyy-mm-dd"),""))=0,"","24-month cut-off: "&amp;IF(ISNUMBER(INDEX('Aides'!$H$4:$H$503,404)),TEXT(INDEX('Aides'!$H$4:$H$503,404),"yyyy-mm-dd"),"")&amp;". ")&amp;IF(LEN(IF(LEN(INDEX('Aides'!$U$4:$U$503,404))=0,"",INDEX('Aides'!$U$4:$U$503,404)))=0,"","Owner: "&amp;IF(LEN(INDEX('Aides'!$U$4:$U$503,404))=0,"",INDEX('Aides'!$U$4:$U$503,404))&amp;". ")&amp;IF(LEN(IF(LEN(INDEX('Aides'!$X$4:$X$503,404))=0,"",INDEX('Aides'!$X$4:$X$503,404)))=0,"",IF(LEN(INDEX('Aides'!$X$4:$X$503,404))=0,"",INDEX('Aides'!$X$4:$X$503,404))))</f>
        <v/>
      </c>
      <c r="I407">
        <f>IF(LEN(INDEX('Aides'!$W$4:$W$503,404))=0,"",INDEX('Aides'!$W$4:$W$503,404))</f>
        <v/>
      </c>
      <c r="J407">
        <f>IF(LEN(INDEX('Aides'!$V$4:$V$503,404))=0,"",INDEX('Aides'!$V$4:$V$503,404))</f>
        <v/>
      </c>
    </row>
    <row r="408">
      <c r="A408">
        <f>IF(AND(LEN('Aides'!A408)&gt;0,ISNUMBER('Aides'!I408)),1,0)</f>
        <v/>
      </c>
      <c r="B408">
        <f>B407+A408</f>
        <v/>
      </c>
      <c r="C408">
        <f>IF(405&gt;$B$1503,"",MATCH(405-0.5,$B$3:$B$1503,1))</f>
        <v/>
      </c>
      <c r="D408">
        <f>"CNA certification ("&amp;IF(LEN(INDEX('Aides'!$C$4:$C$503,405))=0,"",INDEX('Aides'!$C$4:$C$503,405))&amp;") – "&amp;IF(LEN(INDEX('Aides'!$A$4:$A$503,405))=0,"",INDEX('Aides'!$A$4:$A$503,405))</f>
        <v/>
      </c>
      <c r="E408">
        <f>IF(ISNUMBER(INDEX('Aides'!$I$4:$I$503,405)),TEXT(INDEX('Aides'!$I$4:$I$503,405),"yyyy-mm-dd"),"")</f>
        <v/>
      </c>
      <c r="F408">
        <f>"Certification"</f>
        <v/>
      </c>
      <c r="G408">
        <f>"High"</f>
        <v/>
      </c>
      <c r="H408">
        <f>TRIM(IF(LEN(IF(LEN(INDEX('Aides'!$D$4:$D$503,405))=0,"",INDEX('Aides'!$D$4:$D$503,405)))=0,"","Registry no.: "&amp;IF(LEN(INDEX('Aides'!$D$4:$D$503,405))=0,"",INDEX('Aides'!$D$4:$D$503,405))&amp;". ")&amp;IF(LEN(IF(ISNUMBER(INDEX('Aides'!$F$4:$F$503,405)),TEXT(INDEX('Aides'!$F$4:$F$503,405),"yyyy-mm-dd"),""))=0,"","Registry expiry: "&amp;IF(ISNUMBER(INDEX('Aides'!$F$4:$F$503,405)),TEXT(INDEX('Aides'!$F$4:$F$503,405),"yyyy-mm-dd"),"")&amp;". ")&amp;IF(LEN(IF(ISNUMBER(INDEX('Aides'!$G$4:$G$503,405)),TEXT(INDEX('Aides'!$G$4:$G$503,405),"yyyy-mm-dd"),""))=0,"","Last paid nursing work: "&amp;IF(ISNUMBER(INDEX('Aides'!$G$4:$G$503,405)),TEXT(INDEX('Aides'!$G$4:$G$503,405),"yyyy-mm-dd"),"")&amp;". ")&amp;IF(LEN(IF(ISNUMBER(INDEX('Aides'!$H$4:$H$503,405)),TEXT(INDEX('Aides'!$H$4:$H$503,405),"yyyy-mm-dd"),""))=0,"","24-month cut-off: "&amp;IF(ISNUMBER(INDEX('Aides'!$H$4:$H$503,405)),TEXT(INDEX('Aides'!$H$4:$H$503,405),"yyyy-mm-dd"),"")&amp;". ")&amp;IF(LEN(IF(LEN(INDEX('Aides'!$U$4:$U$503,405))=0,"",INDEX('Aides'!$U$4:$U$503,405)))=0,"","Owner: "&amp;IF(LEN(INDEX('Aides'!$U$4:$U$503,405))=0,"",INDEX('Aides'!$U$4:$U$503,405))&amp;". ")&amp;IF(LEN(IF(LEN(INDEX('Aides'!$X$4:$X$503,405))=0,"",INDEX('Aides'!$X$4:$X$503,405)))=0,"",IF(LEN(INDEX('Aides'!$X$4:$X$503,405))=0,"",INDEX('Aides'!$X$4:$X$503,405))))</f>
        <v/>
      </c>
      <c r="I408">
        <f>IF(LEN(INDEX('Aides'!$W$4:$W$503,405))=0,"",INDEX('Aides'!$W$4:$W$503,405))</f>
        <v/>
      </c>
      <c r="J408">
        <f>IF(LEN(INDEX('Aides'!$V$4:$V$503,405))=0,"",INDEX('Aides'!$V$4:$V$503,405))</f>
        <v/>
      </c>
    </row>
    <row r="409">
      <c r="A409">
        <f>IF(AND(LEN('Aides'!A409)&gt;0,ISNUMBER('Aides'!I409)),1,0)</f>
        <v/>
      </c>
      <c r="B409">
        <f>B408+A409</f>
        <v/>
      </c>
      <c r="C409">
        <f>IF(406&gt;$B$1503,"",MATCH(406-0.5,$B$3:$B$1503,1))</f>
        <v/>
      </c>
      <c r="D409">
        <f>"CNA certification ("&amp;IF(LEN(INDEX('Aides'!$C$4:$C$503,406))=0,"",INDEX('Aides'!$C$4:$C$503,406))&amp;") – "&amp;IF(LEN(INDEX('Aides'!$A$4:$A$503,406))=0,"",INDEX('Aides'!$A$4:$A$503,406))</f>
        <v/>
      </c>
      <c r="E409">
        <f>IF(ISNUMBER(INDEX('Aides'!$I$4:$I$503,406)),TEXT(INDEX('Aides'!$I$4:$I$503,406),"yyyy-mm-dd"),"")</f>
        <v/>
      </c>
      <c r="F409">
        <f>"Certification"</f>
        <v/>
      </c>
      <c r="G409">
        <f>"High"</f>
        <v/>
      </c>
      <c r="H409">
        <f>TRIM(IF(LEN(IF(LEN(INDEX('Aides'!$D$4:$D$503,406))=0,"",INDEX('Aides'!$D$4:$D$503,406)))=0,"","Registry no.: "&amp;IF(LEN(INDEX('Aides'!$D$4:$D$503,406))=0,"",INDEX('Aides'!$D$4:$D$503,406))&amp;". ")&amp;IF(LEN(IF(ISNUMBER(INDEX('Aides'!$F$4:$F$503,406)),TEXT(INDEX('Aides'!$F$4:$F$503,406),"yyyy-mm-dd"),""))=0,"","Registry expiry: "&amp;IF(ISNUMBER(INDEX('Aides'!$F$4:$F$503,406)),TEXT(INDEX('Aides'!$F$4:$F$503,406),"yyyy-mm-dd"),"")&amp;". ")&amp;IF(LEN(IF(ISNUMBER(INDEX('Aides'!$G$4:$G$503,406)),TEXT(INDEX('Aides'!$G$4:$G$503,406),"yyyy-mm-dd"),""))=0,"","Last paid nursing work: "&amp;IF(ISNUMBER(INDEX('Aides'!$G$4:$G$503,406)),TEXT(INDEX('Aides'!$G$4:$G$503,406),"yyyy-mm-dd"),"")&amp;". ")&amp;IF(LEN(IF(ISNUMBER(INDEX('Aides'!$H$4:$H$503,406)),TEXT(INDEX('Aides'!$H$4:$H$503,406),"yyyy-mm-dd"),""))=0,"","24-month cut-off: "&amp;IF(ISNUMBER(INDEX('Aides'!$H$4:$H$503,406)),TEXT(INDEX('Aides'!$H$4:$H$503,406),"yyyy-mm-dd"),"")&amp;". ")&amp;IF(LEN(IF(LEN(INDEX('Aides'!$U$4:$U$503,406))=0,"",INDEX('Aides'!$U$4:$U$503,406)))=0,"","Owner: "&amp;IF(LEN(INDEX('Aides'!$U$4:$U$503,406))=0,"",INDEX('Aides'!$U$4:$U$503,406))&amp;". ")&amp;IF(LEN(IF(LEN(INDEX('Aides'!$X$4:$X$503,406))=0,"",INDEX('Aides'!$X$4:$X$503,406)))=0,"",IF(LEN(INDEX('Aides'!$X$4:$X$503,406))=0,"",INDEX('Aides'!$X$4:$X$503,406))))</f>
        <v/>
      </c>
      <c r="I409">
        <f>IF(LEN(INDEX('Aides'!$W$4:$W$503,406))=0,"",INDEX('Aides'!$W$4:$W$503,406))</f>
        <v/>
      </c>
      <c r="J409">
        <f>IF(LEN(INDEX('Aides'!$V$4:$V$503,406))=0,"",INDEX('Aides'!$V$4:$V$503,406))</f>
        <v/>
      </c>
    </row>
    <row r="410">
      <c r="A410">
        <f>IF(AND(LEN('Aides'!A410)&gt;0,ISNUMBER('Aides'!I410)),1,0)</f>
        <v/>
      </c>
      <c r="B410">
        <f>B409+A410</f>
        <v/>
      </c>
      <c r="C410">
        <f>IF(407&gt;$B$1503,"",MATCH(407-0.5,$B$3:$B$1503,1))</f>
        <v/>
      </c>
      <c r="D410">
        <f>"CNA certification ("&amp;IF(LEN(INDEX('Aides'!$C$4:$C$503,407))=0,"",INDEX('Aides'!$C$4:$C$503,407))&amp;") – "&amp;IF(LEN(INDEX('Aides'!$A$4:$A$503,407))=0,"",INDEX('Aides'!$A$4:$A$503,407))</f>
        <v/>
      </c>
      <c r="E410">
        <f>IF(ISNUMBER(INDEX('Aides'!$I$4:$I$503,407)),TEXT(INDEX('Aides'!$I$4:$I$503,407),"yyyy-mm-dd"),"")</f>
        <v/>
      </c>
      <c r="F410">
        <f>"Certification"</f>
        <v/>
      </c>
      <c r="G410">
        <f>"High"</f>
        <v/>
      </c>
      <c r="H410">
        <f>TRIM(IF(LEN(IF(LEN(INDEX('Aides'!$D$4:$D$503,407))=0,"",INDEX('Aides'!$D$4:$D$503,407)))=0,"","Registry no.: "&amp;IF(LEN(INDEX('Aides'!$D$4:$D$503,407))=0,"",INDEX('Aides'!$D$4:$D$503,407))&amp;". ")&amp;IF(LEN(IF(ISNUMBER(INDEX('Aides'!$F$4:$F$503,407)),TEXT(INDEX('Aides'!$F$4:$F$503,407),"yyyy-mm-dd"),""))=0,"","Registry expiry: "&amp;IF(ISNUMBER(INDEX('Aides'!$F$4:$F$503,407)),TEXT(INDEX('Aides'!$F$4:$F$503,407),"yyyy-mm-dd"),"")&amp;". ")&amp;IF(LEN(IF(ISNUMBER(INDEX('Aides'!$G$4:$G$503,407)),TEXT(INDEX('Aides'!$G$4:$G$503,407),"yyyy-mm-dd"),""))=0,"","Last paid nursing work: "&amp;IF(ISNUMBER(INDEX('Aides'!$G$4:$G$503,407)),TEXT(INDEX('Aides'!$G$4:$G$503,407),"yyyy-mm-dd"),"")&amp;". ")&amp;IF(LEN(IF(ISNUMBER(INDEX('Aides'!$H$4:$H$503,407)),TEXT(INDEX('Aides'!$H$4:$H$503,407),"yyyy-mm-dd"),""))=0,"","24-month cut-off: "&amp;IF(ISNUMBER(INDEX('Aides'!$H$4:$H$503,407)),TEXT(INDEX('Aides'!$H$4:$H$503,407),"yyyy-mm-dd"),"")&amp;". ")&amp;IF(LEN(IF(LEN(INDEX('Aides'!$U$4:$U$503,407))=0,"",INDEX('Aides'!$U$4:$U$503,407)))=0,"","Owner: "&amp;IF(LEN(INDEX('Aides'!$U$4:$U$503,407))=0,"",INDEX('Aides'!$U$4:$U$503,407))&amp;". ")&amp;IF(LEN(IF(LEN(INDEX('Aides'!$X$4:$X$503,407))=0,"",INDEX('Aides'!$X$4:$X$503,407)))=0,"",IF(LEN(INDEX('Aides'!$X$4:$X$503,407))=0,"",INDEX('Aides'!$X$4:$X$503,407))))</f>
        <v/>
      </c>
      <c r="I410">
        <f>IF(LEN(INDEX('Aides'!$W$4:$W$503,407))=0,"",INDEX('Aides'!$W$4:$W$503,407))</f>
        <v/>
      </c>
      <c r="J410">
        <f>IF(LEN(INDEX('Aides'!$V$4:$V$503,407))=0,"",INDEX('Aides'!$V$4:$V$503,407))</f>
        <v/>
      </c>
    </row>
    <row r="411">
      <c r="A411">
        <f>IF(AND(LEN('Aides'!A411)&gt;0,ISNUMBER('Aides'!I411)),1,0)</f>
        <v/>
      </c>
      <c r="B411">
        <f>B410+A411</f>
        <v/>
      </c>
      <c r="C411">
        <f>IF(408&gt;$B$1503,"",MATCH(408-0.5,$B$3:$B$1503,1))</f>
        <v/>
      </c>
      <c r="D411">
        <f>"CNA certification ("&amp;IF(LEN(INDEX('Aides'!$C$4:$C$503,408))=0,"",INDEX('Aides'!$C$4:$C$503,408))&amp;") – "&amp;IF(LEN(INDEX('Aides'!$A$4:$A$503,408))=0,"",INDEX('Aides'!$A$4:$A$503,408))</f>
        <v/>
      </c>
      <c r="E411">
        <f>IF(ISNUMBER(INDEX('Aides'!$I$4:$I$503,408)),TEXT(INDEX('Aides'!$I$4:$I$503,408),"yyyy-mm-dd"),"")</f>
        <v/>
      </c>
      <c r="F411">
        <f>"Certification"</f>
        <v/>
      </c>
      <c r="G411">
        <f>"High"</f>
        <v/>
      </c>
      <c r="H411">
        <f>TRIM(IF(LEN(IF(LEN(INDEX('Aides'!$D$4:$D$503,408))=0,"",INDEX('Aides'!$D$4:$D$503,408)))=0,"","Registry no.: "&amp;IF(LEN(INDEX('Aides'!$D$4:$D$503,408))=0,"",INDEX('Aides'!$D$4:$D$503,408))&amp;". ")&amp;IF(LEN(IF(ISNUMBER(INDEX('Aides'!$F$4:$F$503,408)),TEXT(INDEX('Aides'!$F$4:$F$503,408),"yyyy-mm-dd"),""))=0,"","Registry expiry: "&amp;IF(ISNUMBER(INDEX('Aides'!$F$4:$F$503,408)),TEXT(INDEX('Aides'!$F$4:$F$503,408),"yyyy-mm-dd"),"")&amp;". ")&amp;IF(LEN(IF(ISNUMBER(INDEX('Aides'!$G$4:$G$503,408)),TEXT(INDEX('Aides'!$G$4:$G$503,408),"yyyy-mm-dd"),""))=0,"","Last paid nursing work: "&amp;IF(ISNUMBER(INDEX('Aides'!$G$4:$G$503,408)),TEXT(INDEX('Aides'!$G$4:$G$503,408),"yyyy-mm-dd"),"")&amp;". ")&amp;IF(LEN(IF(ISNUMBER(INDEX('Aides'!$H$4:$H$503,408)),TEXT(INDEX('Aides'!$H$4:$H$503,408),"yyyy-mm-dd"),""))=0,"","24-month cut-off: "&amp;IF(ISNUMBER(INDEX('Aides'!$H$4:$H$503,408)),TEXT(INDEX('Aides'!$H$4:$H$503,408),"yyyy-mm-dd"),"")&amp;". ")&amp;IF(LEN(IF(LEN(INDEX('Aides'!$U$4:$U$503,408))=0,"",INDEX('Aides'!$U$4:$U$503,408)))=0,"","Owner: "&amp;IF(LEN(INDEX('Aides'!$U$4:$U$503,408))=0,"",INDEX('Aides'!$U$4:$U$503,408))&amp;". ")&amp;IF(LEN(IF(LEN(INDEX('Aides'!$X$4:$X$503,408))=0,"",INDEX('Aides'!$X$4:$X$503,408)))=0,"",IF(LEN(INDEX('Aides'!$X$4:$X$503,408))=0,"",INDEX('Aides'!$X$4:$X$503,408))))</f>
        <v/>
      </c>
      <c r="I411">
        <f>IF(LEN(INDEX('Aides'!$W$4:$W$503,408))=0,"",INDEX('Aides'!$W$4:$W$503,408))</f>
        <v/>
      </c>
      <c r="J411">
        <f>IF(LEN(INDEX('Aides'!$V$4:$V$503,408))=0,"",INDEX('Aides'!$V$4:$V$503,408))</f>
        <v/>
      </c>
    </row>
    <row r="412">
      <c r="A412">
        <f>IF(AND(LEN('Aides'!A412)&gt;0,ISNUMBER('Aides'!I412)),1,0)</f>
        <v/>
      </c>
      <c r="B412">
        <f>B411+A412</f>
        <v/>
      </c>
      <c r="C412">
        <f>IF(409&gt;$B$1503,"",MATCH(409-0.5,$B$3:$B$1503,1))</f>
        <v/>
      </c>
      <c r="D412">
        <f>"CNA certification ("&amp;IF(LEN(INDEX('Aides'!$C$4:$C$503,409))=0,"",INDEX('Aides'!$C$4:$C$503,409))&amp;") – "&amp;IF(LEN(INDEX('Aides'!$A$4:$A$503,409))=0,"",INDEX('Aides'!$A$4:$A$503,409))</f>
        <v/>
      </c>
      <c r="E412">
        <f>IF(ISNUMBER(INDEX('Aides'!$I$4:$I$503,409)),TEXT(INDEX('Aides'!$I$4:$I$503,409),"yyyy-mm-dd"),"")</f>
        <v/>
      </c>
      <c r="F412">
        <f>"Certification"</f>
        <v/>
      </c>
      <c r="G412">
        <f>"High"</f>
        <v/>
      </c>
      <c r="H412">
        <f>TRIM(IF(LEN(IF(LEN(INDEX('Aides'!$D$4:$D$503,409))=0,"",INDEX('Aides'!$D$4:$D$503,409)))=0,"","Registry no.: "&amp;IF(LEN(INDEX('Aides'!$D$4:$D$503,409))=0,"",INDEX('Aides'!$D$4:$D$503,409))&amp;". ")&amp;IF(LEN(IF(ISNUMBER(INDEX('Aides'!$F$4:$F$503,409)),TEXT(INDEX('Aides'!$F$4:$F$503,409),"yyyy-mm-dd"),""))=0,"","Registry expiry: "&amp;IF(ISNUMBER(INDEX('Aides'!$F$4:$F$503,409)),TEXT(INDEX('Aides'!$F$4:$F$503,409),"yyyy-mm-dd"),"")&amp;". ")&amp;IF(LEN(IF(ISNUMBER(INDEX('Aides'!$G$4:$G$503,409)),TEXT(INDEX('Aides'!$G$4:$G$503,409),"yyyy-mm-dd"),""))=0,"","Last paid nursing work: "&amp;IF(ISNUMBER(INDEX('Aides'!$G$4:$G$503,409)),TEXT(INDEX('Aides'!$G$4:$G$503,409),"yyyy-mm-dd"),"")&amp;". ")&amp;IF(LEN(IF(ISNUMBER(INDEX('Aides'!$H$4:$H$503,409)),TEXT(INDEX('Aides'!$H$4:$H$503,409),"yyyy-mm-dd"),""))=0,"","24-month cut-off: "&amp;IF(ISNUMBER(INDEX('Aides'!$H$4:$H$503,409)),TEXT(INDEX('Aides'!$H$4:$H$503,409),"yyyy-mm-dd"),"")&amp;". ")&amp;IF(LEN(IF(LEN(INDEX('Aides'!$U$4:$U$503,409))=0,"",INDEX('Aides'!$U$4:$U$503,409)))=0,"","Owner: "&amp;IF(LEN(INDEX('Aides'!$U$4:$U$503,409))=0,"",INDEX('Aides'!$U$4:$U$503,409))&amp;". ")&amp;IF(LEN(IF(LEN(INDEX('Aides'!$X$4:$X$503,409))=0,"",INDEX('Aides'!$X$4:$X$503,409)))=0,"",IF(LEN(INDEX('Aides'!$X$4:$X$503,409))=0,"",INDEX('Aides'!$X$4:$X$503,409))))</f>
        <v/>
      </c>
      <c r="I412">
        <f>IF(LEN(INDEX('Aides'!$W$4:$W$503,409))=0,"",INDEX('Aides'!$W$4:$W$503,409))</f>
        <v/>
      </c>
      <c r="J412">
        <f>IF(LEN(INDEX('Aides'!$V$4:$V$503,409))=0,"",INDEX('Aides'!$V$4:$V$503,409))</f>
        <v/>
      </c>
    </row>
    <row r="413">
      <c r="A413">
        <f>IF(AND(LEN('Aides'!A413)&gt;0,ISNUMBER('Aides'!I413)),1,0)</f>
        <v/>
      </c>
      <c r="B413">
        <f>B412+A413</f>
        <v/>
      </c>
      <c r="C413">
        <f>IF(410&gt;$B$1503,"",MATCH(410-0.5,$B$3:$B$1503,1))</f>
        <v/>
      </c>
      <c r="D413">
        <f>"CNA certification ("&amp;IF(LEN(INDEX('Aides'!$C$4:$C$503,410))=0,"",INDEX('Aides'!$C$4:$C$503,410))&amp;") – "&amp;IF(LEN(INDEX('Aides'!$A$4:$A$503,410))=0,"",INDEX('Aides'!$A$4:$A$503,410))</f>
        <v/>
      </c>
      <c r="E413">
        <f>IF(ISNUMBER(INDEX('Aides'!$I$4:$I$503,410)),TEXT(INDEX('Aides'!$I$4:$I$503,410),"yyyy-mm-dd"),"")</f>
        <v/>
      </c>
      <c r="F413">
        <f>"Certification"</f>
        <v/>
      </c>
      <c r="G413">
        <f>"High"</f>
        <v/>
      </c>
      <c r="H413">
        <f>TRIM(IF(LEN(IF(LEN(INDEX('Aides'!$D$4:$D$503,410))=0,"",INDEX('Aides'!$D$4:$D$503,410)))=0,"","Registry no.: "&amp;IF(LEN(INDEX('Aides'!$D$4:$D$503,410))=0,"",INDEX('Aides'!$D$4:$D$503,410))&amp;". ")&amp;IF(LEN(IF(ISNUMBER(INDEX('Aides'!$F$4:$F$503,410)),TEXT(INDEX('Aides'!$F$4:$F$503,410),"yyyy-mm-dd"),""))=0,"","Registry expiry: "&amp;IF(ISNUMBER(INDEX('Aides'!$F$4:$F$503,410)),TEXT(INDEX('Aides'!$F$4:$F$503,410),"yyyy-mm-dd"),"")&amp;". ")&amp;IF(LEN(IF(ISNUMBER(INDEX('Aides'!$G$4:$G$503,410)),TEXT(INDEX('Aides'!$G$4:$G$503,410),"yyyy-mm-dd"),""))=0,"","Last paid nursing work: "&amp;IF(ISNUMBER(INDEX('Aides'!$G$4:$G$503,410)),TEXT(INDEX('Aides'!$G$4:$G$503,410),"yyyy-mm-dd"),"")&amp;". ")&amp;IF(LEN(IF(ISNUMBER(INDEX('Aides'!$H$4:$H$503,410)),TEXT(INDEX('Aides'!$H$4:$H$503,410),"yyyy-mm-dd"),""))=0,"","24-month cut-off: "&amp;IF(ISNUMBER(INDEX('Aides'!$H$4:$H$503,410)),TEXT(INDEX('Aides'!$H$4:$H$503,410),"yyyy-mm-dd"),"")&amp;". ")&amp;IF(LEN(IF(LEN(INDEX('Aides'!$U$4:$U$503,410))=0,"",INDEX('Aides'!$U$4:$U$503,410)))=0,"","Owner: "&amp;IF(LEN(INDEX('Aides'!$U$4:$U$503,410))=0,"",INDEX('Aides'!$U$4:$U$503,410))&amp;". ")&amp;IF(LEN(IF(LEN(INDEX('Aides'!$X$4:$X$503,410))=0,"",INDEX('Aides'!$X$4:$X$503,410)))=0,"",IF(LEN(INDEX('Aides'!$X$4:$X$503,410))=0,"",INDEX('Aides'!$X$4:$X$503,410))))</f>
        <v/>
      </c>
      <c r="I413">
        <f>IF(LEN(INDEX('Aides'!$W$4:$W$503,410))=0,"",INDEX('Aides'!$W$4:$W$503,410))</f>
        <v/>
      </c>
      <c r="J413">
        <f>IF(LEN(INDEX('Aides'!$V$4:$V$503,410))=0,"",INDEX('Aides'!$V$4:$V$503,410))</f>
        <v/>
      </c>
    </row>
    <row r="414">
      <c r="A414">
        <f>IF(AND(LEN('Aides'!A414)&gt;0,ISNUMBER('Aides'!I414)),1,0)</f>
        <v/>
      </c>
      <c r="B414">
        <f>B413+A414</f>
        <v/>
      </c>
      <c r="C414">
        <f>IF(411&gt;$B$1503,"",MATCH(411-0.5,$B$3:$B$1503,1))</f>
        <v/>
      </c>
      <c r="D414">
        <f>"CNA certification ("&amp;IF(LEN(INDEX('Aides'!$C$4:$C$503,411))=0,"",INDEX('Aides'!$C$4:$C$503,411))&amp;") – "&amp;IF(LEN(INDEX('Aides'!$A$4:$A$503,411))=0,"",INDEX('Aides'!$A$4:$A$503,411))</f>
        <v/>
      </c>
      <c r="E414">
        <f>IF(ISNUMBER(INDEX('Aides'!$I$4:$I$503,411)),TEXT(INDEX('Aides'!$I$4:$I$503,411),"yyyy-mm-dd"),"")</f>
        <v/>
      </c>
      <c r="F414">
        <f>"Certification"</f>
        <v/>
      </c>
      <c r="G414">
        <f>"High"</f>
        <v/>
      </c>
      <c r="H414">
        <f>TRIM(IF(LEN(IF(LEN(INDEX('Aides'!$D$4:$D$503,411))=0,"",INDEX('Aides'!$D$4:$D$503,411)))=0,"","Registry no.: "&amp;IF(LEN(INDEX('Aides'!$D$4:$D$503,411))=0,"",INDEX('Aides'!$D$4:$D$503,411))&amp;". ")&amp;IF(LEN(IF(ISNUMBER(INDEX('Aides'!$F$4:$F$503,411)),TEXT(INDEX('Aides'!$F$4:$F$503,411),"yyyy-mm-dd"),""))=0,"","Registry expiry: "&amp;IF(ISNUMBER(INDEX('Aides'!$F$4:$F$503,411)),TEXT(INDEX('Aides'!$F$4:$F$503,411),"yyyy-mm-dd"),"")&amp;". ")&amp;IF(LEN(IF(ISNUMBER(INDEX('Aides'!$G$4:$G$503,411)),TEXT(INDEX('Aides'!$G$4:$G$503,411),"yyyy-mm-dd"),""))=0,"","Last paid nursing work: "&amp;IF(ISNUMBER(INDEX('Aides'!$G$4:$G$503,411)),TEXT(INDEX('Aides'!$G$4:$G$503,411),"yyyy-mm-dd"),"")&amp;". ")&amp;IF(LEN(IF(ISNUMBER(INDEX('Aides'!$H$4:$H$503,411)),TEXT(INDEX('Aides'!$H$4:$H$503,411),"yyyy-mm-dd"),""))=0,"","24-month cut-off: "&amp;IF(ISNUMBER(INDEX('Aides'!$H$4:$H$503,411)),TEXT(INDEX('Aides'!$H$4:$H$503,411),"yyyy-mm-dd"),"")&amp;". ")&amp;IF(LEN(IF(LEN(INDEX('Aides'!$U$4:$U$503,411))=0,"",INDEX('Aides'!$U$4:$U$503,411)))=0,"","Owner: "&amp;IF(LEN(INDEX('Aides'!$U$4:$U$503,411))=0,"",INDEX('Aides'!$U$4:$U$503,411))&amp;". ")&amp;IF(LEN(IF(LEN(INDEX('Aides'!$X$4:$X$503,411))=0,"",INDEX('Aides'!$X$4:$X$503,411)))=0,"",IF(LEN(INDEX('Aides'!$X$4:$X$503,411))=0,"",INDEX('Aides'!$X$4:$X$503,411))))</f>
        <v/>
      </c>
      <c r="I414">
        <f>IF(LEN(INDEX('Aides'!$W$4:$W$503,411))=0,"",INDEX('Aides'!$W$4:$W$503,411))</f>
        <v/>
      </c>
      <c r="J414">
        <f>IF(LEN(INDEX('Aides'!$V$4:$V$503,411))=0,"",INDEX('Aides'!$V$4:$V$503,411))</f>
        <v/>
      </c>
    </row>
    <row r="415">
      <c r="A415">
        <f>IF(AND(LEN('Aides'!A415)&gt;0,ISNUMBER('Aides'!I415)),1,0)</f>
        <v/>
      </c>
      <c r="B415">
        <f>B414+A415</f>
        <v/>
      </c>
      <c r="C415">
        <f>IF(412&gt;$B$1503,"",MATCH(412-0.5,$B$3:$B$1503,1))</f>
        <v/>
      </c>
      <c r="D415">
        <f>"CNA certification ("&amp;IF(LEN(INDEX('Aides'!$C$4:$C$503,412))=0,"",INDEX('Aides'!$C$4:$C$503,412))&amp;") – "&amp;IF(LEN(INDEX('Aides'!$A$4:$A$503,412))=0,"",INDEX('Aides'!$A$4:$A$503,412))</f>
        <v/>
      </c>
      <c r="E415">
        <f>IF(ISNUMBER(INDEX('Aides'!$I$4:$I$503,412)),TEXT(INDEX('Aides'!$I$4:$I$503,412),"yyyy-mm-dd"),"")</f>
        <v/>
      </c>
      <c r="F415">
        <f>"Certification"</f>
        <v/>
      </c>
      <c r="G415">
        <f>"High"</f>
        <v/>
      </c>
      <c r="H415">
        <f>TRIM(IF(LEN(IF(LEN(INDEX('Aides'!$D$4:$D$503,412))=0,"",INDEX('Aides'!$D$4:$D$503,412)))=0,"","Registry no.: "&amp;IF(LEN(INDEX('Aides'!$D$4:$D$503,412))=0,"",INDEX('Aides'!$D$4:$D$503,412))&amp;". ")&amp;IF(LEN(IF(ISNUMBER(INDEX('Aides'!$F$4:$F$503,412)),TEXT(INDEX('Aides'!$F$4:$F$503,412),"yyyy-mm-dd"),""))=0,"","Registry expiry: "&amp;IF(ISNUMBER(INDEX('Aides'!$F$4:$F$503,412)),TEXT(INDEX('Aides'!$F$4:$F$503,412),"yyyy-mm-dd"),"")&amp;". ")&amp;IF(LEN(IF(ISNUMBER(INDEX('Aides'!$G$4:$G$503,412)),TEXT(INDEX('Aides'!$G$4:$G$503,412),"yyyy-mm-dd"),""))=0,"","Last paid nursing work: "&amp;IF(ISNUMBER(INDEX('Aides'!$G$4:$G$503,412)),TEXT(INDEX('Aides'!$G$4:$G$503,412),"yyyy-mm-dd"),"")&amp;". ")&amp;IF(LEN(IF(ISNUMBER(INDEX('Aides'!$H$4:$H$503,412)),TEXT(INDEX('Aides'!$H$4:$H$503,412),"yyyy-mm-dd"),""))=0,"","24-month cut-off: "&amp;IF(ISNUMBER(INDEX('Aides'!$H$4:$H$503,412)),TEXT(INDEX('Aides'!$H$4:$H$503,412),"yyyy-mm-dd"),"")&amp;". ")&amp;IF(LEN(IF(LEN(INDEX('Aides'!$U$4:$U$503,412))=0,"",INDEX('Aides'!$U$4:$U$503,412)))=0,"","Owner: "&amp;IF(LEN(INDEX('Aides'!$U$4:$U$503,412))=0,"",INDEX('Aides'!$U$4:$U$503,412))&amp;". ")&amp;IF(LEN(IF(LEN(INDEX('Aides'!$X$4:$X$503,412))=0,"",INDEX('Aides'!$X$4:$X$503,412)))=0,"",IF(LEN(INDEX('Aides'!$X$4:$X$503,412))=0,"",INDEX('Aides'!$X$4:$X$503,412))))</f>
        <v/>
      </c>
      <c r="I415">
        <f>IF(LEN(INDEX('Aides'!$W$4:$W$503,412))=0,"",INDEX('Aides'!$W$4:$W$503,412))</f>
        <v/>
      </c>
      <c r="J415">
        <f>IF(LEN(INDEX('Aides'!$V$4:$V$503,412))=0,"",INDEX('Aides'!$V$4:$V$503,412))</f>
        <v/>
      </c>
    </row>
    <row r="416">
      <c r="A416">
        <f>IF(AND(LEN('Aides'!A416)&gt;0,ISNUMBER('Aides'!I416)),1,0)</f>
        <v/>
      </c>
      <c r="B416">
        <f>B415+A416</f>
        <v/>
      </c>
      <c r="C416">
        <f>IF(413&gt;$B$1503,"",MATCH(413-0.5,$B$3:$B$1503,1))</f>
        <v/>
      </c>
      <c r="D416">
        <f>"CNA certification ("&amp;IF(LEN(INDEX('Aides'!$C$4:$C$503,413))=0,"",INDEX('Aides'!$C$4:$C$503,413))&amp;") – "&amp;IF(LEN(INDEX('Aides'!$A$4:$A$503,413))=0,"",INDEX('Aides'!$A$4:$A$503,413))</f>
        <v/>
      </c>
      <c r="E416">
        <f>IF(ISNUMBER(INDEX('Aides'!$I$4:$I$503,413)),TEXT(INDEX('Aides'!$I$4:$I$503,413),"yyyy-mm-dd"),"")</f>
        <v/>
      </c>
      <c r="F416">
        <f>"Certification"</f>
        <v/>
      </c>
      <c r="G416">
        <f>"High"</f>
        <v/>
      </c>
      <c r="H416">
        <f>TRIM(IF(LEN(IF(LEN(INDEX('Aides'!$D$4:$D$503,413))=0,"",INDEX('Aides'!$D$4:$D$503,413)))=0,"","Registry no.: "&amp;IF(LEN(INDEX('Aides'!$D$4:$D$503,413))=0,"",INDEX('Aides'!$D$4:$D$503,413))&amp;". ")&amp;IF(LEN(IF(ISNUMBER(INDEX('Aides'!$F$4:$F$503,413)),TEXT(INDEX('Aides'!$F$4:$F$503,413),"yyyy-mm-dd"),""))=0,"","Registry expiry: "&amp;IF(ISNUMBER(INDEX('Aides'!$F$4:$F$503,413)),TEXT(INDEX('Aides'!$F$4:$F$503,413),"yyyy-mm-dd"),"")&amp;". ")&amp;IF(LEN(IF(ISNUMBER(INDEX('Aides'!$G$4:$G$503,413)),TEXT(INDEX('Aides'!$G$4:$G$503,413),"yyyy-mm-dd"),""))=0,"","Last paid nursing work: "&amp;IF(ISNUMBER(INDEX('Aides'!$G$4:$G$503,413)),TEXT(INDEX('Aides'!$G$4:$G$503,413),"yyyy-mm-dd"),"")&amp;". ")&amp;IF(LEN(IF(ISNUMBER(INDEX('Aides'!$H$4:$H$503,413)),TEXT(INDEX('Aides'!$H$4:$H$503,413),"yyyy-mm-dd"),""))=0,"","24-month cut-off: "&amp;IF(ISNUMBER(INDEX('Aides'!$H$4:$H$503,413)),TEXT(INDEX('Aides'!$H$4:$H$503,413),"yyyy-mm-dd"),"")&amp;". ")&amp;IF(LEN(IF(LEN(INDEX('Aides'!$U$4:$U$503,413))=0,"",INDEX('Aides'!$U$4:$U$503,413)))=0,"","Owner: "&amp;IF(LEN(INDEX('Aides'!$U$4:$U$503,413))=0,"",INDEX('Aides'!$U$4:$U$503,413))&amp;". ")&amp;IF(LEN(IF(LEN(INDEX('Aides'!$X$4:$X$503,413))=0,"",INDEX('Aides'!$X$4:$X$503,413)))=0,"",IF(LEN(INDEX('Aides'!$X$4:$X$503,413))=0,"",INDEX('Aides'!$X$4:$X$503,413))))</f>
        <v/>
      </c>
      <c r="I416">
        <f>IF(LEN(INDEX('Aides'!$W$4:$W$503,413))=0,"",INDEX('Aides'!$W$4:$W$503,413))</f>
        <v/>
      </c>
      <c r="J416">
        <f>IF(LEN(INDEX('Aides'!$V$4:$V$503,413))=0,"",INDEX('Aides'!$V$4:$V$503,413))</f>
        <v/>
      </c>
    </row>
    <row r="417">
      <c r="A417">
        <f>IF(AND(LEN('Aides'!A417)&gt;0,ISNUMBER('Aides'!I417)),1,0)</f>
        <v/>
      </c>
      <c r="B417">
        <f>B416+A417</f>
        <v/>
      </c>
      <c r="C417">
        <f>IF(414&gt;$B$1503,"",MATCH(414-0.5,$B$3:$B$1503,1))</f>
        <v/>
      </c>
      <c r="D417">
        <f>"CNA certification ("&amp;IF(LEN(INDEX('Aides'!$C$4:$C$503,414))=0,"",INDEX('Aides'!$C$4:$C$503,414))&amp;") – "&amp;IF(LEN(INDEX('Aides'!$A$4:$A$503,414))=0,"",INDEX('Aides'!$A$4:$A$503,414))</f>
        <v/>
      </c>
      <c r="E417">
        <f>IF(ISNUMBER(INDEX('Aides'!$I$4:$I$503,414)),TEXT(INDEX('Aides'!$I$4:$I$503,414),"yyyy-mm-dd"),"")</f>
        <v/>
      </c>
      <c r="F417">
        <f>"Certification"</f>
        <v/>
      </c>
      <c r="G417">
        <f>"High"</f>
        <v/>
      </c>
      <c r="H417">
        <f>TRIM(IF(LEN(IF(LEN(INDEX('Aides'!$D$4:$D$503,414))=0,"",INDEX('Aides'!$D$4:$D$503,414)))=0,"","Registry no.: "&amp;IF(LEN(INDEX('Aides'!$D$4:$D$503,414))=0,"",INDEX('Aides'!$D$4:$D$503,414))&amp;". ")&amp;IF(LEN(IF(ISNUMBER(INDEX('Aides'!$F$4:$F$503,414)),TEXT(INDEX('Aides'!$F$4:$F$503,414),"yyyy-mm-dd"),""))=0,"","Registry expiry: "&amp;IF(ISNUMBER(INDEX('Aides'!$F$4:$F$503,414)),TEXT(INDEX('Aides'!$F$4:$F$503,414),"yyyy-mm-dd"),"")&amp;". ")&amp;IF(LEN(IF(ISNUMBER(INDEX('Aides'!$G$4:$G$503,414)),TEXT(INDEX('Aides'!$G$4:$G$503,414),"yyyy-mm-dd"),""))=0,"","Last paid nursing work: "&amp;IF(ISNUMBER(INDEX('Aides'!$G$4:$G$503,414)),TEXT(INDEX('Aides'!$G$4:$G$503,414),"yyyy-mm-dd"),"")&amp;". ")&amp;IF(LEN(IF(ISNUMBER(INDEX('Aides'!$H$4:$H$503,414)),TEXT(INDEX('Aides'!$H$4:$H$503,414),"yyyy-mm-dd"),""))=0,"","24-month cut-off: "&amp;IF(ISNUMBER(INDEX('Aides'!$H$4:$H$503,414)),TEXT(INDEX('Aides'!$H$4:$H$503,414),"yyyy-mm-dd"),"")&amp;". ")&amp;IF(LEN(IF(LEN(INDEX('Aides'!$U$4:$U$503,414))=0,"",INDEX('Aides'!$U$4:$U$503,414)))=0,"","Owner: "&amp;IF(LEN(INDEX('Aides'!$U$4:$U$503,414))=0,"",INDEX('Aides'!$U$4:$U$503,414))&amp;". ")&amp;IF(LEN(IF(LEN(INDEX('Aides'!$X$4:$X$503,414))=0,"",INDEX('Aides'!$X$4:$X$503,414)))=0,"",IF(LEN(INDEX('Aides'!$X$4:$X$503,414))=0,"",INDEX('Aides'!$X$4:$X$503,414))))</f>
        <v/>
      </c>
      <c r="I417">
        <f>IF(LEN(INDEX('Aides'!$W$4:$W$503,414))=0,"",INDEX('Aides'!$W$4:$W$503,414))</f>
        <v/>
      </c>
      <c r="J417">
        <f>IF(LEN(INDEX('Aides'!$V$4:$V$503,414))=0,"",INDEX('Aides'!$V$4:$V$503,414))</f>
        <v/>
      </c>
    </row>
    <row r="418">
      <c r="A418">
        <f>IF(AND(LEN('Aides'!A418)&gt;0,ISNUMBER('Aides'!I418)),1,0)</f>
        <v/>
      </c>
      <c r="B418">
        <f>B417+A418</f>
        <v/>
      </c>
      <c r="C418">
        <f>IF(415&gt;$B$1503,"",MATCH(415-0.5,$B$3:$B$1503,1))</f>
        <v/>
      </c>
      <c r="D418">
        <f>"CNA certification ("&amp;IF(LEN(INDEX('Aides'!$C$4:$C$503,415))=0,"",INDEX('Aides'!$C$4:$C$503,415))&amp;") – "&amp;IF(LEN(INDEX('Aides'!$A$4:$A$503,415))=0,"",INDEX('Aides'!$A$4:$A$503,415))</f>
        <v/>
      </c>
      <c r="E418">
        <f>IF(ISNUMBER(INDEX('Aides'!$I$4:$I$503,415)),TEXT(INDEX('Aides'!$I$4:$I$503,415),"yyyy-mm-dd"),"")</f>
        <v/>
      </c>
      <c r="F418">
        <f>"Certification"</f>
        <v/>
      </c>
      <c r="G418">
        <f>"High"</f>
        <v/>
      </c>
      <c r="H418">
        <f>TRIM(IF(LEN(IF(LEN(INDEX('Aides'!$D$4:$D$503,415))=0,"",INDEX('Aides'!$D$4:$D$503,415)))=0,"","Registry no.: "&amp;IF(LEN(INDEX('Aides'!$D$4:$D$503,415))=0,"",INDEX('Aides'!$D$4:$D$503,415))&amp;". ")&amp;IF(LEN(IF(ISNUMBER(INDEX('Aides'!$F$4:$F$503,415)),TEXT(INDEX('Aides'!$F$4:$F$503,415),"yyyy-mm-dd"),""))=0,"","Registry expiry: "&amp;IF(ISNUMBER(INDEX('Aides'!$F$4:$F$503,415)),TEXT(INDEX('Aides'!$F$4:$F$503,415),"yyyy-mm-dd"),"")&amp;". ")&amp;IF(LEN(IF(ISNUMBER(INDEX('Aides'!$G$4:$G$503,415)),TEXT(INDEX('Aides'!$G$4:$G$503,415),"yyyy-mm-dd"),""))=0,"","Last paid nursing work: "&amp;IF(ISNUMBER(INDEX('Aides'!$G$4:$G$503,415)),TEXT(INDEX('Aides'!$G$4:$G$503,415),"yyyy-mm-dd"),"")&amp;". ")&amp;IF(LEN(IF(ISNUMBER(INDEX('Aides'!$H$4:$H$503,415)),TEXT(INDEX('Aides'!$H$4:$H$503,415),"yyyy-mm-dd"),""))=0,"","24-month cut-off: "&amp;IF(ISNUMBER(INDEX('Aides'!$H$4:$H$503,415)),TEXT(INDEX('Aides'!$H$4:$H$503,415),"yyyy-mm-dd"),"")&amp;". ")&amp;IF(LEN(IF(LEN(INDEX('Aides'!$U$4:$U$503,415))=0,"",INDEX('Aides'!$U$4:$U$503,415)))=0,"","Owner: "&amp;IF(LEN(INDEX('Aides'!$U$4:$U$503,415))=0,"",INDEX('Aides'!$U$4:$U$503,415))&amp;". ")&amp;IF(LEN(IF(LEN(INDEX('Aides'!$X$4:$X$503,415))=0,"",INDEX('Aides'!$X$4:$X$503,415)))=0,"",IF(LEN(INDEX('Aides'!$X$4:$X$503,415))=0,"",INDEX('Aides'!$X$4:$X$503,415))))</f>
        <v/>
      </c>
      <c r="I418">
        <f>IF(LEN(INDEX('Aides'!$W$4:$W$503,415))=0,"",INDEX('Aides'!$W$4:$W$503,415))</f>
        <v/>
      </c>
      <c r="J418">
        <f>IF(LEN(INDEX('Aides'!$V$4:$V$503,415))=0,"",INDEX('Aides'!$V$4:$V$503,415))</f>
        <v/>
      </c>
    </row>
    <row r="419">
      <c r="A419">
        <f>IF(AND(LEN('Aides'!A419)&gt;0,ISNUMBER('Aides'!I419)),1,0)</f>
        <v/>
      </c>
      <c r="B419">
        <f>B418+A419</f>
        <v/>
      </c>
      <c r="C419">
        <f>IF(416&gt;$B$1503,"",MATCH(416-0.5,$B$3:$B$1503,1))</f>
        <v/>
      </c>
      <c r="D419">
        <f>"CNA certification ("&amp;IF(LEN(INDEX('Aides'!$C$4:$C$503,416))=0,"",INDEX('Aides'!$C$4:$C$503,416))&amp;") – "&amp;IF(LEN(INDEX('Aides'!$A$4:$A$503,416))=0,"",INDEX('Aides'!$A$4:$A$503,416))</f>
        <v/>
      </c>
      <c r="E419">
        <f>IF(ISNUMBER(INDEX('Aides'!$I$4:$I$503,416)),TEXT(INDEX('Aides'!$I$4:$I$503,416),"yyyy-mm-dd"),"")</f>
        <v/>
      </c>
      <c r="F419">
        <f>"Certification"</f>
        <v/>
      </c>
      <c r="G419">
        <f>"High"</f>
        <v/>
      </c>
      <c r="H419">
        <f>TRIM(IF(LEN(IF(LEN(INDEX('Aides'!$D$4:$D$503,416))=0,"",INDEX('Aides'!$D$4:$D$503,416)))=0,"","Registry no.: "&amp;IF(LEN(INDEX('Aides'!$D$4:$D$503,416))=0,"",INDEX('Aides'!$D$4:$D$503,416))&amp;". ")&amp;IF(LEN(IF(ISNUMBER(INDEX('Aides'!$F$4:$F$503,416)),TEXT(INDEX('Aides'!$F$4:$F$503,416),"yyyy-mm-dd"),""))=0,"","Registry expiry: "&amp;IF(ISNUMBER(INDEX('Aides'!$F$4:$F$503,416)),TEXT(INDEX('Aides'!$F$4:$F$503,416),"yyyy-mm-dd"),"")&amp;". ")&amp;IF(LEN(IF(ISNUMBER(INDEX('Aides'!$G$4:$G$503,416)),TEXT(INDEX('Aides'!$G$4:$G$503,416),"yyyy-mm-dd"),""))=0,"","Last paid nursing work: "&amp;IF(ISNUMBER(INDEX('Aides'!$G$4:$G$503,416)),TEXT(INDEX('Aides'!$G$4:$G$503,416),"yyyy-mm-dd"),"")&amp;". ")&amp;IF(LEN(IF(ISNUMBER(INDEX('Aides'!$H$4:$H$503,416)),TEXT(INDEX('Aides'!$H$4:$H$503,416),"yyyy-mm-dd"),""))=0,"","24-month cut-off: "&amp;IF(ISNUMBER(INDEX('Aides'!$H$4:$H$503,416)),TEXT(INDEX('Aides'!$H$4:$H$503,416),"yyyy-mm-dd"),"")&amp;". ")&amp;IF(LEN(IF(LEN(INDEX('Aides'!$U$4:$U$503,416))=0,"",INDEX('Aides'!$U$4:$U$503,416)))=0,"","Owner: "&amp;IF(LEN(INDEX('Aides'!$U$4:$U$503,416))=0,"",INDEX('Aides'!$U$4:$U$503,416))&amp;". ")&amp;IF(LEN(IF(LEN(INDEX('Aides'!$X$4:$X$503,416))=0,"",INDEX('Aides'!$X$4:$X$503,416)))=0,"",IF(LEN(INDEX('Aides'!$X$4:$X$503,416))=0,"",INDEX('Aides'!$X$4:$X$503,416))))</f>
        <v/>
      </c>
      <c r="I419">
        <f>IF(LEN(INDEX('Aides'!$W$4:$W$503,416))=0,"",INDEX('Aides'!$W$4:$W$503,416))</f>
        <v/>
      </c>
      <c r="J419">
        <f>IF(LEN(INDEX('Aides'!$V$4:$V$503,416))=0,"",INDEX('Aides'!$V$4:$V$503,416))</f>
        <v/>
      </c>
    </row>
    <row r="420">
      <c r="A420">
        <f>IF(AND(LEN('Aides'!A420)&gt;0,ISNUMBER('Aides'!I420)),1,0)</f>
        <v/>
      </c>
      <c r="B420">
        <f>B419+A420</f>
        <v/>
      </c>
      <c r="C420">
        <f>IF(417&gt;$B$1503,"",MATCH(417-0.5,$B$3:$B$1503,1))</f>
        <v/>
      </c>
      <c r="D420">
        <f>"CNA certification ("&amp;IF(LEN(INDEX('Aides'!$C$4:$C$503,417))=0,"",INDEX('Aides'!$C$4:$C$503,417))&amp;") – "&amp;IF(LEN(INDEX('Aides'!$A$4:$A$503,417))=0,"",INDEX('Aides'!$A$4:$A$503,417))</f>
        <v/>
      </c>
      <c r="E420">
        <f>IF(ISNUMBER(INDEX('Aides'!$I$4:$I$503,417)),TEXT(INDEX('Aides'!$I$4:$I$503,417),"yyyy-mm-dd"),"")</f>
        <v/>
      </c>
      <c r="F420">
        <f>"Certification"</f>
        <v/>
      </c>
      <c r="G420">
        <f>"High"</f>
        <v/>
      </c>
      <c r="H420">
        <f>TRIM(IF(LEN(IF(LEN(INDEX('Aides'!$D$4:$D$503,417))=0,"",INDEX('Aides'!$D$4:$D$503,417)))=0,"","Registry no.: "&amp;IF(LEN(INDEX('Aides'!$D$4:$D$503,417))=0,"",INDEX('Aides'!$D$4:$D$503,417))&amp;". ")&amp;IF(LEN(IF(ISNUMBER(INDEX('Aides'!$F$4:$F$503,417)),TEXT(INDEX('Aides'!$F$4:$F$503,417),"yyyy-mm-dd"),""))=0,"","Registry expiry: "&amp;IF(ISNUMBER(INDEX('Aides'!$F$4:$F$503,417)),TEXT(INDEX('Aides'!$F$4:$F$503,417),"yyyy-mm-dd"),"")&amp;". ")&amp;IF(LEN(IF(ISNUMBER(INDEX('Aides'!$G$4:$G$503,417)),TEXT(INDEX('Aides'!$G$4:$G$503,417),"yyyy-mm-dd"),""))=0,"","Last paid nursing work: "&amp;IF(ISNUMBER(INDEX('Aides'!$G$4:$G$503,417)),TEXT(INDEX('Aides'!$G$4:$G$503,417),"yyyy-mm-dd"),"")&amp;". ")&amp;IF(LEN(IF(ISNUMBER(INDEX('Aides'!$H$4:$H$503,417)),TEXT(INDEX('Aides'!$H$4:$H$503,417),"yyyy-mm-dd"),""))=0,"","24-month cut-off: "&amp;IF(ISNUMBER(INDEX('Aides'!$H$4:$H$503,417)),TEXT(INDEX('Aides'!$H$4:$H$503,417),"yyyy-mm-dd"),"")&amp;". ")&amp;IF(LEN(IF(LEN(INDEX('Aides'!$U$4:$U$503,417))=0,"",INDEX('Aides'!$U$4:$U$503,417)))=0,"","Owner: "&amp;IF(LEN(INDEX('Aides'!$U$4:$U$503,417))=0,"",INDEX('Aides'!$U$4:$U$503,417))&amp;". ")&amp;IF(LEN(IF(LEN(INDEX('Aides'!$X$4:$X$503,417))=0,"",INDEX('Aides'!$X$4:$X$503,417)))=0,"",IF(LEN(INDEX('Aides'!$X$4:$X$503,417))=0,"",INDEX('Aides'!$X$4:$X$503,417))))</f>
        <v/>
      </c>
      <c r="I420">
        <f>IF(LEN(INDEX('Aides'!$W$4:$W$503,417))=0,"",INDEX('Aides'!$W$4:$W$503,417))</f>
        <v/>
      </c>
      <c r="J420">
        <f>IF(LEN(INDEX('Aides'!$V$4:$V$503,417))=0,"",INDEX('Aides'!$V$4:$V$503,417))</f>
        <v/>
      </c>
    </row>
    <row r="421">
      <c r="A421">
        <f>IF(AND(LEN('Aides'!A421)&gt;0,ISNUMBER('Aides'!I421)),1,0)</f>
        <v/>
      </c>
      <c r="B421">
        <f>B420+A421</f>
        <v/>
      </c>
      <c r="C421">
        <f>IF(418&gt;$B$1503,"",MATCH(418-0.5,$B$3:$B$1503,1))</f>
        <v/>
      </c>
      <c r="D421">
        <f>"CNA certification ("&amp;IF(LEN(INDEX('Aides'!$C$4:$C$503,418))=0,"",INDEX('Aides'!$C$4:$C$503,418))&amp;") – "&amp;IF(LEN(INDEX('Aides'!$A$4:$A$503,418))=0,"",INDEX('Aides'!$A$4:$A$503,418))</f>
        <v/>
      </c>
      <c r="E421">
        <f>IF(ISNUMBER(INDEX('Aides'!$I$4:$I$503,418)),TEXT(INDEX('Aides'!$I$4:$I$503,418),"yyyy-mm-dd"),"")</f>
        <v/>
      </c>
      <c r="F421">
        <f>"Certification"</f>
        <v/>
      </c>
      <c r="G421">
        <f>"High"</f>
        <v/>
      </c>
      <c r="H421">
        <f>TRIM(IF(LEN(IF(LEN(INDEX('Aides'!$D$4:$D$503,418))=0,"",INDEX('Aides'!$D$4:$D$503,418)))=0,"","Registry no.: "&amp;IF(LEN(INDEX('Aides'!$D$4:$D$503,418))=0,"",INDEX('Aides'!$D$4:$D$503,418))&amp;". ")&amp;IF(LEN(IF(ISNUMBER(INDEX('Aides'!$F$4:$F$503,418)),TEXT(INDEX('Aides'!$F$4:$F$503,418),"yyyy-mm-dd"),""))=0,"","Registry expiry: "&amp;IF(ISNUMBER(INDEX('Aides'!$F$4:$F$503,418)),TEXT(INDEX('Aides'!$F$4:$F$503,418),"yyyy-mm-dd"),"")&amp;". ")&amp;IF(LEN(IF(ISNUMBER(INDEX('Aides'!$G$4:$G$503,418)),TEXT(INDEX('Aides'!$G$4:$G$503,418),"yyyy-mm-dd"),""))=0,"","Last paid nursing work: "&amp;IF(ISNUMBER(INDEX('Aides'!$G$4:$G$503,418)),TEXT(INDEX('Aides'!$G$4:$G$503,418),"yyyy-mm-dd"),"")&amp;". ")&amp;IF(LEN(IF(ISNUMBER(INDEX('Aides'!$H$4:$H$503,418)),TEXT(INDEX('Aides'!$H$4:$H$503,418),"yyyy-mm-dd"),""))=0,"","24-month cut-off: "&amp;IF(ISNUMBER(INDEX('Aides'!$H$4:$H$503,418)),TEXT(INDEX('Aides'!$H$4:$H$503,418),"yyyy-mm-dd"),"")&amp;". ")&amp;IF(LEN(IF(LEN(INDEX('Aides'!$U$4:$U$503,418))=0,"",INDEX('Aides'!$U$4:$U$503,418)))=0,"","Owner: "&amp;IF(LEN(INDEX('Aides'!$U$4:$U$503,418))=0,"",INDEX('Aides'!$U$4:$U$503,418))&amp;". ")&amp;IF(LEN(IF(LEN(INDEX('Aides'!$X$4:$X$503,418))=0,"",INDEX('Aides'!$X$4:$X$503,418)))=0,"",IF(LEN(INDEX('Aides'!$X$4:$X$503,418))=0,"",INDEX('Aides'!$X$4:$X$503,418))))</f>
        <v/>
      </c>
      <c r="I421">
        <f>IF(LEN(INDEX('Aides'!$W$4:$W$503,418))=0,"",INDEX('Aides'!$W$4:$W$503,418))</f>
        <v/>
      </c>
      <c r="J421">
        <f>IF(LEN(INDEX('Aides'!$V$4:$V$503,418))=0,"",INDEX('Aides'!$V$4:$V$503,418))</f>
        <v/>
      </c>
    </row>
    <row r="422">
      <c r="A422">
        <f>IF(AND(LEN('Aides'!A422)&gt;0,ISNUMBER('Aides'!I422)),1,0)</f>
        <v/>
      </c>
      <c r="B422">
        <f>B421+A422</f>
        <v/>
      </c>
      <c r="C422">
        <f>IF(419&gt;$B$1503,"",MATCH(419-0.5,$B$3:$B$1503,1))</f>
        <v/>
      </c>
      <c r="D422">
        <f>"CNA certification ("&amp;IF(LEN(INDEX('Aides'!$C$4:$C$503,419))=0,"",INDEX('Aides'!$C$4:$C$503,419))&amp;") – "&amp;IF(LEN(INDEX('Aides'!$A$4:$A$503,419))=0,"",INDEX('Aides'!$A$4:$A$503,419))</f>
        <v/>
      </c>
      <c r="E422">
        <f>IF(ISNUMBER(INDEX('Aides'!$I$4:$I$503,419)),TEXT(INDEX('Aides'!$I$4:$I$503,419),"yyyy-mm-dd"),"")</f>
        <v/>
      </c>
      <c r="F422">
        <f>"Certification"</f>
        <v/>
      </c>
      <c r="G422">
        <f>"High"</f>
        <v/>
      </c>
      <c r="H422">
        <f>TRIM(IF(LEN(IF(LEN(INDEX('Aides'!$D$4:$D$503,419))=0,"",INDEX('Aides'!$D$4:$D$503,419)))=0,"","Registry no.: "&amp;IF(LEN(INDEX('Aides'!$D$4:$D$503,419))=0,"",INDEX('Aides'!$D$4:$D$503,419))&amp;". ")&amp;IF(LEN(IF(ISNUMBER(INDEX('Aides'!$F$4:$F$503,419)),TEXT(INDEX('Aides'!$F$4:$F$503,419),"yyyy-mm-dd"),""))=0,"","Registry expiry: "&amp;IF(ISNUMBER(INDEX('Aides'!$F$4:$F$503,419)),TEXT(INDEX('Aides'!$F$4:$F$503,419),"yyyy-mm-dd"),"")&amp;". ")&amp;IF(LEN(IF(ISNUMBER(INDEX('Aides'!$G$4:$G$503,419)),TEXT(INDEX('Aides'!$G$4:$G$503,419),"yyyy-mm-dd"),""))=0,"","Last paid nursing work: "&amp;IF(ISNUMBER(INDEX('Aides'!$G$4:$G$503,419)),TEXT(INDEX('Aides'!$G$4:$G$503,419),"yyyy-mm-dd"),"")&amp;". ")&amp;IF(LEN(IF(ISNUMBER(INDEX('Aides'!$H$4:$H$503,419)),TEXT(INDEX('Aides'!$H$4:$H$503,419),"yyyy-mm-dd"),""))=0,"","24-month cut-off: "&amp;IF(ISNUMBER(INDEX('Aides'!$H$4:$H$503,419)),TEXT(INDEX('Aides'!$H$4:$H$503,419),"yyyy-mm-dd"),"")&amp;". ")&amp;IF(LEN(IF(LEN(INDEX('Aides'!$U$4:$U$503,419))=0,"",INDEX('Aides'!$U$4:$U$503,419)))=0,"","Owner: "&amp;IF(LEN(INDEX('Aides'!$U$4:$U$503,419))=0,"",INDEX('Aides'!$U$4:$U$503,419))&amp;". ")&amp;IF(LEN(IF(LEN(INDEX('Aides'!$X$4:$X$503,419))=0,"",INDEX('Aides'!$X$4:$X$503,419)))=0,"",IF(LEN(INDEX('Aides'!$X$4:$X$503,419))=0,"",INDEX('Aides'!$X$4:$X$503,419))))</f>
        <v/>
      </c>
      <c r="I422">
        <f>IF(LEN(INDEX('Aides'!$W$4:$W$503,419))=0,"",INDEX('Aides'!$W$4:$W$503,419))</f>
        <v/>
      </c>
      <c r="J422">
        <f>IF(LEN(INDEX('Aides'!$V$4:$V$503,419))=0,"",INDEX('Aides'!$V$4:$V$503,419))</f>
        <v/>
      </c>
    </row>
    <row r="423">
      <c r="A423">
        <f>IF(AND(LEN('Aides'!A423)&gt;0,ISNUMBER('Aides'!I423)),1,0)</f>
        <v/>
      </c>
      <c r="B423">
        <f>B422+A423</f>
        <v/>
      </c>
      <c r="C423">
        <f>IF(420&gt;$B$1503,"",MATCH(420-0.5,$B$3:$B$1503,1))</f>
        <v/>
      </c>
      <c r="D423">
        <f>"CNA certification ("&amp;IF(LEN(INDEX('Aides'!$C$4:$C$503,420))=0,"",INDEX('Aides'!$C$4:$C$503,420))&amp;") – "&amp;IF(LEN(INDEX('Aides'!$A$4:$A$503,420))=0,"",INDEX('Aides'!$A$4:$A$503,420))</f>
        <v/>
      </c>
      <c r="E423">
        <f>IF(ISNUMBER(INDEX('Aides'!$I$4:$I$503,420)),TEXT(INDEX('Aides'!$I$4:$I$503,420),"yyyy-mm-dd"),"")</f>
        <v/>
      </c>
      <c r="F423">
        <f>"Certification"</f>
        <v/>
      </c>
      <c r="G423">
        <f>"High"</f>
        <v/>
      </c>
      <c r="H423">
        <f>TRIM(IF(LEN(IF(LEN(INDEX('Aides'!$D$4:$D$503,420))=0,"",INDEX('Aides'!$D$4:$D$503,420)))=0,"","Registry no.: "&amp;IF(LEN(INDEX('Aides'!$D$4:$D$503,420))=0,"",INDEX('Aides'!$D$4:$D$503,420))&amp;". ")&amp;IF(LEN(IF(ISNUMBER(INDEX('Aides'!$F$4:$F$503,420)),TEXT(INDEX('Aides'!$F$4:$F$503,420),"yyyy-mm-dd"),""))=0,"","Registry expiry: "&amp;IF(ISNUMBER(INDEX('Aides'!$F$4:$F$503,420)),TEXT(INDEX('Aides'!$F$4:$F$503,420),"yyyy-mm-dd"),"")&amp;". ")&amp;IF(LEN(IF(ISNUMBER(INDEX('Aides'!$G$4:$G$503,420)),TEXT(INDEX('Aides'!$G$4:$G$503,420),"yyyy-mm-dd"),""))=0,"","Last paid nursing work: "&amp;IF(ISNUMBER(INDEX('Aides'!$G$4:$G$503,420)),TEXT(INDEX('Aides'!$G$4:$G$503,420),"yyyy-mm-dd"),"")&amp;". ")&amp;IF(LEN(IF(ISNUMBER(INDEX('Aides'!$H$4:$H$503,420)),TEXT(INDEX('Aides'!$H$4:$H$503,420),"yyyy-mm-dd"),""))=0,"","24-month cut-off: "&amp;IF(ISNUMBER(INDEX('Aides'!$H$4:$H$503,420)),TEXT(INDEX('Aides'!$H$4:$H$503,420),"yyyy-mm-dd"),"")&amp;". ")&amp;IF(LEN(IF(LEN(INDEX('Aides'!$U$4:$U$503,420))=0,"",INDEX('Aides'!$U$4:$U$503,420)))=0,"","Owner: "&amp;IF(LEN(INDEX('Aides'!$U$4:$U$503,420))=0,"",INDEX('Aides'!$U$4:$U$503,420))&amp;". ")&amp;IF(LEN(IF(LEN(INDEX('Aides'!$X$4:$X$503,420))=0,"",INDEX('Aides'!$X$4:$X$503,420)))=0,"",IF(LEN(INDEX('Aides'!$X$4:$X$503,420))=0,"",INDEX('Aides'!$X$4:$X$503,420))))</f>
        <v/>
      </c>
      <c r="I423">
        <f>IF(LEN(INDEX('Aides'!$W$4:$W$503,420))=0,"",INDEX('Aides'!$W$4:$W$503,420))</f>
        <v/>
      </c>
      <c r="J423">
        <f>IF(LEN(INDEX('Aides'!$V$4:$V$503,420))=0,"",INDEX('Aides'!$V$4:$V$503,420))</f>
        <v/>
      </c>
    </row>
    <row r="424">
      <c r="A424">
        <f>IF(AND(LEN('Aides'!A424)&gt;0,ISNUMBER('Aides'!I424)),1,0)</f>
        <v/>
      </c>
      <c r="B424">
        <f>B423+A424</f>
        <v/>
      </c>
      <c r="C424">
        <f>IF(421&gt;$B$1503,"",MATCH(421-0.5,$B$3:$B$1503,1))</f>
        <v/>
      </c>
      <c r="D424">
        <f>"CNA certification ("&amp;IF(LEN(INDEX('Aides'!$C$4:$C$503,421))=0,"",INDEX('Aides'!$C$4:$C$503,421))&amp;") – "&amp;IF(LEN(INDEX('Aides'!$A$4:$A$503,421))=0,"",INDEX('Aides'!$A$4:$A$503,421))</f>
        <v/>
      </c>
      <c r="E424">
        <f>IF(ISNUMBER(INDEX('Aides'!$I$4:$I$503,421)),TEXT(INDEX('Aides'!$I$4:$I$503,421),"yyyy-mm-dd"),"")</f>
        <v/>
      </c>
      <c r="F424">
        <f>"Certification"</f>
        <v/>
      </c>
      <c r="G424">
        <f>"High"</f>
        <v/>
      </c>
      <c r="H424">
        <f>TRIM(IF(LEN(IF(LEN(INDEX('Aides'!$D$4:$D$503,421))=0,"",INDEX('Aides'!$D$4:$D$503,421)))=0,"","Registry no.: "&amp;IF(LEN(INDEX('Aides'!$D$4:$D$503,421))=0,"",INDEX('Aides'!$D$4:$D$503,421))&amp;". ")&amp;IF(LEN(IF(ISNUMBER(INDEX('Aides'!$F$4:$F$503,421)),TEXT(INDEX('Aides'!$F$4:$F$503,421),"yyyy-mm-dd"),""))=0,"","Registry expiry: "&amp;IF(ISNUMBER(INDEX('Aides'!$F$4:$F$503,421)),TEXT(INDEX('Aides'!$F$4:$F$503,421),"yyyy-mm-dd"),"")&amp;". ")&amp;IF(LEN(IF(ISNUMBER(INDEX('Aides'!$G$4:$G$503,421)),TEXT(INDEX('Aides'!$G$4:$G$503,421),"yyyy-mm-dd"),""))=0,"","Last paid nursing work: "&amp;IF(ISNUMBER(INDEX('Aides'!$G$4:$G$503,421)),TEXT(INDEX('Aides'!$G$4:$G$503,421),"yyyy-mm-dd"),"")&amp;". ")&amp;IF(LEN(IF(ISNUMBER(INDEX('Aides'!$H$4:$H$503,421)),TEXT(INDEX('Aides'!$H$4:$H$503,421),"yyyy-mm-dd"),""))=0,"","24-month cut-off: "&amp;IF(ISNUMBER(INDEX('Aides'!$H$4:$H$503,421)),TEXT(INDEX('Aides'!$H$4:$H$503,421),"yyyy-mm-dd"),"")&amp;". ")&amp;IF(LEN(IF(LEN(INDEX('Aides'!$U$4:$U$503,421))=0,"",INDEX('Aides'!$U$4:$U$503,421)))=0,"","Owner: "&amp;IF(LEN(INDEX('Aides'!$U$4:$U$503,421))=0,"",INDEX('Aides'!$U$4:$U$503,421))&amp;". ")&amp;IF(LEN(IF(LEN(INDEX('Aides'!$X$4:$X$503,421))=0,"",INDEX('Aides'!$X$4:$X$503,421)))=0,"",IF(LEN(INDEX('Aides'!$X$4:$X$503,421))=0,"",INDEX('Aides'!$X$4:$X$503,421))))</f>
        <v/>
      </c>
      <c r="I424">
        <f>IF(LEN(INDEX('Aides'!$W$4:$W$503,421))=0,"",INDEX('Aides'!$W$4:$W$503,421))</f>
        <v/>
      </c>
      <c r="J424">
        <f>IF(LEN(INDEX('Aides'!$V$4:$V$503,421))=0,"",INDEX('Aides'!$V$4:$V$503,421))</f>
        <v/>
      </c>
    </row>
    <row r="425">
      <c r="A425">
        <f>IF(AND(LEN('Aides'!A425)&gt;0,ISNUMBER('Aides'!I425)),1,0)</f>
        <v/>
      </c>
      <c r="B425">
        <f>B424+A425</f>
        <v/>
      </c>
      <c r="C425">
        <f>IF(422&gt;$B$1503,"",MATCH(422-0.5,$B$3:$B$1503,1))</f>
        <v/>
      </c>
      <c r="D425">
        <f>"CNA certification ("&amp;IF(LEN(INDEX('Aides'!$C$4:$C$503,422))=0,"",INDEX('Aides'!$C$4:$C$503,422))&amp;") – "&amp;IF(LEN(INDEX('Aides'!$A$4:$A$503,422))=0,"",INDEX('Aides'!$A$4:$A$503,422))</f>
        <v/>
      </c>
      <c r="E425">
        <f>IF(ISNUMBER(INDEX('Aides'!$I$4:$I$503,422)),TEXT(INDEX('Aides'!$I$4:$I$503,422),"yyyy-mm-dd"),"")</f>
        <v/>
      </c>
      <c r="F425">
        <f>"Certification"</f>
        <v/>
      </c>
      <c r="G425">
        <f>"High"</f>
        <v/>
      </c>
      <c r="H425">
        <f>TRIM(IF(LEN(IF(LEN(INDEX('Aides'!$D$4:$D$503,422))=0,"",INDEX('Aides'!$D$4:$D$503,422)))=0,"","Registry no.: "&amp;IF(LEN(INDEX('Aides'!$D$4:$D$503,422))=0,"",INDEX('Aides'!$D$4:$D$503,422))&amp;". ")&amp;IF(LEN(IF(ISNUMBER(INDEX('Aides'!$F$4:$F$503,422)),TEXT(INDEX('Aides'!$F$4:$F$503,422),"yyyy-mm-dd"),""))=0,"","Registry expiry: "&amp;IF(ISNUMBER(INDEX('Aides'!$F$4:$F$503,422)),TEXT(INDEX('Aides'!$F$4:$F$503,422),"yyyy-mm-dd"),"")&amp;". ")&amp;IF(LEN(IF(ISNUMBER(INDEX('Aides'!$G$4:$G$503,422)),TEXT(INDEX('Aides'!$G$4:$G$503,422),"yyyy-mm-dd"),""))=0,"","Last paid nursing work: "&amp;IF(ISNUMBER(INDEX('Aides'!$G$4:$G$503,422)),TEXT(INDEX('Aides'!$G$4:$G$503,422),"yyyy-mm-dd"),"")&amp;". ")&amp;IF(LEN(IF(ISNUMBER(INDEX('Aides'!$H$4:$H$503,422)),TEXT(INDEX('Aides'!$H$4:$H$503,422),"yyyy-mm-dd"),""))=0,"","24-month cut-off: "&amp;IF(ISNUMBER(INDEX('Aides'!$H$4:$H$503,422)),TEXT(INDEX('Aides'!$H$4:$H$503,422),"yyyy-mm-dd"),"")&amp;". ")&amp;IF(LEN(IF(LEN(INDEX('Aides'!$U$4:$U$503,422))=0,"",INDEX('Aides'!$U$4:$U$503,422)))=0,"","Owner: "&amp;IF(LEN(INDEX('Aides'!$U$4:$U$503,422))=0,"",INDEX('Aides'!$U$4:$U$503,422))&amp;". ")&amp;IF(LEN(IF(LEN(INDEX('Aides'!$X$4:$X$503,422))=0,"",INDEX('Aides'!$X$4:$X$503,422)))=0,"",IF(LEN(INDEX('Aides'!$X$4:$X$503,422))=0,"",INDEX('Aides'!$X$4:$X$503,422))))</f>
        <v/>
      </c>
      <c r="I425">
        <f>IF(LEN(INDEX('Aides'!$W$4:$W$503,422))=0,"",INDEX('Aides'!$W$4:$W$503,422))</f>
        <v/>
      </c>
      <c r="J425">
        <f>IF(LEN(INDEX('Aides'!$V$4:$V$503,422))=0,"",INDEX('Aides'!$V$4:$V$503,422))</f>
        <v/>
      </c>
    </row>
    <row r="426">
      <c r="A426">
        <f>IF(AND(LEN('Aides'!A426)&gt;0,ISNUMBER('Aides'!I426)),1,0)</f>
        <v/>
      </c>
      <c r="B426">
        <f>B425+A426</f>
        <v/>
      </c>
      <c r="C426">
        <f>IF(423&gt;$B$1503,"",MATCH(423-0.5,$B$3:$B$1503,1))</f>
        <v/>
      </c>
      <c r="D426">
        <f>"CNA certification ("&amp;IF(LEN(INDEX('Aides'!$C$4:$C$503,423))=0,"",INDEX('Aides'!$C$4:$C$503,423))&amp;") – "&amp;IF(LEN(INDEX('Aides'!$A$4:$A$503,423))=0,"",INDEX('Aides'!$A$4:$A$503,423))</f>
        <v/>
      </c>
      <c r="E426">
        <f>IF(ISNUMBER(INDEX('Aides'!$I$4:$I$503,423)),TEXT(INDEX('Aides'!$I$4:$I$503,423),"yyyy-mm-dd"),"")</f>
        <v/>
      </c>
      <c r="F426">
        <f>"Certification"</f>
        <v/>
      </c>
      <c r="G426">
        <f>"High"</f>
        <v/>
      </c>
      <c r="H426">
        <f>TRIM(IF(LEN(IF(LEN(INDEX('Aides'!$D$4:$D$503,423))=0,"",INDEX('Aides'!$D$4:$D$503,423)))=0,"","Registry no.: "&amp;IF(LEN(INDEX('Aides'!$D$4:$D$503,423))=0,"",INDEX('Aides'!$D$4:$D$503,423))&amp;". ")&amp;IF(LEN(IF(ISNUMBER(INDEX('Aides'!$F$4:$F$503,423)),TEXT(INDEX('Aides'!$F$4:$F$503,423),"yyyy-mm-dd"),""))=0,"","Registry expiry: "&amp;IF(ISNUMBER(INDEX('Aides'!$F$4:$F$503,423)),TEXT(INDEX('Aides'!$F$4:$F$503,423),"yyyy-mm-dd"),"")&amp;". ")&amp;IF(LEN(IF(ISNUMBER(INDEX('Aides'!$G$4:$G$503,423)),TEXT(INDEX('Aides'!$G$4:$G$503,423),"yyyy-mm-dd"),""))=0,"","Last paid nursing work: "&amp;IF(ISNUMBER(INDEX('Aides'!$G$4:$G$503,423)),TEXT(INDEX('Aides'!$G$4:$G$503,423),"yyyy-mm-dd"),"")&amp;". ")&amp;IF(LEN(IF(ISNUMBER(INDEX('Aides'!$H$4:$H$503,423)),TEXT(INDEX('Aides'!$H$4:$H$503,423),"yyyy-mm-dd"),""))=0,"","24-month cut-off: "&amp;IF(ISNUMBER(INDEX('Aides'!$H$4:$H$503,423)),TEXT(INDEX('Aides'!$H$4:$H$503,423),"yyyy-mm-dd"),"")&amp;". ")&amp;IF(LEN(IF(LEN(INDEX('Aides'!$U$4:$U$503,423))=0,"",INDEX('Aides'!$U$4:$U$503,423)))=0,"","Owner: "&amp;IF(LEN(INDEX('Aides'!$U$4:$U$503,423))=0,"",INDEX('Aides'!$U$4:$U$503,423))&amp;". ")&amp;IF(LEN(IF(LEN(INDEX('Aides'!$X$4:$X$503,423))=0,"",INDEX('Aides'!$X$4:$X$503,423)))=0,"",IF(LEN(INDEX('Aides'!$X$4:$X$503,423))=0,"",INDEX('Aides'!$X$4:$X$503,423))))</f>
        <v/>
      </c>
      <c r="I426">
        <f>IF(LEN(INDEX('Aides'!$W$4:$W$503,423))=0,"",INDEX('Aides'!$W$4:$W$503,423))</f>
        <v/>
      </c>
      <c r="J426">
        <f>IF(LEN(INDEX('Aides'!$V$4:$V$503,423))=0,"",INDEX('Aides'!$V$4:$V$503,423))</f>
        <v/>
      </c>
    </row>
    <row r="427">
      <c r="A427">
        <f>IF(AND(LEN('Aides'!A427)&gt;0,ISNUMBER('Aides'!I427)),1,0)</f>
        <v/>
      </c>
      <c r="B427">
        <f>B426+A427</f>
        <v/>
      </c>
      <c r="C427">
        <f>IF(424&gt;$B$1503,"",MATCH(424-0.5,$B$3:$B$1503,1))</f>
        <v/>
      </c>
      <c r="D427">
        <f>"CNA certification ("&amp;IF(LEN(INDEX('Aides'!$C$4:$C$503,424))=0,"",INDEX('Aides'!$C$4:$C$503,424))&amp;") – "&amp;IF(LEN(INDEX('Aides'!$A$4:$A$503,424))=0,"",INDEX('Aides'!$A$4:$A$503,424))</f>
        <v/>
      </c>
      <c r="E427">
        <f>IF(ISNUMBER(INDEX('Aides'!$I$4:$I$503,424)),TEXT(INDEX('Aides'!$I$4:$I$503,424),"yyyy-mm-dd"),"")</f>
        <v/>
      </c>
      <c r="F427">
        <f>"Certification"</f>
        <v/>
      </c>
      <c r="G427">
        <f>"High"</f>
        <v/>
      </c>
      <c r="H427">
        <f>TRIM(IF(LEN(IF(LEN(INDEX('Aides'!$D$4:$D$503,424))=0,"",INDEX('Aides'!$D$4:$D$503,424)))=0,"","Registry no.: "&amp;IF(LEN(INDEX('Aides'!$D$4:$D$503,424))=0,"",INDEX('Aides'!$D$4:$D$503,424))&amp;". ")&amp;IF(LEN(IF(ISNUMBER(INDEX('Aides'!$F$4:$F$503,424)),TEXT(INDEX('Aides'!$F$4:$F$503,424),"yyyy-mm-dd"),""))=0,"","Registry expiry: "&amp;IF(ISNUMBER(INDEX('Aides'!$F$4:$F$503,424)),TEXT(INDEX('Aides'!$F$4:$F$503,424),"yyyy-mm-dd"),"")&amp;". ")&amp;IF(LEN(IF(ISNUMBER(INDEX('Aides'!$G$4:$G$503,424)),TEXT(INDEX('Aides'!$G$4:$G$503,424),"yyyy-mm-dd"),""))=0,"","Last paid nursing work: "&amp;IF(ISNUMBER(INDEX('Aides'!$G$4:$G$503,424)),TEXT(INDEX('Aides'!$G$4:$G$503,424),"yyyy-mm-dd"),"")&amp;". ")&amp;IF(LEN(IF(ISNUMBER(INDEX('Aides'!$H$4:$H$503,424)),TEXT(INDEX('Aides'!$H$4:$H$503,424),"yyyy-mm-dd"),""))=0,"","24-month cut-off: "&amp;IF(ISNUMBER(INDEX('Aides'!$H$4:$H$503,424)),TEXT(INDEX('Aides'!$H$4:$H$503,424),"yyyy-mm-dd"),"")&amp;". ")&amp;IF(LEN(IF(LEN(INDEX('Aides'!$U$4:$U$503,424))=0,"",INDEX('Aides'!$U$4:$U$503,424)))=0,"","Owner: "&amp;IF(LEN(INDEX('Aides'!$U$4:$U$503,424))=0,"",INDEX('Aides'!$U$4:$U$503,424))&amp;". ")&amp;IF(LEN(IF(LEN(INDEX('Aides'!$X$4:$X$503,424))=0,"",INDEX('Aides'!$X$4:$X$503,424)))=0,"",IF(LEN(INDEX('Aides'!$X$4:$X$503,424))=0,"",INDEX('Aides'!$X$4:$X$503,424))))</f>
        <v/>
      </c>
      <c r="I427">
        <f>IF(LEN(INDEX('Aides'!$W$4:$W$503,424))=0,"",INDEX('Aides'!$W$4:$W$503,424))</f>
        <v/>
      </c>
      <c r="J427">
        <f>IF(LEN(INDEX('Aides'!$V$4:$V$503,424))=0,"",INDEX('Aides'!$V$4:$V$503,424))</f>
        <v/>
      </c>
    </row>
    <row r="428">
      <c r="A428">
        <f>IF(AND(LEN('Aides'!A428)&gt;0,ISNUMBER('Aides'!I428)),1,0)</f>
        <v/>
      </c>
      <c r="B428">
        <f>B427+A428</f>
        <v/>
      </c>
      <c r="C428">
        <f>IF(425&gt;$B$1503,"",MATCH(425-0.5,$B$3:$B$1503,1))</f>
        <v/>
      </c>
      <c r="D428">
        <f>"CNA certification ("&amp;IF(LEN(INDEX('Aides'!$C$4:$C$503,425))=0,"",INDEX('Aides'!$C$4:$C$503,425))&amp;") – "&amp;IF(LEN(INDEX('Aides'!$A$4:$A$503,425))=0,"",INDEX('Aides'!$A$4:$A$503,425))</f>
        <v/>
      </c>
      <c r="E428">
        <f>IF(ISNUMBER(INDEX('Aides'!$I$4:$I$503,425)),TEXT(INDEX('Aides'!$I$4:$I$503,425),"yyyy-mm-dd"),"")</f>
        <v/>
      </c>
      <c r="F428">
        <f>"Certification"</f>
        <v/>
      </c>
      <c r="G428">
        <f>"High"</f>
        <v/>
      </c>
      <c r="H428">
        <f>TRIM(IF(LEN(IF(LEN(INDEX('Aides'!$D$4:$D$503,425))=0,"",INDEX('Aides'!$D$4:$D$503,425)))=0,"","Registry no.: "&amp;IF(LEN(INDEX('Aides'!$D$4:$D$503,425))=0,"",INDEX('Aides'!$D$4:$D$503,425))&amp;". ")&amp;IF(LEN(IF(ISNUMBER(INDEX('Aides'!$F$4:$F$503,425)),TEXT(INDEX('Aides'!$F$4:$F$503,425),"yyyy-mm-dd"),""))=0,"","Registry expiry: "&amp;IF(ISNUMBER(INDEX('Aides'!$F$4:$F$503,425)),TEXT(INDEX('Aides'!$F$4:$F$503,425),"yyyy-mm-dd"),"")&amp;". ")&amp;IF(LEN(IF(ISNUMBER(INDEX('Aides'!$G$4:$G$503,425)),TEXT(INDEX('Aides'!$G$4:$G$503,425),"yyyy-mm-dd"),""))=0,"","Last paid nursing work: "&amp;IF(ISNUMBER(INDEX('Aides'!$G$4:$G$503,425)),TEXT(INDEX('Aides'!$G$4:$G$503,425),"yyyy-mm-dd"),"")&amp;". ")&amp;IF(LEN(IF(ISNUMBER(INDEX('Aides'!$H$4:$H$503,425)),TEXT(INDEX('Aides'!$H$4:$H$503,425),"yyyy-mm-dd"),""))=0,"","24-month cut-off: "&amp;IF(ISNUMBER(INDEX('Aides'!$H$4:$H$503,425)),TEXT(INDEX('Aides'!$H$4:$H$503,425),"yyyy-mm-dd"),"")&amp;". ")&amp;IF(LEN(IF(LEN(INDEX('Aides'!$U$4:$U$503,425))=0,"",INDEX('Aides'!$U$4:$U$503,425)))=0,"","Owner: "&amp;IF(LEN(INDEX('Aides'!$U$4:$U$503,425))=0,"",INDEX('Aides'!$U$4:$U$503,425))&amp;". ")&amp;IF(LEN(IF(LEN(INDEX('Aides'!$X$4:$X$503,425))=0,"",INDEX('Aides'!$X$4:$X$503,425)))=0,"",IF(LEN(INDEX('Aides'!$X$4:$X$503,425))=0,"",INDEX('Aides'!$X$4:$X$503,425))))</f>
        <v/>
      </c>
      <c r="I428">
        <f>IF(LEN(INDEX('Aides'!$W$4:$W$503,425))=0,"",INDEX('Aides'!$W$4:$W$503,425))</f>
        <v/>
      </c>
      <c r="J428">
        <f>IF(LEN(INDEX('Aides'!$V$4:$V$503,425))=0,"",INDEX('Aides'!$V$4:$V$503,425))</f>
        <v/>
      </c>
    </row>
    <row r="429">
      <c r="A429">
        <f>IF(AND(LEN('Aides'!A429)&gt;0,ISNUMBER('Aides'!I429)),1,0)</f>
        <v/>
      </c>
      <c r="B429">
        <f>B428+A429</f>
        <v/>
      </c>
      <c r="C429">
        <f>IF(426&gt;$B$1503,"",MATCH(426-0.5,$B$3:$B$1503,1))</f>
        <v/>
      </c>
      <c r="D429">
        <f>"CNA certification ("&amp;IF(LEN(INDEX('Aides'!$C$4:$C$503,426))=0,"",INDEX('Aides'!$C$4:$C$503,426))&amp;") – "&amp;IF(LEN(INDEX('Aides'!$A$4:$A$503,426))=0,"",INDEX('Aides'!$A$4:$A$503,426))</f>
        <v/>
      </c>
      <c r="E429">
        <f>IF(ISNUMBER(INDEX('Aides'!$I$4:$I$503,426)),TEXT(INDEX('Aides'!$I$4:$I$503,426),"yyyy-mm-dd"),"")</f>
        <v/>
      </c>
      <c r="F429">
        <f>"Certification"</f>
        <v/>
      </c>
      <c r="G429">
        <f>"High"</f>
        <v/>
      </c>
      <c r="H429">
        <f>TRIM(IF(LEN(IF(LEN(INDEX('Aides'!$D$4:$D$503,426))=0,"",INDEX('Aides'!$D$4:$D$503,426)))=0,"","Registry no.: "&amp;IF(LEN(INDEX('Aides'!$D$4:$D$503,426))=0,"",INDEX('Aides'!$D$4:$D$503,426))&amp;". ")&amp;IF(LEN(IF(ISNUMBER(INDEX('Aides'!$F$4:$F$503,426)),TEXT(INDEX('Aides'!$F$4:$F$503,426),"yyyy-mm-dd"),""))=0,"","Registry expiry: "&amp;IF(ISNUMBER(INDEX('Aides'!$F$4:$F$503,426)),TEXT(INDEX('Aides'!$F$4:$F$503,426),"yyyy-mm-dd"),"")&amp;". ")&amp;IF(LEN(IF(ISNUMBER(INDEX('Aides'!$G$4:$G$503,426)),TEXT(INDEX('Aides'!$G$4:$G$503,426),"yyyy-mm-dd"),""))=0,"","Last paid nursing work: "&amp;IF(ISNUMBER(INDEX('Aides'!$G$4:$G$503,426)),TEXT(INDEX('Aides'!$G$4:$G$503,426),"yyyy-mm-dd"),"")&amp;". ")&amp;IF(LEN(IF(ISNUMBER(INDEX('Aides'!$H$4:$H$503,426)),TEXT(INDEX('Aides'!$H$4:$H$503,426),"yyyy-mm-dd"),""))=0,"","24-month cut-off: "&amp;IF(ISNUMBER(INDEX('Aides'!$H$4:$H$503,426)),TEXT(INDEX('Aides'!$H$4:$H$503,426),"yyyy-mm-dd"),"")&amp;". ")&amp;IF(LEN(IF(LEN(INDEX('Aides'!$U$4:$U$503,426))=0,"",INDEX('Aides'!$U$4:$U$503,426)))=0,"","Owner: "&amp;IF(LEN(INDEX('Aides'!$U$4:$U$503,426))=0,"",INDEX('Aides'!$U$4:$U$503,426))&amp;". ")&amp;IF(LEN(IF(LEN(INDEX('Aides'!$X$4:$X$503,426))=0,"",INDEX('Aides'!$X$4:$X$503,426)))=0,"",IF(LEN(INDEX('Aides'!$X$4:$X$503,426))=0,"",INDEX('Aides'!$X$4:$X$503,426))))</f>
        <v/>
      </c>
      <c r="I429">
        <f>IF(LEN(INDEX('Aides'!$W$4:$W$503,426))=0,"",INDEX('Aides'!$W$4:$W$503,426))</f>
        <v/>
      </c>
      <c r="J429">
        <f>IF(LEN(INDEX('Aides'!$V$4:$V$503,426))=0,"",INDEX('Aides'!$V$4:$V$503,426))</f>
        <v/>
      </c>
    </row>
    <row r="430">
      <c r="A430">
        <f>IF(AND(LEN('Aides'!A430)&gt;0,ISNUMBER('Aides'!I430)),1,0)</f>
        <v/>
      </c>
      <c r="B430">
        <f>B429+A430</f>
        <v/>
      </c>
      <c r="C430">
        <f>IF(427&gt;$B$1503,"",MATCH(427-0.5,$B$3:$B$1503,1))</f>
        <v/>
      </c>
      <c r="D430">
        <f>"CNA certification ("&amp;IF(LEN(INDEX('Aides'!$C$4:$C$503,427))=0,"",INDEX('Aides'!$C$4:$C$503,427))&amp;") – "&amp;IF(LEN(INDEX('Aides'!$A$4:$A$503,427))=0,"",INDEX('Aides'!$A$4:$A$503,427))</f>
        <v/>
      </c>
      <c r="E430">
        <f>IF(ISNUMBER(INDEX('Aides'!$I$4:$I$503,427)),TEXT(INDEX('Aides'!$I$4:$I$503,427),"yyyy-mm-dd"),"")</f>
        <v/>
      </c>
      <c r="F430">
        <f>"Certification"</f>
        <v/>
      </c>
      <c r="G430">
        <f>"High"</f>
        <v/>
      </c>
      <c r="H430">
        <f>TRIM(IF(LEN(IF(LEN(INDEX('Aides'!$D$4:$D$503,427))=0,"",INDEX('Aides'!$D$4:$D$503,427)))=0,"","Registry no.: "&amp;IF(LEN(INDEX('Aides'!$D$4:$D$503,427))=0,"",INDEX('Aides'!$D$4:$D$503,427))&amp;". ")&amp;IF(LEN(IF(ISNUMBER(INDEX('Aides'!$F$4:$F$503,427)),TEXT(INDEX('Aides'!$F$4:$F$503,427),"yyyy-mm-dd"),""))=0,"","Registry expiry: "&amp;IF(ISNUMBER(INDEX('Aides'!$F$4:$F$503,427)),TEXT(INDEX('Aides'!$F$4:$F$503,427),"yyyy-mm-dd"),"")&amp;". ")&amp;IF(LEN(IF(ISNUMBER(INDEX('Aides'!$G$4:$G$503,427)),TEXT(INDEX('Aides'!$G$4:$G$503,427),"yyyy-mm-dd"),""))=0,"","Last paid nursing work: "&amp;IF(ISNUMBER(INDEX('Aides'!$G$4:$G$503,427)),TEXT(INDEX('Aides'!$G$4:$G$503,427),"yyyy-mm-dd"),"")&amp;". ")&amp;IF(LEN(IF(ISNUMBER(INDEX('Aides'!$H$4:$H$503,427)),TEXT(INDEX('Aides'!$H$4:$H$503,427),"yyyy-mm-dd"),""))=0,"","24-month cut-off: "&amp;IF(ISNUMBER(INDEX('Aides'!$H$4:$H$503,427)),TEXT(INDEX('Aides'!$H$4:$H$503,427),"yyyy-mm-dd"),"")&amp;". ")&amp;IF(LEN(IF(LEN(INDEX('Aides'!$U$4:$U$503,427))=0,"",INDEX('Aides'!$U$4:$U$503,427)))=0,"","Owner: "&amp;IF(LEN(INDEX('Aides'!$U$4:$U$503,427))=0,"",INDEX('Aides'!$U$4:$U$503,427))&amp;". ")&amp;IF(LEN(IF(LEN(INDEX('Aides'!$X$4:$X$503,427))=0,"",INDEX('Aides'!$X$4:$X$503,427)))=0,"",IF(LEN(INDEX('Aides'!$X$4:$X$503,427))=0,"",INDEX('Aides'!$X$4:$X$503,427))))</f>
        <v/>
      </c>
      <c r="I430">
        <f>IF(LEN(INDEX('Aides'!$W$4:$W$503,427))=0,"",INDEX('Aides'!$W$4:$W$503,427))</f>
        <v/>
      </c>
      <c r="J430">
        <f>IF(LEN(INDEX('Aides'!$V$4:$V$503,427))=0,"",INDEX('Aides'!$V$4:$V$503,427))</f>
        <v/>
      </c>
    </row>
    <row r="431">
      <c r="A431">
        <f>IF(AND(LEN('Aides'!A431)&gt;0,ISNUMBER('Aides'!I431)),1,0)</f>
        <v/>
      </c>
      <c r="B431">
        <f>B430+A431</f>
        <v/>
      </c>
      <c r="C431">
        <f>IF(428&gt;$B$1503,"",MATCH(428-0.5,$B$3:$B$1503,1))</f>
        <v/>
      </c>
      <c r="D431">
        <f>"CNA certification ("&amp;IF(LEN(INDEX('Aides'!$C$4:$C$503,428))=0,"",INDEX('Aides'!$C$4:$C$503,428))&amp;") – "&amp;IF(LEN(INDEX('Aides'!$A$4:$A$503,428))=0,"",INDEX('Aides'!$A$4:$A$503,428))</f>
        <v/>
      </c>
      <c r="E431">
        <f>IF(ISNUMBER(INDEX('Aides'!$I$4:$I$503,428)),TEXT(INDEX('Aides'!$I$4:$I$503,428),"yyyy-mm-dd"),"")</f>
        <v/>
      </c>
      <c r="F431">
        <f>"Certification"</f>
        <v/>
      </c>
      <c r="G431">
        <f>"High"</f>
        <v/>
      </c>
      <c r="H431">
        <f>TRIM(IF(LEN(IF(LEN(INDEX('Aides'!$D$4:$D$503,428))=0,"",INDEX('Aides'!$D$4:$D$503,428)))=0,"","Registry no.: "&amp;IF(LEN(INDEX('Aides'!$D$4:$D$503,428))=0,"",INDEX('Aides'!$D$4:$D$503,428))&amp;". ")&amp;IF(LEN(IF(ISNUMBER(INDEX('Aides'!$F$4:$F$503,428)),TEXT(INDEX('Aides'!$F$4:$F$503,428),"yyyy-mm-dd"),""))=0,"","Registry expiry: "&amp;IF(ISNUMBER(INDEX('Aides'!$F$4:$F$503,428)),TEXT(INDEX('Aides'!$F$4:$F$503,428),"yyyy-mm-dd"),"")&amp;". ")&amp;IF(LEN(IF(ISNUMBER(INDEX('Aides'!$G$4:$G$503,428)),TEXT(INDEX('Aides'!$G$4:$G$503,428),"yyyy-mm-dd"),""))=0,"","Last paid nursing work: "&amp;IF(ISNUMBER(INDEX('Aides'!$G$4:$G$503,428)),TEXT(INDEX('Aides'!$G$4:$G$503,428),"yyyy-mm-dd"),"")&amp;". ")&amp;IF(LEN(IF(ISNUMBER(INDEX('Aides'!$H$4:$H$503,428)),TEXT(INDEX('Aides'!$H$4:$H$503,428),"yyyy-mm-dd"),""))=0,"","24-month cut-off: "&amp;IF(ISNUMBER(INDEX('Aides'!$H$4:$H$503,428)),TEXT(INDEX('Aides'!$H$4:$H$503,428),"yyyy-mm-dd"),"")&amp;". ")&amp;IF(LEN(IF(LEN(INDEX('Aides'!$U$4:$U$503,428))=0,"",INDEX('Aides'!$U$4:$U$503,428)))=0,"","Owner: "&amp;IF(LEN(INDEX('Aides'!$U$4:$U$503,428))=0,"",INDEX('Aides'!$U$4:$U$503,428))&amp;". ")&amp;IF(LEN(IF(LEN(INDEX('Aides'!$X$4:$X$503,428))=0,"",INDEX('Aides'!$X$4:$X$503,428)))=0,"",IF(LEN(INDEX('Aides'!$X$4:$X$503,428))=0,"",INDEX('Aides'!$X$4:$X$503,428))))</f>
        <v/>
      </c>
      <c r="I431">
        <f>IF(LEN(INDEX('Aides'!$W$4:$W$503,428))=0,"",INDEX('Aides'!$W$4:$W$503,428))</f>
        <v/>
      </c>
      <c r="J431">
        <f>IF(LEN(INDEX('Aides'!$V$4:$V$503,428))=0,"",INDEX('Aides'!$V$4:$V$503,428))</f>
        <v/>
      </c>
    </row>
    <row r="432">
      <c r="A432">
        <f>IF(AND(LEN('Aides'!A432)&gt;0,ISNUMBER('Aides'!I432)),1,0)</f>
        <v/>
      </c>
      <c r="B432">
        <f>B431+A432</f>
        <v/>
      </c>
      <c r="C432">
        <f>IF(429&gt;$B$1503,"",MATCH(429-0.5,$B$3:$B$1503,1))</f>
        <v/>
      </c>
      <c r="D432">
        <f>"CNA certification ("&amp;IF(LEN(INDEX('Aides'!$C$4:$C$503,429))=0,"",INDEX('Aides'!$C$4:$C$503,429))&amp;") – "&amp;IF(LEN(INDEX('Aides'!$A$4:$A$503,429))=0,"",INDEX('Aides'!$A$4:$A$503,429))</f>
        <v/>
      </c>
      <c r="E432">
        <f>IF(ISNUMBER(INDEX('Aides'!$I$4:$I$503,429)),TEXT(INDEX('Aides'!$I$4:$I$503,429),"yyyy-mm-dd"),"")</f>
        <v/>
      </c>
      <c r="F432">
        <f>"Certification"</f>
        <v/>
      </c>
      <c r="G432">
        <f>"High"</f>
        <v/>
      </c>
      <c r="H432">
        <f>TRIM(IF(LEN(IF(LEN(INDEX('Aides'!$D$4:$D$503,429))=0,"",INDEX('Aides'!$D$4:$D$503,429)))=0,"","Registry no.: "&amp;IF(LEN(INDEX('Aides'!$D$4:$D$503,429))=0,"",INDEX('Aides'!$D$4:$D$503,429))&amp;". ")&amp;IF(LEN(IF(ISNUMBER(INDEX('Aides'!$F$4:$F$503,429)),TEXT(INDEX('Aides'!$F$4:$F$503,429),"yyyy-mm-dd"),""))=0,"","Registry expiry: "&amp;IF(ISNUMBER(INDEX('Aides'!$F$4:$F$503,429)),TEXT(INDEX('Aides'!$F$4:$F$503,429),"yyyy-mm-dd"),"")&amp;". ")&amp;IF(LEN(IF(ISNUMBER(INDEX('Aides'!$G$4:$G$503,429)),TEXT(INDEX('Aides'!$G$4:$G$503,429),"yyyy-mm-dd"),""))=0,"","Last paid nursing work: "&amp;IF(ISNUMBER(INDEX('Aides'!$G$4:$G$503,429)),TEXT(INDEX('Aides'!$G$4:$G$503,429),"yyyy-mm-dd"),"")&amp;". ")&amp;IF(LEN(IF(ISNUMBER(INDEX('Aides'!$H$4:$H$503,429)),TEXT(INDEX('Aides'!$H$4:$H$503,429),"yyyy-mm-dd"),""))=0,"","24-month cut-off: "&amp;IF(ISNUMBER(INDEX('Aides'!$H$4:$H$503,429)),TEXT(INDEX('Aides'!$H$4:$H$503,429),"yyyy-mm-dd"),"")&amp;". ")&amp;IF(LEN(IF(LEN(INDEX('Aides'!$U$4:$U$503,429))=0,"",INDEX('Aides'!$U$4:$U$503,429)))=0,"","Owner: "&amp;IF(LEN(INDEX('Aides'!$U$4:$U$503,429))=0,"",INDEX('Aides'!$U$4:$U$503,429))&amp;". ")&amp;IF(LEN(IF(LEN(INDEX('Aides'!$X$4:$X$503,429))=0,"",INDEX('Aides'!$X$4:$X$503,429)))=0,"",IF(LEN(INDEX('Aides'!$X$4:$X$503,429))=0,"",INDEX('Aides'!$X$4:$X$503,429))))</f>
        <v/>
      </c>
      <c r="I432">
        <f>IF(LEN(INDEX('Aides'!$W$4:$W$503,429))=0,"",INDEX('Aides'!$W$4:$W$503,429))</f>
        <v/>
      </c>
      <c r="J432">
        <f>IF(LEN(INDEX('Aides'!$V$4:$V$503,429))=0,"",INDEX('Aides'!$V$4:$V$503,429))</f>
        <v/>
      </c>
    </row>
    <row r="433">
      <c r="A433">
        <f>IF(AND(LEN('Aides'!A433)&gt;0,ISNUMBER('Aides'!I433)),1,0)</f>
        <v/>
      </c>
      <c r="B433">
        <f>B432+A433</f>
        <v/>
      </c>
      <c r="C433">
        <f>IF(430&gt;$B$1503,"",MATCH(430-0.5,$B$3:$B$1503,1))</f>
        <v/>
      </c>
      <c r="D433">
        <f>"CNA certification ("&amp;IF(LEN(INDEX('Aides'!$C$4:$C$503,430))=0,"",INDEX('Aides'!$C$4:$C$503,430))&amp;") – "&amp;IF(LEN(INDEX('Aides'!$A$4:$A$503,430))=0,"",INDEX('Aides'!$A$4:$A$503,430))</f>
        <v/>
      </c>
      <c r="E433">
        <f>IF(ISNUMBER(INDEX('Aides'!$I$4:$I$503,430)),TEXT(INDEX('Aides'!$I$4:$I$503,430),"yyyy-mm-dd"),"")</f>
        <v/>
      </c>
      <c r="F433">
        <f>"Certification"</f>
        <v/>
      </c>
      <c r="G433">
        <f>"High"</f>
        <v/>
      </c>
      <c r="H433">
        <f>TRIM(IF(LEN(IF(LEN(INDEX('Aides'!$D$4:$D$503,430))=0,"",INDEX('Aides'!$D$4:$D$503,430)))=0,"","Registry no.: "&amp;IF(LEN(INDEX('Aides'!$D$4:$D$503,430))=0,"",INDEX('Aides'!$D$4:$D$503,430))&amp;". ")&amp;IF(LEN(IF(ISNUMBER(INDEX('Aides'!$F$4:$F$503,430)),TEXT(INDEX('Aides'!$F$4:$F$503,430),"yyyy-mm-dd"),""))=0,"","Registry expiry: "&amp;IF(ISNUMBER(INDEX('Aides'!$F$4:$F$503,430)),TEXT(INDEX('Aides'!$F$4:$F$503,430),"yyyy-mm-dd"),"")&amp;". ")&amp;IF(LEN(IF(ISNUMBER(INDEX('Aides'!$G$4:$G$503,430)),TEXT(INDEX('Aides'!$G$4:$G$503,430),"yyyy-mm-dd"),""))=0,"","Last paid nursing work: "&amp;IF(ISNUMBER(INDEX('Aides'!$G$4:$G$503,430)),TEXT(INDEX('Aides'!$G$4:$G$503,430),"yyyy-mm-dd"),"")&amp;". ")&amp;IF(LEN(IF(ISNUMBER(INDEX('Aides'!$H$4:$H$503,430)),TEXT(INDEX('Aides'!$H$4:$H$503,430),"yyyy-mm-dd"),""))=0,"","24-month cut-off: "&amp;IF(ISNUMBER(INDEX('Aides'!$H$4:$H$503,430)),TEXT(INDEX('Aides'!$H$4:$H$503,430),"yyyy-mm-dd"),"")&amp;". ")&amp;IF(LEN(IF(LEN(INDEX('Aides'!$U$4:$U$503,430))=0,"",INDEX('Aides'!$U$4:$U$503,430)))=0,"","Owner: "&amp;IF(LEN(INDEX('Aides'!$U$4:$U$503,430))=0,"",INDEX('Aides'!$U$4:$U$503,430))&amp;". ")&amp;IF(LEN(IF(LEN(INDEX('Aides'!$X$4:$X$503,430))=0,"",INDEX('Aides'!$X$4:$X$503,430)))=0,"",IF(LEN(INDEX('Aides'!$X$4:$X$503,430))=0,"",INDEX('Aides'!$X$4:$X$503,430))))</f>
        <v/>
      </c>
      <c r="I433">
        <f>IF(LEN(INDEX('Aides'!$W$4:$W$503,430))=0,"",INDEX('Aides'!$W$4:$W$503,430))</f>
        <v/>
      </c>
      <c r="J433">
        <f>IF(LEN(INDEX('Aides'!$V$4:$V$503,430))=0,"",INDEX('Aides'!$V$4:$V$503,430))</f>
        <v/>
      </c>
    </row>
    <row r="434">
      <c r="A434">
        <f>IF(AND(LEN('Aides'!A434)&gt;0,ISNUMBER('Aides'!I434)),1,0)</f>
        <v/>
      </c>
      <c r="B434">
        <f>B433+A434</f>
        <v/>
      </c>
      <c r="C434">
        <f>IF(431&gt;$B$1503,"",MATCH(431-0.5,$B$3:$B$1503,1))</f>
        <v/>
      </c>
      <c r="D434">
        <f>"CNA certification ("&amp;IF(LEN(INDEX('Aides'!$C$4:$C$503,431))=0,"",INDEX('Aides'!$C$4:$C$503,431))&amp;") – "&amp;IF(LEN(INDEX('Aides'!$A$4:$A$503,431))=0,"",INDEX('Aides'!$A$4:$A$503,431))</f>
        <v/>
      </c>
      <c r="E434">
        <f>IF(ISNUMBER(INDEX('Aides'!$I$4:$I$503,431)),TEXT(INDEX('Aides'!$I$4:$I$503,431),"yyyy-mm-dd"),"")</f>
        <v/>
      </c>
      <c r="F434">
        <f>"Certification"</f>
        <v/>
      </c>
      <c r="G434">
        <f>"High"</f>
        <v/>
      </c>
      <c r="H434">
        <f>TRIM(IF(LEN(IF(LEN(INDEX('Aides'!$D$4:$D$503,431))=0,"",INDEX('Aides'!$D$4:$D$503,431)))=0,"","Registry no.: "&amp;IF(LEN(INDEX('Aides'!$D$4:$D$503,431))=0,"",INDEX('Aides'!$D$4:$D$503,431))&amp;". ")&amp;IF(LEN(IF(ISNUMBER(INDEX('Aides'!$F$4:$F$503,431)),TEXT(INDEX('Aides'!$F$4:$F$503,431),"yyyy-mm-dd"),""))=0,"","Registry expiry: "&amp;IF(ISNUMBER(INDEX('Aides'!$F$4:$F$503,431)),TEXT(INDEX('Aides'!$F$4:$F$503,431),"yyyy-mm-dd"),"")&amp;". ")&amp;IF(LEN(IF(ISNUMBER(INDEX('Aides'!$G$4:$G$503,431)),TEXT(INDEX('Aides'!$G$4:$G$503,431),"yyyy-mm-dd"),""))=0,"","Last paid nursing work: "&amp;IF(ISNUMBER(INDEX('Aides'!$G$4:$G$503,431)),TEXT(INDEX('Aides'!$G$4:$G$503,431),"yyyy-mm-dd"),"")&amp;". ")&amp;IF(LEN(IF(ISNUMBER(INDEX('Aides'!$H$4:$H$503,431)),TEXT(INDEX('Aides'!$H$4:$H$503,431),"yyyy-mm-dd"),""))=0,"","24-month cut-off: "&amp;IF(ISNUMBER(INDEX('Aides'!$H$4:$H$503,431)),TEXT(INDEX('Aides'!$H$4:$H$503,431),"yyyy-mm-dd"),"")&amp;". ")&amp;IF(LEN(IF(LEN(INDEX('Aides'!$U$4:$U$503,431))=0,"",INDEX('Aides'!$U$4:$U$503,431)))=0,"","Owner: "&amp;IF(LEN(INDEX('Aides'!$U$4:$U$503,431))=0,"",INDEX('Aides'!$U$4:$U$503,431))&amp;". ")&amp;IF(LEN(IF(LEN(INDEX('Aides'!$X$4:$X$503,431))=0,"",INDEX('Aides'!$X$4:$X$503,431)))=0,"",IF(LEN(INDEX('Aides'!$X$4:$X$503,431))=0,"",INDEX('Aides'!$X$4:$X$503,431))))</f>
        <v/>
      </c>
      <c r="I434">
        <f>IF(LEN(INDEX('Aides'!$W$4:$W$503,431))=0,"",INDEX('Aides'!$W$4:$W$503,431))</f>
        <v/>
      </c>
      <c r="J434">
        <f>IF(LEN(INDEX('Aides'!$V$4:$V$503,431))=0,"",INDEX('Aides'!$V$4:$V$503,431))</f>
        <v/>
      </c>
    </row>
    <row r="435">
      <c r="A435">
        <f>IF(AND(LEN('Aides'!A435)&gt;0,ISNUMBER('Aides'!I435)),1,0)</f>
        <v/>
      </c>
      <c r="B435">
        <f>B434+A435</f>
        <v/>
      </c>
      <c r="C435">
        <f>IF(432&gt;$B$1503,"",MATCH(432-0.5,$B$3:$B$1503,1))</f>
        <v/>
      </c>
      <c r="D435">
        <f>"CNA certification ("&amp;IF(LEN(INDEX('Aides'!$C$4:$C$503,432))=0,"",INDEX('Aides'!$C$4:$C$503,432))&amp;") – "&amp;IF(LEN(INDEX('Aides'!$A$4:$A$503,432))=0,"",INDEX('Aides'!$A$4:$A$503,432))</f>
        <v/>
      </c>
      <c r="E435">
        <f>IF(ISNUMBER(INDEX('Aides'!$I$4:$I$503,432)),TEXT(INDEX('Aides'!$I$4:$I$503,432),"yyyy-mm-dd"),"")</f>
        <v/>
      </c>
      <c r="F435">
        <f>"Certification"</f>
        <v/>
      </c>
      <c r="G435">
        <f>"High"</f>
        <v/>
      </c>
      <c r="H435">
        <f>TRIM(IF(LEN(IF(LEN(INDEX('Aides'!$D$4:$D$503,432))=0,"",INDEX('Aides'!$D$4:$D$503,432)))=0,"","Registry no.: "&amp;IF(LEN(INDEX('Aides'!$D$4:$D$503,432))=0,"",INDEX('Aides'!$D$4:$D$503,432))&amp;". ")&amp;IF(LEN(IF(ISNUMBER(INDEX('Aides'!$F$4:$F$503,432)),TEXT(INDEX('Aides'!$F$4:$F$503,432),"yyyy-mm-dd"),""))=0,"","Registry expiry: "&amp;IF(ISNUMBER(INDEX('Aides'!$F$4:$F$503,432)),TEXT(INDEX('Aides'!$F$4:$F$503,432),"yyyy-mm-dd"),"")&amp;". ")&amp;IF(LEN(IF(ISNUMBER(INDEX('Aides'!$G$4:$G$503,432)),TEXT(INDEX('Aides'!$G$4:$G$503,432),"yyyy-mm-dd"),""))=0,"","Last paid nursing work: "&amp;IF(ISNUMBER(INDEX('Aides'!$G$4:$G$503,432)),TEXT(INDEX('Aides'!$G$4:$G$503,432),"yyyy-mm-dd"),"")&amp;". ")&amp;IF(LEN(IF(ISNUMBER(INDEX('Aides'!$H$4:$H$503,432)),TEXT(INDEX('Aides'!$H$4:$H$503,432),"yyyy-mm-dd"),""))=0,"","24-month cut-off: "&amp;IF(ISNUMBER(INDEX('Aides'!$H$4:$H$503,432)),TEXT(INDEX('Aides'!$H$4:$H$503,432),"yyyy-mm-dd"),"")&amp;". ")&amp;IF(LEN(IF(LEN(INDEX('Aides'!$U$4:$U$503,432))=0,"",INDEX('Aides'!$U$4:$U$503,432)))=0,"","Owner: "&amp;IF(LEN(INDEX('Aides'!$U$4:$U$503,432))=0,"",INDEX('Aides'!$U$4:$U$503,432))&amp;". ")&amp;IF(LEN(IF(LEN(INDEX('Aides'!$X$4:$X$503,432))=0,"",INDEX('Aides'!$X$4:$X$503,432)))=0,"",IF(LEN(INDEX('Aides'!$X$4:$X$503,432))=0,"",INDEX('Aides'!$X$4:$X$503,432))))</f>
        <v/>
      </c>
      <c r="I435">
        <f>IF(LEN(INDEX('Aides'!$W$4:$W$503,432))=0,"",INDEX('Aides'!$W$4:$W$503,432))</f>
        <v/>
      </c>
      <c r="J435">
        <f>IF(LEN(INDEX('Aides'!$V$4:$V$503,432))=0,"",INDEX('Aides'!$V$4:$V$503,432))</f>
        <v/>
      </c>
    </row>
    <row r="436">
      <c r="A436">
        <f>IF(AND(LEN('Aides'!A436)&gt;0,ISNUMBER('Aides'!I436)),1,0)</f>
        <v/>
      </c>
      <c r="B436">
        <f>B435+A436</f>
        <v/>
      </c>
      <c r="C436">
        <f>IF(433&gt;$B$1503,"",MATCH(433-0.5,$B$3:$B$1503,1))</f>
        <v/>
      </c>
      <c r="D436">
        <f>"CNA certification ("&amp;IF(LEN(INDEX('Aides'!$C$4:$C$503,433))=0,"",INDEX('Aides'!$C$4:$C$503,433))&amp;") – "&amp;IF(LEN(INDEX('Aides'!$A$4:$A$503,433))=0,"",INDEX('Aides'!$A$4:$A$503,433))</f>
        <v/>
      </c>
      <c r="E436">
        <f>IF(ISNUMBER(INDEX('Aides'!$I$4:$I$503,433)),TEXT(INDEX('Aides'!$I$4:$I$503,433),"yyyy-mm-dd"),"")</f>
        <v/>
      </c>
      <c r="F436">
        <f>"Certification"</f>
        <v/>
      </c>
      <c r="G436">
        <f>"High"</f>
        <v/>
      </c>
      <c r="H436">
        <f>TRIM(IF(LEN(IF(LEN(INDEX('Aides'!$D$4:$D$503,433))=0,"",INDEX('Aides'!$D$4:$D$503,433)))=0,"","Registry no.: "&amp;IF(LEN(INDEX('Aides'!$D$4:$D$503,433))=0,"",INDEX('Aides'!$D$4:$D$503,433))&amp;". ")&amp;IF(LEN(IF(ISNUMBER(INDEX('Aides'!$F$4:$F$503,433)),TEXT(INDEX('Aides'!$F$4:$F$503,433),"yyyy-mm-dd"),""))=0,"","Registry expiry: "&amp;IF(ISNUMBER(INDEX('Aides'!$F$4:$F$503,433)),TEXT(INDEX('Aides'!$F$4:$F$503,433),"yyyy-mm-dd"),"")&amp;". ")&amp;IF(LEN(IF(ISNUMBER(INDEX('Aides'!$G$4:$G$503,433)),TEXT(INDEX('Aides'!$G$4:$G$503,433),"yyyy-mm-dd"),""))=0,"","Last paid nursing work: "&amp;IF(ISNUMBER(INDEX('Aides'!$G$4:$G$503,433)),TEXT(INDEX('Aides'!$G$4:$G$503,433),"yyyy-mm-dd"),"")&amp;". ")&amp;IF(LEN(IF(ISNUMBER(INDEX('Aides'!$H$4:$H$503,433)),TEXT(INDEX('Aides'!$H$4:$H$503,433),"yyyy-mm-dd"),""))=0,"","24-month cut-off: "&amp;IF(ISNUMBER(INDEX('Aides'!$H$4:$H$503,433)),TEXT(INDEX('Aides'!$H$4:$H$503,433),"yyyy-mm-dd"),"")&amp;". ")&amp;IF(LEN(IF(LEN(INDEX('Aides'!$U$4:$U$503,433))=0,"",INDEX('Aides'!$U$4:$U$503,433)))=0,"","Owner: "&amp;IF(LEN(INDEX('Aides'!$U$4:$U$503,433))=0,"",INDEX('Aides'!$U$4:$U$503,433))&amp;". ")&amp;IF(LEN(IF(LEN(INDEX('Aides'!$X$4:$X$503,433))=0,"",INDEX('Aides'!$X$4:$X$503,433)))=0,"",IF(LEN(INDEX('Aides'!$X$4:$X$503,433))=0,"",INDEX('Aides'!$X$4:$X$503,433))))</f>
        <v/>
      </c>
      <c r="I436">
        <f>IF(LEN(INDEX('Aides'!$W$4:$W$503,433))=0,"",INDEX('Aides'!$W$4:$W$503,433))</f>
        <v/>
      </c>
      <c r="J436">
        <f>IF(LEN(INDEX('Aides'!$V$4:$V$503,433))=0,"",INDEX('Aides'!$V$4:$V$503,433))</f>
        <v/>
      </c>
    </row>
    <row r="437">
      <c r="A437">
        <f>IF(AND(LEN('Aides'!A437)&gt;0,ISNUMBER('Aides'!I437)),1,0)</f>
        <v/>
      </c>
      <c r="B437">
        <f>B436+A437</f>
        <v/>
      </c>
      <c r="C437">
        <f>IF(434&gt;$B$1503,"",MATCH(434-0.5,$B$3:$B$1503,1))</f>
        <v/>
      </c>
      <c r="D437">
        <f>"CNA certification ("&amp;IF(LEN(INDEX('Aides'!$C$4:$C$503,434))=0,"",INDEX('Aides'!$C$4:$C$503,434))&amp;") – "&amp;IF(LEN(INDEX('Aides'!$A$4:$A$503,434))=0,"",INDEX('Aides'!$A$4:$A$503,434))</f>
        <v/>
      </c>
      <c r="E437">
        <f>IF(ISNUMBER(INDEX('Aides'!$I$4:$I$503,434)),TEXT(INDEX('Aides'!$I$4:$I$503,434),"yyyy-mm-dd"),"")</f>
        <v/>
      </c>
      <c r="F437">
        <f>"Certification"</f>
        <v/>
      </c>
      <c r="G437">
        <f>"High"</f>
        <v/>
      </c>
      <c r="H437">
        <f>TRIM(IF(LEN(IF(LEN(INDEX('Aides'!$D$4:$D$503,434))=0,"",INDEX('Aides'!$D$4:$D$503,434)))=0,"","Registry no.: "&amp;IF(LEN(INDEX('Aides'!$D$4:$D$503,434))=0,"",INDEX('Aides'!$D$4:$D$503,434))&amp;". ")&amp;IF(LEN(IF(ISNUMBER(INDEX('Aides'!$F$4:$F$503,434)),TEXT(INDEX('Aides'!$F$4:$F$503,434),"yyyy-mm-dd"),""))=0,"","Registry expiry: "&amp;IF(ISNUMBER(INDEX('Aides'!$F$4:$F$503,434)),TEXT(INDEX('Aides'!$F$4:$F$503,434),"yyyy-mm-dd"),"")&amp;". ")&amp;IF(LEN(IF(ISNUMBER(INDEX('Aides'!$G$4:$G$503,434)),TEXT(INDEX('Aides'!$G$4:$G$503,434),"yyyy-mm-dd"),""))=0,"","Last paid nursing work: "&amp;IF(ISNUMBER(INDEX('Aides'!$G$4:$G$503,434)),TEXT(INDEX('Aides'!$G$4:$G$503,434),"yyyy-mm-dd"),"")&amp;". ")&amp;IF(LEN(IF(ISNUMBER(INDEX('Aides'!$H$4:$H$503,434)),TEXT(INDEX('Aides'!$H$4:$H$503,434),"yyyy-mm-dd"),""))=0,"","24-month cut-off: "&amp;IF(ISNUMBER(INDEX('Aides'!$H$4:$H$503,434)),TEXT(INDEX('Aides'!$H$4:$H$503,434),"yyyy-mm-dd"),"")&amp;". ")&amp;IF(LEN(IF(LEN(INDEX('Aides'!$U$4:$U$503,434))=0,"",INDEX('Aides'!$U$4:$U$503,434)))=0,"","Owner: "&amp;IF(LEN(INDEX('Aides'!$U$4:$U$503,434))=0,"",INDEX('Aides'!$U$4:$U$503,434))&amp;". ")&amp;IF(LEN(IF(LEN(INDEX('Aides'!$X$4:$X$503,434))=0,"",INDEX('Aides'!$X$4:$X$503,434)))=0,"",IF(LEN(INDEX('Aides'!$X$4:$X$503,434))=0,"",INDEX('Aides'!$X$4:$X$503,434))))</f>
        <v/>
      </c>
      <c r="I437">
        <f>IF(LEN(INDEX('Aides'!$W$4:$W$503,434))=0,"",INDEX('Aides'!$W$4:$W$503,434))</f>
        <v/>
      </c>
      <c r="J437">
        <f>IF(LEN(INDEX('Aides'!$V$4:$V$503,434))=0,"",INDEX('Aides'!$V$4:$V$503,434))</f>
        <v/>
      </c>
    </row>
    <row r="438">
      <c r="A438">
        <f>IF(AND(LEN('Aides'!A438)&gt;0,ISNUMBER('Aides'!I438)),1,0)</f>
        <v/>
      </c>
      <c r="B438">
        <f>B437+A438</f>
        <v/>
      </c>
      <c r="C438">
        <f>IF(435&gt;$B$1503,"",MATCH(435-0.5,$B$3:$B$1503,1))</f>
        <v/>
      </c>
      <c r="D438">
        <f>"CNA certification ("&amp;IF(LEN(INDEX('Aides'!$C$4:$C$503,435))=0,"",INDEX('Aides'!$C$4:$C$503,435))&amp;") – "&amp;IF(LEN(INDEX('Aides'!$A$4:$A$503,435))=0,"",INDEX('Aides'!$A$4:$A$503,435))</f>
        <v/>
      </c>
      <c r="E438">
        <f>IF(ISNUMBER(INDEX('Aides'!$I$4:$I$503,435)),TEXT(INDEX('Aides'!$I$4:$I$503,435),"yyyy-mm-dd"),"")</f>
        <v/>
      </c>
      <c r="F438">
        <f>"Certification"</f>
        <v/>
      </c>
      <c r="G438">
        <f>"High"</f>
        <v/>
      </c>
      <c r="H438">
        <f>TRIM(IF(LEN(IF(LEN(INDEX('Aides'!$D$4:$D$503,435))=0,"",INDEX('Aides'!$D$4:$D$503,435)))=0,"","Registry no.: "&amp;IF(LEN(INDEX('Aides'!$D$4:$D$503,435))=0,"",INDEX('Aides'!$D$4:$D$503,435))&amp;". ")&amp;IF(LEN(IF(ISNUMBER(INDEX('Aides'!$F$4:$F$503,435)),TEXT(INDEX('Aides'!$F$4:$F$503,435),"yyyy-mm-dd"),""))=0,"","Registry expiry: "&amp;IF(ISNUMBER(INDEX('Aides'!$F$4:$F$503,435)),TEXT(INDEX('Aides'!$F$4:$F$503,435),"yyyy-mm-dd"),"")&amp;". ")&amp;IF(LEN(IF(ISNUMBER(INDEX('Aides'!$G$4:$G$503,435)),TEXT(INDEX('Aides'!$G$4:$G$503,435),"yyyy-mm-dd"),""))=0,"","Last paid nursing work: "&amp;IF(ISNUMBER(INDEX('Aides'!$G$4:$G$503,435)),TEXT(INDEX('Aides'!$G$4:$G$503,435),"yyyy-mm-dd"),"")&amp;". ")&amp;IF(LEN(IF(ISNUMBER(INDEX('Aides'!$H$4:$H$503,435)),TEXT(INDEX('Aides'!$H$4:$H$503,435),"yyyy-mm-dd"),""))=0,"","24-month cut-off: "&amp;IF(ISNUMBER(INDEX('Aides'!$H$4:$H$503,435)),TEXT(INDEX('Aides'!$H$4:$H$503,435),"yyyy-mm-dd"),"")&amp;". ")&amp;IF(LEN(IF(LEN(INDEX('Aides'!$U$4:$U$503,435))=0,"",INDEX('Aides'!$U$4:$U$503,435)))=0,"","Owner: "&amp;IF(LEN(INDEX('Aides'!$U$4:$U$503,435))=0,"",INDEX('Aides'!$U$4:$U$503,435))&amp;". ")&amp;IF(LEN(IF(LEN(INDEX('Aides'!$X$4:$X$503,435))=0,"",INDEX('Aides'!$X$4:$X$503,435)))=0,"",IF(LEN(INDEX('Aides'!$X$4:$X$503,435))=0,"",INDEX('Aides'!$X$4:$X$503,435))))</f>
        <v/>
      </c>
      <c r="I438">
        <f>IF(LEN(INDEX('Aides'!$W$4:$W$503,435))=0,"",INDEX('Aides'!$W$4:$W$503,435))</f>
        <v/>
      </c>
      <c r="J438">
        <f>IF(LEN(INDEX('Aides'!$V$4:$V$503,435))=0,"",INDEX('Aides'!$V$4:$V$503,435))</f>
        <v/>
      </c>
    </row>
    <row r="439">
      <c r="A439">
        <f>IF(AND(LEN('Aides'!A439)&gt;0,ISNUMBER('Aides'!I439)),1,0)</f>
        <v/>
      </c>
      <c r="B439">
        <f>B438+A439</f>
        <v/>
      </c>
      <c r="C439">
        <f>IF(436&gt;$B$1503,"",MATCH(436-0.5,$B$3:$B$1503,1))</f>
        <v/>
      </c>
      <c r="D439">
        <f>"CNA certification ("&amp;IF(LEN(INDEX('Aides'!$C$4:$C$503,436))=0,"",INDEX('Aides'!$C$4:$C$503,436))&amp;") – "&amp;IF(LEN(INDEX('Aides'!$A$4:$A$503,436))=0,"",INDEX('Aides'!$A$4:$A$503,436))</f>
        <v/>
      </c>
      <c r="E439">
        <f>IF(ISNUMBER(INDEX('Aides'!$I$4:$I$503,436)),TEXT(INDEX('Aides'!$I$4:$I$503,436),"yyyy-mm-dd"),"")</f>
        <v/>
      </c>
      <c r="F439">
        <f>"Certification"</f>
        <v/>
      </c>
      <c r="G439">
        <f>"High"</f>
        <v/>
      </c>
      <c r="H439">
        <f>TRIM(IF(LEN(IF(LEN(INDEX('Aides'!$D$4:$D$503,436))=0,"",INDEX('Aides'!$D$4:$D$503,436)))=0,"","Registry no.: "&amp;IF(LEN(INDEX('Aides'!$D$4:$D$503,436))=0,"",INDEX('Aides'!$D$4:$D$503,436))&amp;". ")&amp;IF(LEN(IF(ISNUMBER(INDEX('Aides'!$F$4:$F$503,436)),TEXT(INDEX('Aides'!$F$4:$F$503,436),"yyyy-mm-dd"),""))=0,"","Registry expiry: "&amp;IF(ISNUMBER(INDEX('Aides'!$F$4:$F$503,436)),TEXT(INDEX('Aides'!$F$4:$F$503,436),"yyyy-mm-dd"),"")&amp;". ")&amp;IF(LEN(IF(ISNUMBER(INDEX('Aides'!$G$4:$G$503,436)),TEXT(INDEX('Aides'!$G$4:$G$503,436),"yyyy-mm-dd"),""))=0,"","Last paid nursing work: "&amp;IF(ISNUMBER(INDEX('Aides'!$G$4:$G$503,436)),TEXT(INDEX('Aides'!$G$4:$G$503,436),"yyyy-mm-dd"),"")&amp;". ")&amp;IF(LEN(IF(ISNUMBER(INDEX('Aides'!$H$4:$H$503,436)),TEXT(INDEX('Aides'!$H$4:$H$503,436),"yyyy-mm-dd"),""))=0,"","24-month cut-off: "&amp;IF(ISNUMBER(INDEX('Aides'!$H$4:$H$503,436)),TEXT(INDEX('Aides'!$H$4:$H$503,436),"yyyy-mm-dd"),"")&amp;". ")&amp;IF(LEN(IF(LEN(INDEX('Aides'!$U$4:$U$503,436))=0,"",INDEX('Aides'!$U$4:$U$503,436)))=0,"","Owner: "&amp;IF(LEN(INDEX('Aides'!$U$4:$U$503,436))=0,"",INDEX('Aides'!$U$4:$U$503,436))&amp;". ")&amp;IF(LEN(IF(LEN(INDEX('Aides'!$X$4:$X$503,436))=0,"",INDEX('Aides'!$X$4:$X$503,436)))=0,"",IF(LEN(INDEX('Aides'!$X$4:$X$503,436))=0,"",INDEX('Aides'!$X$4:$X$503,436))))</f>
        <v/>
      </c>
      <c r="I439">
        <f>IF(LEN(INDEX('Aides'!$W$4:$W$503,436))=0,"",INDEX('Aides'!$W$4:$W$503,436))</f>
        <v/>
      </c>
      <c r="J439">
        <f>IF(LEN(INDEX('Aides'!$V$4:$V$503,436))=0,"",INDEX('Aides'!$V$4:$V$503,436))</f>
        <v/>
      </c>
    </row>
    <row r="440">
      <c r="A440">
        <f>IF(AND(LEN('Aides'!A440)&gt;0,ISNUMBER('Aides'!I440)),1,0)</f>
        <v/>
      </c>
      <c r="B440">
        <f>B439+A440</f>
        <v/>
      </c>
      <c r="C440">
        <f>IF(437&gt;$B$1503,"",MATCH(437-0.5,$B$3:$B$1503,1))</f>
        <v/>
      </c>
      <c r="D440">
        <f>"CNA certification ("&amp;IF(LEN(INDEX('Aides'!$C$4:$C$503,437))=0,"",INDEX('Aides'!$C$4:$C$503,437))&amp;") – "&amp;IF(LEN(INDEX('Aides'!$A$4:$A$503,437))=0,"",INDEX('Aides'!$A$4:$A$503,437))</f>
        <v/>
      </c>
      <c r="E440">
        <f>IF(ISNUMBER(INDEX('Aides'!$I$4:$I$503,437)),TEXT(INDEX('Aides'!$I$4:$I$503,437),"yyyy-mm-dd"),"")</f>
        <v/>
      </c>
      <c r="F440">
        <f>"Certification"</f>
        <v/>
      </c>
      <c r="G440">
        <f>"High"</f>
        <v/>
      </c>
      <c r="H440">
        <f>TRIM(IF(LEN(IF(LEN(INDEX('Aides'!$D$4:$D$503,437))=0,"",INDEX('Aides'!$D$4:$D$503,437)))=0,"","Registry no.: "&amp;IF(LEN(INDEX('Aides'!$D$4:$D$503,437))=0,"",INDEX('Aides'!$D$4:$D$503,437))&amp;". ")&amp;IF(LEN(IF(ISNUMBER(INDEX('Aides'!$F$4:$F$503,437)),TEXT(INDEX('Aides'!$F$4:$F$503,437),"yyyy-mm-dd"),""))=0,"","Registry expiry: "&amp;IF(ISNUMBER(INDEX('Aides'!$F$4:$F$503,437)),TEXT(INDEX('Aides'!$F$4:$F$503,437),"yyyy-mm-dd"),"")&amp;". ")&amp;IF(LEN(IF(ISNUMBER(INDEX('Aides'!$G$4:$G$503,437)),TEXT(INDEX('Aides'!$G$4:$G$503,437),"yyyy-mm-dd"),""))=0,"","Last paid nursing work: "&amp;IF(ISNUMBER(INDEX('Aides'!$G$4:$G$503,437)),TEXT(INDEX('Aides'!$G$4:$G$503,437),"yyyy-mm-dd"),"")&amp;". ")&amp;IF(LEN(IF(ISNUMBER(INDEX('Aides'!$H$4:$H$503,437)),TEXT(INDEX('Aides'!$H$4:$H$503,437),"yyyy-mm-dd"),""))=0,"","24-month cut-off: "&amp;IF(ISNUMBER(INDEX('Aides'!$H$4:$H$503,437)),TEXT(INDEX('Aides'!$H$4:$H$503,437),"yyyy-mm-dd"),"")&amp;". ")&amp;IF(LEN(IF(LEN(INDEX('Aides'!$U$4:$U$503,437))=0,"",INDEX('Aides'!$U$4:$U$503,437)))=0,"","Owner: "&amp;IF(LEN(INDEX('Aides'!$U$4:$U$503,437))=0,"",INDEX('Aides'!$U$4:$U$503,437))&amp;". ")&amp;IF(LEN(IF(LEN(INDEX('Aides'!$X$4:$X$503,437))=0,"",INDEX('Aides'!$X$4:$X$503,437)))=0,"",IF(LEN(INDEX('Aides'!$X$4:$X$503,437))=0,"",INDEX('Aides'!$X$4:$X$503,437))))</f>
        <v/>
      </c>
      <c r="I440">
        <f>IF(LEN(INDEX('Aides'!$W$4:$W$503,437))=0,"",INDEX('Aides'!$W$4:$W$503,437))</f>
        <v/>
      </c>
      <c r="J440">
        <f>IF(LEN(INDEX('Aides'!$V$4:$V$503,437))=0,"",INDEX('Aides'!$V$4:$V$503,437))</f>
        <v/>
      </c>
    </row>
    <row r="441">
      <c r="A441">
        <f>IF(AND(LEN('Aides'!A441)&gt;0,ISNUMBER('Aides'!I441)),1,0)</f>
        <v/>
      </c>
      <c r="B441">
        <f>B440+A441</f>
        <v/>
      </c>
      <c r="C441">
        <f>IF(438&gt;$B$1503,"",MATCH(438-0.5,$B$3:$B$1503,1))</f>
        <v/>
      </c>
      <c r="D441">
        <f>"CNA certification ("&amp;IF(LEN(INDEX('Aides'!$C$4:$C$503,438))=0,"",INDEX('Aides'!$C$4:$C$503,438))&amp;") – "&amp;IF(LEN(INDEX('Aides'!$A$4:$A$503,438))=0,"",INDEX('Aides'!$A$4:$A$503,438))</f>
        <v/>
      </c>
      <c r="E441">
        <f>IF(ISNUMBER(INDEX('Aides'!$I$4:$I$503,438)),TEXT(INDEX('Aides'!$I$4:$I$503,438),"yyyy-mm-dd"),"")</f>
        <v/>
      </c>
      <c r="F441">
        <f>"Certification"</f>
        <v/>
      </c>
      <c r="G441">
        <f>"High"</f>
        <v/>
      </c>
      <c r="H441">
        <f>TRIM(IF(LEN(IF(LEN(INDEX('Aides'!$D$4:$D$503,438))=0,"",INDEX('Aides'!$D$4:$D$503,438)))=0,"","Registry no.: "&amp;IF(LEN(INDEX('Aides'!$D$4:$D$503,438))=0,"",INDEX('Aides'!$D$4:$D$503,438))&amp;". ")&amp;IF(LEN(IF(ISNUMBER(INDEX('Aides'!$F$4:$F$503,438)),TEXT(INDEX('Aides'!$F$4:$F$503,438),"yyyy-mm-dd"),""))=0,"","Registry expiry: "&amp;IF(ISNUMBER(INDEX('Aides'!$F$4:$F$503,438)),TEXT(INDEX('Aides'!$F$4:$F$503,438),"yyyy-mm-dd"),"")&amp;". ")&amp;IF(LEN(IF(ISNUMBER(INDEX('Aides'!$G$4:$G$503,438)),TEXT(INDEX('Aides'!$G$4:$G$503,438),"yyyy-mm-dd"),""))=0,"","Last paid nursing work: "&amp;IF(ISNUMBER(INDEX('Aides'!$G$4:$G$503,438)),TEXT(INDEX('Aides'!$G$4:$G$503,438),"yyyy-mm-dd"),"")&amp;". ")&amp;IF(LEN(IF(ISNUMBER(INDEX('Aides'!$H$4:$H$503,438)),TEXT(INDEX('Aides'!$H$4:$H$503,438),"yyyy-mm-dd"),""))=0,"","24-month cut-off: "&amp;IF(ISNUMBER(INDEX('Aides'!$H$4:$H$503,438)),TEXT(INDEX('Aides'!$H$4:$H$503,438),"yyyy-mm-dd"),"")&amp;". ")&amp;IF(LEN(IF(LEN(INDEX('Aides'!$U$4:$U$503,438))=0,"",INDEX('Aides'!$U$4:$U$503,438)))=0,"","Owner: "&amp;IF(LEN(INDEX('Aides'!$U$4:$U$503,438))=0,"",INDEX('Aides'!$U$4:$U$503,438))&amp;". ")&amp;IF(LEN(IF(LEN(INDEX('Aides'!$X$4:$X$503,438))=0,"",INDEX('Aides'!$X$4:$X$503,438)))=0,"",IF(LEN(INDEX('Aides'!$X$4:$X$503,438))=0,"",INDEX('Aides'!$X$4:$X$503,438))))</f>
        <v/>
      </c>
      <c r="I441">
        <f>IF(LEN(INDEX('Aides'!$W$4:$W$503,438))=0,"",INDEX('Aides'!$W$4:$W$503,438))</f>
        <v/>
      </c>
      <c r="J441">
        <f>IF(LEN(INDEX('Aides'!$V$4:$V$503,438))=0,"",INDEX('Aides'!$V$4:$V$503,438))</f>
        <v/>
      </c>
    </row>
    <row r="442">
      <c r="A442">
        <f>IF(AND(LEN('Aides'!A442)&gt;0,ISNUMBER('Aides'!I442)),1,0)</f>
        <v/>
      </c>
      <c r="B442">
        <f>B441+A442</f>
        <v/>
      </c>
      <c r="C442">
        <f>IF(439&gt;$B$1503,"",MATCH(439-0.5,$B$3:$B$1503,1))</f>
        <v/>
      </c>
      <c r="D442">
        <f>"CNA certification ("&amp;IF(LEN(INDEX('Aides'!$C$4:$C$503,439))=0,"",INDEX('Aides'!$C$4:$C$503,439))&amp;") – "&amp;IF(LEN(INDEX('Aides'!$A$4:$A$503,439))=0,"",INDEX('Aides'!$A$4:$A$503,439))</f>
        <v/>
      </c>
      <c r="E442">
        <f>IF(ISNUMBER(INDEX('Aides'!$I$4:$I$503,439)),TEXT(INDEX('Aides'!$I$4:$I$503,439),"yyyy-mm-dd"),"")</f>
        <v/>
      </c>
      <c r="F442">
        <f>"Certification"</f>
        <v/>
      </c>
      <c r="G442">
        <f>"High"</f>
        <v/>
      </c>
      <c r="H442">
        <f>TRIM(IF(LEN(IF(LEN(INDEX('Aides'!$D$4:$D$503,439))=0,"",INDEX('Aides'!$D$4:$D$503,439)))=0,"","Registry no.: "&amp;IF(LEN(INDEX('Aides'!$D$4:$D$503,439))=0,"",INDEX('Aides'!$D$4:$D$503,439))&amp;". ")&amp;IF(LEN(IF(ISNUMBER(INDEX('Aides'!$F$4:$F$503,439)),TEXT(INDEX('Aides'!$F$4:$F$503,439),"yyyy-mm-dd"),""))=0,"","Registry expiry: "&amp;IF(ISNUMBER(INDEX('Aides'!$F$4:$F$503,439)),TEXT(INDEX('Aides'!$F$4:$F$503,439),"yyyy-mm-dd"),"")&amp;". ")&amp;IF(LEN(IF(ISNUMBER(INDEX('Aides'!$G$4:$G$503,439)),TEXT(INDEX('Aides'!$G$4:$G$503,439),"yyyy-mm-dd"),""))=0,"","Last paid nursing work: "&amp;IF(ISNUMBER(INDEX('Aides'!$G$4:$G$503,439)),TEXT(INDEX('Aides'!$G$4:$G$503,439),"yyyy-mm-dd"),"")&amp;". ")&amp;IF(LEN(IF(ISNUMBER(INDEX('Aides'!$H$4:$H$503,439)),TEXT(INDEX('Aides'!$H$4:$H$503,439),"yyyy-mm-dd"),""))=0,"","24-month cut-off: "&amp;IF(ISNUMBER(INDEX('Aides'!$H$4:$H$503,439)),TEXT(INDEX('Aides'!$H$4:$H$503,439),"yyyy-mm-dd"),"")&amp;". ")&amp;IF(LEN(IF(LEN(INDEX('Aides'!$U$4:$U$503,439))=0,"",INDEX('Aides'!$U$4:$U$503,439)))=0,"","Owner: "&amp;IF(LEN(INDEX('Aides'!$U$4:$U$503,439))=0,"",INDEX('Aides'!$U$4:$U$503,439))&amp;". ")&amp;IF(LEN(IF(LEN(INDEX('Aides'!$X$4:$X$503,439))=0,"",INDEX('Aides'!$X$4:$X$503,439)))=0,"",IF(LEN(INDEX('Aides'!$X$4:$X$503,439))=0,"",INDEX('Aides'!$X$4:$X$503,439))))</f>
        <v/>
      </c>
      <c r="I442">
        <f>IF(LEN(INDEX('Aides'!$W$4:$W$503,439))=0,"",INDEX('Aides'!$W$4:$W$503,439))</f>
        <v/>
      </c>
      <c r="J442">
        <f>IF(LEN(INDEX('Aides'!$V$4:$V$503,439))=0,"",INDEX('Aides'!$V$4:$V$503,439))</f>
        <v/>
      </c>
    </row>
    <row r="443">
      <c r="A443">
        <f>IF(AND(LEN('Aides'!A443)&gt;0,ISNUMBER('Aides'!I443)),1,0)</f>
        <v/>
      </c>
      <c r="B443">
        <f>B442+A443</f>
        <v/>
      </c>
      <c r="C443">
        <f>IF(440&gt;$B$1503,"",MATCH(440-0.5,$B$3:$B$1503,1))</f>
        <v/>
      </c>
      <c r="D443">
        <f>"CNA certification ("&amp;IF(LEN(INDEX('Aides'!$C$4:$C$503,440))=0,"",INDEX('Aides'!$C$4:$C$503,440))&amp;") – "&amp;IF(LEN(INDEX('Aides'!$A$4:$A$503,440))=0,"",INDEX('Aides'!$A$4:$A$503,440))</f>
        <v/>
      </c>
      <c r="E443">
        <f>IF(ISNUMBER(INDEX('Aides'!$I$4:$I$503,440)),TEXT(INDEX('Aides'!$I$4:$I$503,440),"yyyy-mm-dd"),"")</f>
        <v/>
      </c>
      <c r="F443">
        <f>"Certification"</f>
        <v/>
      </c>
      <c r="G443">
        <f>"High"</f>
        <v/>
      </c>
      <c r="H443">
        <f>TRIM(IF(LEN(IF(LEN(INDEX('Aides'!$D$4:$D$503,440))=0,"",INDEX('Aides'!$D$4:$D$503,440)))=0,"","Registry no.: "&amp;IF(LEN(INDEX('Aides'!$D$4:$D$503,440))=0,"",INDEX('Aides'!$D$4:$D$503,440))&amp;". ")&amp;IF(LEN(IF(ISNUMBER(INDEX('Aides'!$F$4:$F$503,440)),TEXT(INDEX('Aides'!$F$4:$F$503,440),"yyyy-mm-dd"),""))=0,"","Registry expiry: "&amp;IF(ISNUMBER(INDEX('Aides'!$F$4:$F$503,440)),TEXT(INDEX('Aides'!$F$4:$F$503,440),"yyyy-mm-dd"),"")&amp;". ")&amp;IF(LEN(IF(ISNUMBER(INDEX('Aides'!$G$4:$G$503,440)),TEXT(INDEX('Aides'!$G$4:$G$503,440),"yyyy-mm-dd"),""))=0,"","Last paid nursing work: "&amp;IF(ISNUMBER(INDEX('Aides'!$G$4:$G$503,440)),TEXT(INDEX('Aides'!$G$4:$G$503,440),"yyyy-mm-dd"),"")&amp;". ")&amp;IF(LEN(IF(ISNUMBER(INDEX('Aides'!$H$4:$H$503,440)),TEXT(INDEX('Aides'!$H$4:$H$503,440),"yyyy-mm-dd"),""))=0,"","24-month cut-off: "&amp;IF(ISNUMBER(INDEX('Aides'!$H$4:$H$503,440)),TEXT(INDEX('Aides'!$H$4:$H$503,440),"yyyy-mm-dd"),"")&amp;". ")&amp;IF(LEN(IF(LEN(INDEX('Aides'!$U$4:$U$503,440))=0,"",INDEX('Aides'!$U$4:$U$503,440)))=0,"","Owner: "&amp;IF(LEN(INDEX('Aides'!$U$4:$U$503,440))=0,"",INDEX('Aides'!$U$4:$U$503,440))&amp;". ")&amp;IF(LEN(IF(LEN(INDEX('Aides'!$X$4:$X$503,440))=0,"",INDEX('Aides'!$X$4:$X$503,440)))=0,"",IF(LEN(INDEX('Aides'!$X$4:$X$503,440))=0,"",INDEX('Aides'!$X$4:$X$503,440))))</f>
        <v/>
      </c>
      <c r="I443">
        <f>IF(LEN(INDEX('Aides'!$W$4:$W$503,440))=0,"",INDEX('Aides'!$W$4:$W$503,440))</f>
        <v/>
      </c>
      <c r="J443">
        <f>IF(LEN(INDEX('Aides'!$V$4:$V$503,440))=0,"",INDEX('Aides'!$V$4:$V$503,440))</f>
        <v/>
      </c>
    </row>
    <row r="444">
      <c r="A444">
        <f>IF(AND(LEN('Aides'!A444)&gt;0,ISNUMBER('Aides'!I444)),1,0)</f>
        <v/>
      </c>
      <c r="B444">
        <f>B443+A444</f>
        <v/>
      </c>
      <c r="C444">
        <f>IF(441&gt;$B$1503,"",MATCH(441-0.5,$B$3:$B$1503,1))</f>
        <v/>
      </c>
      <c r="D444">
        <f>"CNA certification ("&amp;IF(LEN(INDEX('Aides'!$C$4:$C$503,441))=0,"",INDEX('Aides'!$C$4:$C$503,441))&amp;") – "&amp;IF(LEN(INDEX('Aides'!$A$4:$A$503,441))=0,"",INDEX('Aides'!$A$4:$A$503,441))</f>
        <v/>
      </c>
      <c r="E444">
        <f>IF(ISNUMBER(INDEX('Aides'!$I$4:$I$503,441)),TEXT(INDEX('Aides'!$I$4:$I$503,441),"yyyy-mm-dd"),"")</f>
        <v/>
      </c>
      <c r="F444">
        <f>"Certification"</f>
        <v/>
      </c>
      <c r="G444">
        <f>"High"</f>
        <v/>
      </c>
      <c r="H444">
        <f>TRIM(IF(LEN(IF(LEN(INDEX('Aides'!$D$4:$D$503,441))=0,"",INDEX('Aides'!$D$4:$D$503,441)))=0,"","Registry no.: "&amp;IF(LEN(INDEX('Aides'!$D$4:$D$503,441))=0,"",INDEX('Aides'!$D$4:$D$503,441))&amp;". ")&amp;IF(LEN(IF(ISNUMBER(INDEX('Aides'!$F$4:$F$503,441)),TEXT(INDEX('Aides'!$F$4:$F$503,441),"yyyy-mm-dd"),""))=0,"","Registry expiry: "&amp;IF(ISNUMBER(INDEX('Aides'!$F$4:$F$503,441)),TEXT(INDEX('Aides'!$F$4:$F$503,441),"yyyy-mm-dd"),"")&amp;". ")&amp;IF(LEN(IF(ISNUMBER(INDEX('Aides'!$G$4:$G$503,441)),TEXT(INDEX('Aides'!$G$4:$G$503,441),"yyyy-mm-dd"),""))=0,"","Last paid nursing work: "&amp;IF(ISNUMBER(INDEX('Aides'!$G$4:$G$503,441)),TEXT(INDEX('Aides'!$G$4:$G$503,441),"yyyy-mm-dd"),"")&amp;". ")&amp;IF(LEN(IF(ISNUMBER(INDEX('Aides'!$H$4:$H$503,441)),TEXT(INDEX('Aides'!$H$4:$H$503,441),"yyyy-mm-dd"),""))=0,"","24-month cut-off: "&amp;IF(ISNUMBER(INDEX('Aides'!$H$4:$H$503,441)),TEXT(INDEX('Aides'!$H$4:$H$503,441),"yyyy-mm-dd"),"")&amp;". ")&amp;IF(LEN(IF(LEN(INDEX('Aides'!$U$4:$U$503,441))=0,"",INDEX('Aides'!$U$4:$U$503,441)))=0,"","Owner: "&amp;IF(LEN(INDEX('Aides'!$U$4:$U$503,441))=0,"",INDEX('Aides'!$U$4:$U$503,441))&amp;". ")&amp;IF(LEN(IF(LEN(INDEX('Aides'!$X$4:$X$503,441))=0,"",INDEX('Aides'!$X$4:$X$503,441)))=0,"",IF(LEN(INDEX('Aides'!$X$4:$X$503,441))=0,"",INDEX('Aides'!$X$4:$X$503,441))))</f>
        <v/>
      </c>
      <c r="I444">
        <f>IF(LEN(INDEX('Aides'!$W$4:$W$503,441))=0,"",INDEX('Aides'!$W$4:$W$503,441))</f>
        <v/>
      </c>
      <c r="J444">
        <f>IF(LEN(INDEX('Aides'!$V$4:$V$503,441))=0,"",INDEX('Aides'!$V$4:$V$503,441))</f>
        <v/>
      </c>
    </row>
    <row r="445">
      <c r="A445">
        <f>IF(AND(LEN('Aides'!A445)&gt;0,ISNUMBER('Aides'!I445)),1,0)</f>
        <v/>
      </c>
      <c r="B445">
        <f>B444+A445</f>
        <v/>
      </c>
      <c r="C445">
        <f>IF(442&gt;$B$1503,"",MATCH(442-0.5,$B$3:$B$1503,1))</f>
        <v/>
      </c>
      <c r="D445">
        <f>"CNA certification ("&amp;IF(LEN(INDEX('Aides'!$C$4:$C$503,442))=0,"",INDEX('Aides'!$C$4:$C$503,442))&amp;") – "&amp;IF(LEN(INDEX('Aides'!$A$4:$A$503,442))=0,"",INDEX('Aides'!$A$4:$A$503,442))</f>
        <v/>
      </c>
      <c r="E445">
        <f>IF(ISNUMBER(INDEX('Aides'!$I$4:$I$503,442)),TEXT(INDEX('Aides'!$I$4:$I$503,442),"yyyy-mm-dd"),"")</f>
        <v/>
      </c>
      <c r="F445">
        <f>"Certification"</f>
        <v/>
      </c>
      <c r="G445">
        <f>"High"</f>
        <v/>
      </c>
      <c r="H445">
        <f>TRIM(IF(LEN(IF(LEN(INDEX('Aides'!$D$4:$D$503,442))=0,"",INDEX('Aides'!$D$4:$D$503,442)))=0,"","Registry no.: "&amp;IF(LEN(INDEX('Aides'!$D$4:$D$503,442))=0,"",INDEX('Aides'!$D$4:$D$503,442))&amp;". ")&amp;IF(LEN(IF(ISNUMBER(INDEX('Aides'!$F$4:$F$503,442)),TEXT(INDEX('Aides'!$F$4:$F$503,442),"yyyy-mm-dd"),""))=0,"","Registry expiry: "&amp;IF(ISNUMBER(INDEX('Aides'!$F$4:$F$503,442)),TEXT(INDEX('Aides'!$F$4:$F$503,442),"yyyy-mm-dd"),"")&amp;". ")&amp;IF(LEN(IF(ISNUMBER(INDEX('Aides'!$G$4:$G$503,442)),TEXT(INDEX('Aides'!$G$4:$G$503,442),"yyyy-mm-dd"),""))=0,"","Last paid nursing work: "&amp;IF(ISNUMBER(INDEX('Aides'!$G$4:$G$503,442)),TEXT(INDEX('Aides'!$G$4:$G$503,442),"yyyy-mm-dd"),"")&amp;". ")&amp;IF(LEN(IF(ISNUMBER(INDEX('Aides'!$H$4:$H$503,442)),TEXT(INDEX('Aides'!$H$4:$H$503,442),"yyyy-mm-dd"),""))=0,"","24-month cut-off: "&amp;IF(ISNUMBER(INDEX('Aides'!$H$4:$H$503,442)),TEXT(INDEX('Aides'!$H$4:$H$503,442),"yyyy-mm-dd"),"")&amp;". ")&amp;IF(LEN(IF(LEN(INDEX('Aides'!$U$4:$U$503,442))=0,"",INDEX('Aides'!$U$4:$U$503,442)))=0,"","Owner: "&amp;IF(LEN(INDEX('Aides'!$U$4:$U$503,442))=0,"",INDEX('Aides'!$U$4:$U$503,442))&amp;". ")&amp;IF(LEN(IF(LEN(INDEX('Aides'!$X$4:$X$503,442))=0,"",INDEX('Aides'!$X$4:$X$503,442)))=0,"",IF(LEN(INDEX('Aides'!$X$4:$X$503,442))=0,"",INDEX('Aides'!$X$4:$X$503,442))))</f>
        <v/>
      </c>
      <c r="I445">
        <f>IF(LEN(INDEX('Aides'!$W$4:$W$503,442))=0,"",INDEX('Aides'!$W$4:$W$503,442))</f>
        <v/>
      </c>
      <c r="J445">
        <f>IF(LEN(INDEX('Aides'!$V$4:$V$503,442))=0,"",INDEX('Aides'!$V$4:$V$503,442))</f>
        <v/>
      </c>
    </row>
    <row r="446">
      <c r="A446">
        <f>IF(AND(LEN('Aides'!A446)&gt;0,ISNUMBER('Aides'!I446)),1,0)</f>
        <v/>
      </c>
      <c r="B446">
        <f>B445+A446</f>
        <v/>
      </c>
      <c r="C446">
        <f>IF(443&gt;$B$1503,"",MATCH(443-0.5,$B$3:$B$1503,1))</f>
        <v/>
      </c>
      <c r="D446">
        <f>"CNA certification ("&amp;IF(LEN(INDEX('Aides'!$C$4:$C$503,443))=0,"",INDEX('Aides'!$C$4:$C$503,443))&amp;") – "&amp;IF(LEN(INDEX('Aides'!$A$4:$A$503,443))=0,"",INDEX('Aides'!$A$4:$A$503,443))</f>
        <v/>
      </c>
      <c r="E446">
        <f>IF(ISNUMBER(INDEX('Aides'!$I$4:$I$503,443)),TEXT(INDEX('Aides'!$I$4:$I$503,443),"yyyy-mm-dd"),"")</f>
        <v/>
      </c>
      <c r="F446">
        <f>"Certification"</f>
        <v/>
      </c>
      <c r="G446">
        <f>"High"</f>
        <v/>
      </c>
      <c r="H446">
        <f>TRIM(IF(LEN(IF(LEN(INDEX('Aides'!$D$4:$D$503,443))=0,"",INDEX('Aides'!$D$4:$D$503,443)))=0,"","Registry no.: "&amp;IF(LEN(INDEX('Aides'!$D$4:$D$503,443))=0,"",INDEX('Aides'!$D$4:$D$503,443))&amp;". ")&amp;IF(LEN(IF(ISNUMBER(INDEX('Aides'!$F$4:$F$503,443)),TEXT(INDEX('Aides'!$F$4:$F$503,443),"yyyy-mm-dd"),""))=0,"","Registry expiry: "&amp;IF(ISNUMBER(INDEX('Aides'!$F$4:$F$503,443)),TEXT(INDEX('Aides'!$F$4:$F$503,443),"yyyy-mm-dd"),"")&amp;". ")&amp;IF(LEN(IF(ISNUMBER(INDEX('Aides'!$G$4:$G$503,443)),TEXT(INDEX('Aides'!$G$4:$G$503,443),"yyyy-mm-dd"),""))=0,"","Last paid nursing work: "&amp;IF(ISNUMBER(INDEX('Aides'!$G$4:$G$503,443)),TEXT(INDEX('Aides'!$G$4:$G$503,443),"yyyy-mm-dd"),"")&amp;". ")&amp;IF(LEN(IF(ISNUMBER(INDEX('Aides'!$H$4:$H$503,443)),TEXT(INDEX('Aides'!$H$4:$H$503,443),"yyyy-mm-dd"),""))=0,"","24-month cut-off: "&amp;IF(ISNUMBER(INDEX('Aides'!$H$4:$H$503,443)),TEXT(INDEX('Aides'!$H$4:$H$503,443),"yyyy-mm-dd"),"")&amp;". ")&amp;IF(LEN(IF(LEN(INDEX('Aides'!$U$4:$U$503,443))=0,"",INDEX('Aides'!$U$4:$U$503,443)))=0,"","Owner: "&amp;IF(LEN(INDEX('Aides'!$U$4:$U$503,443))=0,"",INDEX('Aides'!$U$4:$U$503,443))&amp;". ")&amp;IF(LEN(IF(LEN(INDEX('Aides'!$X$4:$X$503,443))=0,"",INDEX('Aides'!$X$4:$X$503,443)))=0,"",IF(LEN(INDEX('Aides'!$X$4:$X$503,443))=0,"",INDEX('Aides'!$X$4:$X$503,443))))</f>
        <v/>
      </c>
      <c r="I446">
        <f>IF(LEN(INDEX('Aides'!$W$4:$W$503,443))=0,"",INDEX('Aides'!$W$4:$W$503,443))</f>
        <v/>
      </c>
      <c r="J446">
        <f>IF(LEN(INDEX('Aides'!$V$4:$V$503,443))=0,"",INDEX('Aides'!$V$4:$V$503,443))</f>
        <v/>
      </c>
    </row>
    <row r="447">
      <c r="A447">
        <f>IF(AND(LEN('Aides'!A447)&gt;0,ISNUMBER('Aides'!I447)),1,0)</f>
        <v/>
      </c>
      <c r="B447">
        <f>B446+A447</f>
        <v/>
      </c>
      <c r="C447">
        <f>IF(444&gt;$B$1503,"",MATCH(444-0.5,$B$3:$B$1503,1))</f>
        <v/>
      </c>
      <c r="D447">
        <f>"CNA certification ("&amp;IF(LEN(INDEX('Aides'!$C$4:$C$503,444))=0,"",INDEX('Aides'!$C$4:$C$503,444))&amp;") – "&amp;IF(LEN(INDEX('Aides'!$A$4:$A$503,444))=0,"",INDEX('Aides'!$A$4:$A$503,444))</f>
        <v/>
      </c>
      <c r="E447">
        <f>IF(ISNUMBER(INDEX('Aides'!$I$4:$I$503,444)),TEXT(INDEX('Aides'!$I$4:$I$503,444),"yyyy-mm-dd"),"")</f>
        <v/>
      </c>
      <c r="F447">
        <f>"Certification"</f>
        <v/>
      </c>
      <c r="G447">
        <f>"High"</f>
        <v/>
      </c>
      <c r="H447">
        <f>TRIM(IF(LEN(IF(LEN(INDEX('Aides'!$D$4:$D$503,444))=0,"",INDEX('Aides'!$D$4:$D$503,444)))=0,"","Registry no.: "&amp;IF(LEN(INDEX('Aides'!$D$4:$D$503,444))=0,"",INDEX('Aides'!$D$4:$D$503,444))&amp;". ")&amp;IF(LEN(IF(ISNUMBER(INDEX('Aides'!$F$4:$F$503,444)),TEXT(INDEX('Aides'!$F$4:$F$503,444),"yyyy-mm-dd"),""))=0,"","Registry expiry: "&amp;IF(ISNUMBER(INDEX('Aides'!$F$4:$F$503,444)),TEXT(INDEX('Aides'!$F$4:$F$503,444),"yyyy-mm-dd"),"")&amp;". ")&amp;IF(LEN(IF(ISNUMBER(INDEX('Aides'!$G$4:$G$503,444)),TEXT(INDEX('Aides'!$G$4:$G$503,444),"yyyy-mm-dd"),""))=0,"","Last paid nursing work: "&amp;IF(ISNUMBER(INDEX('Aides'!$G$4:$G$503,444)),TEXT(INDEX('Aides'!$G$4:$G$503,444),"yyyy-mm-dd"),"")&amp;". ")&amp;IF(LEN(IF(ISNUMBER(INDEX('Aides'!$H$4:$H$503,444)),TEXT(INDEX('Aides'!$H$4:$H$503,444),"yyyy-mm-dd"),""))=0,"","24-month cut-off: "&amp;IF(ISNUMBER(INDEX('Aides'!$H$4:$H$503,444)),TEXT(INDEX('Aides'!$H$4:$H$503,444),"yyyy-mm-dd"),"")&amp;". ")&amp;IF(LEN(IF(LEN(INDEX('Aides'!$U$4:$U$503,444))=0,"",INDEX('Aides'!$U$4:$U$503,444)))=0,"","Owner: "&amp;IF(LEN(INDEX('Aides'!$U$4:$U$503,444))=0,"",INDEX('Aides'!$U$4:$U$503,444))&amp;". ")&amp;IF(LEN(IF(LEN(INDEX('Aides'!$X$4:$X$503,444))=0,"",INDEX('Aides'!$X$4:$X$503,444)))=0,"",IF(LEN(INDEX('Aides'!$X$4:$X$503,444))=0,"",INDEX('Aides'!$X$4:$X$503,444))))</f>
        <v/>
      </c>
      <c r="I447">
        <f>IF(LEN(INDEX('Aides'!$W$4:$W$503,444))=0,"",INDEX('Aides'!$W$4:$W$503,444))</f>
        <v/>
      </c>
      <c r="J447">
        <f>IF(LEN(INDEX('Aides'!$V$4:$V$503,444))=0,"",INDEX('Aides'!$V$4:$V$503,444))</f>
        <v/>
      </c>
    </row>
    <row r="448">
      <c r="A448">
        <f>IF(AND(LEN('Aides'!A448)&gt;0,ISNUMBER('Aides'!I448)),1,0)</f>
        <v/>
      </c>
      <c r="B448">
        <f>B447+A448</f>
        <v/>
      </c>
      <c r="C448">
        <f>IF(445&gt;$B$1503,"",MATCH(445-0.5,$B$3:$B$1503,1))</f>
        <v/>
      </c>
      <c r="D448">
        <f>"CNA certification ("&amp;IF(LEN(INDEX('Aides'!$C$4:$C$503,445))=0,"",INDEX('Aides'!$C$4:$C$503,445))&amp;") – "&amp;IF(LEN(INDEX('Aides'!$A$4:$A$503,445))=0,"",INDEX('Aides'!$A$4:$A$503,445))</f>
        <v/>
      </c>
      <c r="E448">
        <f>IF(ISNUMBER(INDEX('Aides'!$I$4:$I$503,445)),TEXT(INDEX('Aides'!$I$4:$I$503,445),"yyyy-mm-dd"),"")</f>
        <v/>
      </c>
      <c r="F448">
        <f>"Certification"</f>
        <v/>
      </c>
      <c r="G448">
        <f>"High"</f>
        <v/>
      </c>
      <c r="H448">
        <f>TRIM(IF(LEN(IF(LEN(INDEX('Aides'!$D$4:$D$503,445))=0,"",INDEX('Aides'!$D$4:$D$503,445)))=0,"","Registry no.: "&amp;IF(LEN(INDEX('Aides'!$D$4:$D$503,445))=0,"",INDEX('Aides'!$D$4:$D$503,445))&amp;". ")&amp;IF(LEN(IF(ISNUMBER(INDEX('Aides'!$F$4:$F$503,445)),TEXT(INDEX('Aides'!$F$4:$F$503,445),"yyyy-mm-dd"),""))=0,"","Registry expiry: "&amp;IF(ISNUMBER(INDEX('Aides'!$F$4:$F$503,445)),TEXT(INDEX('Aides'!$F$4:$F$503,445),"yyyy-mm-dd"),"")&amp;". ")&amp;IF(LEN(IF(ISNUMBER(INDEX('Aides'!$G$4:$G$503,445)),TEXT(INDEX('Aides'!$G$4:$G$503,445),"yyyy-mm-dd"),""))=0,"","Last paid nursing work: "&amp;IF(ISNUMBER(INDEX('Aides'!$G$4:$G$503,445)),TEXT(INDEX('Aides'!$G$4:$G$503,445),"yyyy-mm-dd"),"")&amp;". ")&amp;IF(LEN(IF(ISNUMBER(INDEX('Aides'!$H$4:$H$503,445)),TEXT(INDEX('Aides'!$H$4:$H$503,445),"yyyy-mm-dd"),""))=0,"","24-month cut-off: "&amp;IF(ISNUMBER(INDEX('Aides'!$H$4:$H$503,445)),TEXT(INDEX('Aides'!$H$4:$H$503,445),"yyyy-mm-dd"),"")&amp;". ")&amp;IF(LEN(IF(LEN(INDEX('Aides'!$U$4:$U$503,445))=0,"",INDEX('Aides'!$U$4:$U$503,445)))=0,"","Owner: "&amp;IF(LEN(INDEX('Aides'!$U$4:$U$503,445))=0,"",INDEX('Aides'!$U$4:$U$503,445))&amp;". ")&amp;IF(LEN(IF(LEN(INDEX('Aides'!$X$4:$X$503,445))=0,"",INDEX('Aides'!$X$4:$X$503,445)))=0,"",IF(LEN(INDEX('Aides'!$X$4:$X$503,445))=0,"",INDEX('Aides'!$X$4:$X$503,445))))</f>
        <v/>
      </c>
      <c r="I448">
        <f>IF(LEN(INDEX('Aides'!$W$4:$W$503,445))=0,"",INDEX('Aides'!$W$4:$W$503,445))</f>
        <v/>
      </c>
      <c r="J448">
        <f>IF(LEN(INDEX('Aides'!$V$4:$V$503,445))=0,"",INDEX('Aides'!$V$4:$V$503,445))</f>
        <v/>
      </c>
    </row>
    <row r="449">
      <c r="A449">
        <f>IF(AND(LEN('Aides'!A449)&gt;0,ISNUMBER('Aides'!I449)),1,0)</f>
        <v/>
      </c>
      <c r="B449">
        <f>B448+A449</f>
        <v/>
      </c>
      <c r="C449">
        <f>IF(446&gt;$B$1503,"",MATCH(446-0.5,$B$3:$B$1503,1))</f>
        <v/>
      </c>
      <c r="D449">
        <f>"CNA certification ("&amp;IF(LEN(INDEX('Aides'!$C$4:$C$503,446))=0,"",INDEX('Aides'!$C$4:$C$503,446))&amp;") – "&amp;IF(LEN(INDEX('Aides'!$A$4:$A$503,446))=0,"",INDEX('Aides'!$A$4:$A$503,446))</f>
        <v/>
      </c>
      <c r="E449">
        <f>IF(ISNUMBER(INDEX('Aides'!$I$4:$I$503,446)),TEXT(INDEX('Aides'!$I$4:$I$503,446),"yyyy-mm-dd"),"")</f>
        <v/>
      </c>
      <c r="F449">
        <f>"Certification"</f>
        <v/>
      </c>
      <c r="G449">
        <f>"High"</f>
        <v/>
      </c>
      <c r="H449">
        <f>TRIM(IF(LEN(IF(LEN(INDEX('Aides'!$D$4:$D$503,446))=0,"",INDEX('Aides'!$D$4:$D$503,446)))=0,"","Registry no.: "&amp;IF(LEN(INDEX('Aides'!$D$4:$D$503,446))=0,"",INDEX('Aides'!$D$4:$D$503,446))&amp;". ")&amp;IF(LEN(IF(ISNUMBER(INDEX('Aides'!$F$4:$F$503,446)),TEXT(INDEX('Aides'!$F$4:$F$503,446),"yyyy-mm-dd"),""))=0,"","Registry expiry: "&amp;IF(ISNUMBER(INDEX('Aides'!$F$4:$F$503,446)),TEXT(INDEX('Aides'!$F$4:$F$503,446),"yyyy-mm-dd"),"")&amp;". ")&amp;IF(LEN(IF(ISNUMBER(INDEX('Aides'!$G$4:$G$503,446)),TEXT(INDEX('Aides'!$G$4:$G$503,446),"yyyy-mm-dd"),""))=0,"","Last paid nursing work: "&amp;IF(ISNUMBER(INDEX('Aides'!$G$4:$G$503,446)),TEXT(INDEX('Aides'!$G$4:$G$503,446),"yyyy-mm-dd"),"")&amp;". ")&amp;IF(LEN(IF(ISNUMBER(INDEX('Aides'!$H$4:$H$503,446)),TEXT(INDEX('Aides'!$H$4:$H$503,446),"yyyy-mm-dd"),""))=0,"","24-month cut-off: "&amp;IF(ISNUMBER(INDEX('Aides'!$H$4:$H$503,446)),TEXT(INDEX('Aides'!$H$4:$H$503,446),"yyyy-mm-dd"),"")&amp;". ")&amp;IF(LEN(IF(LEN(INDEX('Aides'!$U$4:$U$503,446))=0,"",INDEX('Aides'!$U$4:$U$503,446)))=0,"","Owner: "&amp;IF(LEN(INDEX('Aides'!$U$4:$U$503,446))=0,"",INDEX('Aides'!$U$4:$U$503,446))&amp;". ")&amp;IF(LEN(IF(LEN(INDEX('Aides'!$X$4:$X$503,446))=0,"",INDEX('Aides'!$X$4:$X$503,446)))=0,"",IF(LEN(INDEX('Aides'!$X$4:$X$503,446))=0,"",INDEX('Aides'!$X$4:$X$503,446))))</f>
        <v/>
      </c>
      <c r="I449">
        <f>IF(LEN(INDEX('Aides'!$W$4:$W$503,446))=0,"",INDEX('Aides'!$W$4:$W$503,446))</f>
        <v/>
      </c>
      <c r="J449">
        <f>IF(LEN(INDEX('Aides'!$V$4:$V$503,446))=0,"",INDEX('Aides'!$V$4:$V$503,446))</f>
        <v/>
      </c>
    </row>
    <row r="450">
      <c r="A450">
        <f>IF(AND(LEN('Aides'!A450)&gt;0,ISNUMBER('Aides'!I450)),1,0)</f>
        <v/>
      </c>
      <c r="B450">
        <f>B449+A450</f>
        <v/>
      </c>
      <c r="C450">
        <f>IF(447&gt;$B$1503,"",MATCH(447-0.5,$B$3:$B$1503,1))</f>
        <v/>
      </c>
      <c r="D450">
        <f>"CNA certification ("&amp;IF(LEN(INDEX('Aides'!$C$4:$C$503,447))=0,"",INDEX('Aides'!$C$4:$C$503,447))&amp;") – "&amp;IF(LEN(INDEX('Aides'!$A$4:$A$503,447))=0,"",INDEX('Aides'!$A$4:$A$503,447))</f>
        <v/>
      </c>
      <c r="E450">
        <f>IF(ISNUMBER(INDEX('Aides'!$I$4:$I$503,447)),TEXT(INDEX('Aides'!$I$4:$I$503,447),"yyyy-mm-dd"),"")</f>
        <v/>
      </c>
      <c r="F450">
        <f>"Certification"</f>
        <v/>
      </c>
      <c r="G450">
        <f>"High"</f>
        <v/>
      </c>
      <c r="H450">
        <f>TRIM(IF(LEN(IF(LEN(INDEX('Aides'!$D$4:$D$503,447))=0,"",INDEX('Aides'!$D$4:$D$503,447)))=0,"","Registry no.: "&amp;IF(LEN(INDEX('Aides'!$D$4:$D$503,447))=0,"",INDEX('Aides'!$D$4:$D$503,447))&amp;". ")&amp;IF(LEN(IF(ISNUMBER(INDEX('Aides'!$F$4:$F$503,447)),TEXT(INDEX('Aides'!$F$4:$F$503,447),"yyyy-mm-dd"),""))=0,"","Registry expiry: "&amp;IF(ISNUMBER(INDEX('Aides'!$F$4:$F$503,447)),TEXT(INDEX('Aides'!$F$4:$F$503,447),"yyyy-mm-dd"),"")&amp;". ")&amp;IF(LEN(IF(ISNUMBER(INDEX('Aides'!$G$4:$G$503,447)),TEXT(INDEX('Aides'!$G$4:$G$503,447),"yyyy-mm-dd"),""))=0,"","Last paid nursing work: "&amp;IF(ISNUMBER(INDEX('Aides'!$G$4:$G$503,447)),TEXT(INDEX('Aides'!$G$4:$G$503,447),"yyyy-mm-dd"),"")&amp;". ")&amp;IF(LEN(IF(ISNUMBER(INDEX('Aides'!$H$4:$H$503,447)),TEXT(INDEX('Aides'!$H$4:$H$503,447),"yyyy-mm-dd"),""))=0,"","24-month cut-off: "&amp;IF(ISNUMBER(INDEX('Aides'!$H$4:$H$503,447)),TEXT(INDEX('Aides'!$H$4:$H$503,447),"yyyy-mm-dd"),"")&amp;". ")&amp;IF(LEN(IF(LEN(INDEX('Aides'!$U$4:$U$503,447))=0,"",INDEX('Aides'!$U$4:$U$503,447)))=0,"","Owner: "&amp;IF(LEN(INDEX('Aides'!$U$4:$U$503,447))=0,"",INDEX('Aides'!$U$4:$U$503,447))&amp;". ")&amp;IF(LEN(IF(LEN(INDEX('Aides'!$X$4:$X$503,447))=0,"",INDEX('Aides'!$X$4:$X$503,447)))=0,"",IF(LEN(INDEX('Aides'!$X$4:$X$503,447))=0,"",INDEX('Aides'!$X$4:$X$503,447))))</f>
        <v/>
      </c>
      <c r="I450">
        <f>IF(LEN(INDEX('Aides'!$W$4:$W$503,447))=0,"",INDEX('Aides'!$W$4:$W$503,447))</f>
        <v/>
      </c>
      <c r="J450">
        <f>IF(LEN(INDEX('Aides'!$V$4:$V$503,447))=0,"",INDEX('Aides'!$V$4:$V$503,447))</f>
        <v/>
      </c>
    </row>
    <row r="451">
      <c r="A451">
        <f>IF(AND(LEN('Aides'!A451)&gt;0,ISNUMBER('Aides'!I451)),1,0)</f>
        <v/>
      </c>
      <c r="B451">
        <f>B450+A451</f>
        <v/>
      </c>
      <c r="C451">
        <f>IF(448&gt;$B$1503,"",MATCH(448-0.5,$B$3:$B$1503,1))</f>
        <v/>
      </c>
      <c r="D451">
        <f>"CNA certification ("&amp;IF(LEN(INDEX('Aides'!$C$4:$C$503,448))=0,"",INDEX('Aides'!$C$4:$C$503,448))&amp;") – "&amp;IF(LEN(INDEX('Aides'!$A$4:$A$503,448))=0,"",INDEX('Aides'!$A$4:$A$503,448))</f>
        <v/>
      </c>
      <c r="E451">
        <f>IF(ISNUMBER(INDEX('Aides'!$I$4:$I$503,448)),TEXT(INDEX('Aides'!$I$4:$I$503,448),"yyyy-mm-dd"),"")</f>
        <v/>
      </c>
      <c r="F451">
        <f>"Certification"</f>
        <v/>
      </c>
      <c r="G451">
        <f>"High"</f>
        <v/>
      </c>
      <c r="H451">
        <f>TRIM(IF(LEN(IF(LEN(INDEX('Aides'!$D$4:$D$503,448))=0,"",INDEX('Aides'!$D$4:$D$503,448)))=0,"","Registry no.: "&amp;IF(LEN(INDEX('Aides'!$D$4:$D$503,448))=0,"",INDEX('Aides'!$D$4:$D$503,448))&amp;". ")&amp;IF(LEN(IF(ISNUMBER(INDEX('Aides'!$F$4:$F$503,448)),TEXT(INDEX('Aides'!$F$4:$F$503,448),"yyyy-mm-dd"),""))=0,"","Registry expiry: "&amp;IF(ISNUMBER(INDEX('Aides'!$F$4:$F$503,448)),TEXT(INDEX('Aides'!$F$4:$F$503,448),"yyyy-mm-dd"),"")&amp;". ")&amp;IF(LEN(IF(ISNUMBER(INDEX('Aides'!$G$4:$G$503,448)),TEXT(INDEX('Aides'!$G$4:$G$503,448),"yyyy-mm-dd"),""))=0,"","Last paid nursing work: "&amp;IF(ISNUMBER(INDEX('Aides'!$G$4:$G$503,448)),TEXT(INDEX('Aides'!$G$4:$G$503,448),"yyyy-mm-dd"),"")&amp;". ")&amp;IF(LEN(IF(ISNUMBER(INDEX('Aides'!$H$4:$H$503,448)),TEXT(INDEX('Aides'!$H$4:$H$503,448),"yyyy-mm-dd"),""))=0,"","24-month cut-off: "&amp;IF(ISNUMBER(INDEX('Aides'!$H$4:$H$503,448)),TEXT(INDEX('Aides'!$H$4:$H$503,448),"yyyy-mm-dd"),"")&amp;". ")&amp;IF(LEN(IF(LEN(INDEX('Aides'!$U$4:$U$503,448))=0,"",INDEX('Aides'!$U$4:$U$503,448)))=0,"","Owner: "&amp;IF(LEN(INDEX('Aides'!$U$4:$U$503,448))=0,"",INDEX('Aides'!$U$4:$U$503,448))&amp;". ")&amp;IF(LEN(IF(LEN(INDEX('Aides'!$X$4:$X$503,448))=0,"",INDEX('Aides'!$X$4:$X$503,448)))=0,"",IF(LEN(INDEX('Aides'!$X$4:$X$503,448))=0,"",INDEX('Aides'!$X$4:$X$503,448))))</f>
        <v/>
      </c>
      <c r="I451">
        <f>IF(LEN(INDEX('Aides'!$W$4:$W$503,448))=0,"",INDEX('Aides'!$W$4:$W$503,448))</f>
        <v/>
      </c>
      <c r="J451">
        <f>IF(LEN(INDEX('Aides'!$V$4:$V$503,448))=0,"",INDEX('Aides'!$V$4:$V$503,448))</f>
        <v/>
      </c>
    </row>
    <row r="452">
      <c r="A452">
        <f>IF(AND(LEN('Aides'!A452)&gt;0,ISNUMBER('Aides'!I452)),1,0)</f>
        <v/>
      </c>
      <c r="B452">
        <f>B451+A452</f>
        <v/>
      </c>
      <c r="C452">
        <f>IF(449&gt;$B$1503,"",MATCH(449-0.5,$B$3:$B$1503,1))</f>
        <v/>
      </c>
      <c r="D452">
        <f>"CNA certification ("&amp;IF(LEN(INDEX('Aides'!$C$4:$C$503,449))=0,"",INDEX('Aides'!$C$4:$C$503,449))&amp;") – "&amp;IF(LEN(INDEX('Aides'!$A$4:$A$503,449))=0,"",INDEX('Aides'!$A$4:$A$503,449))</f>
        <v/>
      </c>
      <c r="E452">
        <f>IF(ISNUMBER(INDEX('Aides'!$I$4:$I$503,449)),TEXT(INDEX('Aides'!$I$4:$I$503,449),"yyyy-mm-dd"),"")</f>
        <v/>
      </c>
      <c r="F452">
        <f>"Certification"</f>
        <v/>
      </c>
      <c r="G452">
        <f>"High"</f>
        <v/>
      </c>
      <c r="H452">
        <f>TRIM(IF(LEN(IF(LEN(INDEX('Aides'!$D$4:$D$503,449))=0,"",INDEX('Aides'!$D$4:$D$503,449)))=0,"","Registry no.: "&amp;IF(LEN(INDEX('Aides'!$D$4:$D$503,449))=0,"",INDEX('Aides'!$D$4:$D$503,449))&amp;". ")&amp;IF(LEN(IF(ISNUMBER(INDEX('Aides'!$F$4:$F$503,449)),TEXT(INDEX('Aides'!$F$4:$F$503,449),"yyyy-mm-dd"),""))=0,"","Registry expiry: "&amp;IF(ISNUMBER(INDEX('Aides'!$F$4:$F$503,449)),TEXT(INDEX('Aides'!$F$4:$F$503,449),"yyyy-mm-dd"),"")&amp;". ")&amp;IF(LEN(IF(ISNUMBER(INDEX('Aides'!$G$4:$G$503,449)),TEXT(INDEX('Aides'!$G$4:$G$503,449),"yyyy-mm-dd"),""))=0,"","Last paid nursing work: "&amp;IF(ISNUMBER(INDEX('Aides'!$G$4:$G$503,449)),TEXT(INDEX('Aides'!$G$4:$G$503,449),"yyyy-mm-dd"),"")&amp;". ")&amp;IF(LEN(IF(ISNUMBER(INDEX('Aides'!$H$4:$H$503,449)),TEXT(INDEX('Aides'!$H$4:$H$503,449),"yyyy-mm-dd"),""))=0,"","24-month cut-off: "&amp;IF(ISNUMBER(INDEX('Aides'!$H$4:$H$503,449)),TEXT(INDEX('Aides'!$H$4:$H$503,449),"yyyy-mm-dd"),"")&amp;". ")&amp;IF(LEN(IF(LEN(INDEX('Aides'!$U$4:$U$503,449))=0,"",INDEX('Aides'!$U$4:$U$503,449)))=0,"","Owner: "&amp;IF(LEN(INDEX('Aides'!$U$4:$U$503,449))=0,"",INDEX('Aides'!$U$4:$U$503,449))&amp;". ")&amp;IF(LEN(IF(LEN(INDEX('Aides'!$X$4:$X$503,449))=0,"",INDEX('Aides'!$X$4:$X$503,449)))=0,"",IF(LEN(INDEX('Aides'!$X$4:$X$503,449))=0,"",INDEX('Aides'!$X$4:$X$503,449))))</f>
        <v/>
      </c>
      <c r="I452">
        <f>IF(LEN(INDEX('Aides'!$W$4:$W$503,449))=0,"",INDEX('Aides'!$W$4:$W$503,449))</f>
        <v/>
      </c>
      <c r="J452">
        <f>IF(LEN(INDEX('Aides'!$V$4:$V$503,449))=0,"",INDEX('Aides'!$V$4:$V$503,449))</f>
        <v/>
      </c>
    </row>
    <row r="453">
      <c r="A453">
        <f>IF(AND(LEN('Aides'!A453)&gt;0,ISNUMBER('Aides'!I453)),1,0)</f>
        <v/>
      </c>
      <c r="B453">
        <f>B452+A453</f>
        <v/>
      </c>
      <c r="C453">
        <f>IF(450&gt;$B$1503,"",MATCH(450-0.5,$B$3:$B$1503,1))</f>
        <v/>
      </c>
      <c r="D453">
        <f>"CNA certification ("&amp;IF(LEN(INDEX('Aides'!$C$4:$C$503,450))=0,"",INDEX('Aides'!$C$4:$C$503,450))&amp;") – "&amp;IF(LEN(INDEX('Aides'!$A$4:$A$503,450))=0,"",INDEX('Aides'!$A$4:$A$503,450))</f>
        <v/>
      </c>
      <c r="E453">
        <f>IF(ISNUMBER(INDEX('Aides'!$I$4:$I$503,450)),TEXT(INDEX('Aides'!$I$4:$I$503,450),"yyyy-mm-dd"),"")</f>
        <v/>
      </c>
      <c r="F453">
        <f>"Certification"</f>
        <v/>
      </c>
      <c r="G453">
        <f>"High"</f>
        <v/>
      </c>
      <c r="H453">
        <f>TRIM(IF(LEN(IF(LEN(INDEX('Aides'!$D$4:$D$503,450))=0,"",INDEX('Aides'!$D$4:$D$503,450)))=0,"","Registry no.: "&amp;IF(LEN(INDEX('Aides'!$D$4:$D$503,450))=0,"",INDEX('Aides'!$D$4:$D$503,450))&amp;". ")&amp;IF(LEN(IF(ISNUMBER(INDEX('Aides'!$F$4:$F$503,450)),TEXT(INDEX('Aides'!$F$4:$F$503,450),"yyyy-mm-dd"),""))=0,"","Registry expiry: "&amp;IF(ISNUMBER(INDEX('Aides'!$F$4:$F$503,450)),TEXT(INDEX('Aides'!$F$4:$F$503,450),"yyyy-mm-dd"),"")&amp;". ")&amp;IF(LEN(IF(ISNUMBER(INDEX('Aides'!$G$4:$G$503,450)),TEXT(INDEX('Aides'!$G$4:$G$503,450),"yyyy-mm-dd"),""))=0,"","Last paid nursing work: "&amp;IF(ISNUMBER(INDEX('Aides'!$G$4:$G$503,450)),TEXT(INDEX('Aides'!$G$4:$G$503,450),"yyyy-mm-dd"),"")&amp;". ")&amp;IF(LEN(IF(ISNUMBER(INDEX('Aides'!$H$4:$H$503,450)),TEXT(INDEX('Aides'!$H$4:$H$503,450),"yyyy-mm-dd"),""))=0,"","24-month cut-off: "&amp;IF(ISNUMBER(INDEX('Aides'!$H$4:$H$503,450)),TEXT(INDEX('Aides'!$H$4:$H$503,450),"yyyy-mm-dd"),"")&amp;". ")&amp;IF(LEN(IF(LEN(INDEX('Aides'!$U$4:$U$503,450))=0,"",INDEX('Aides'!$U$4:$U$503,450)))=0,"","Owner: "&amp;IF(LEN(INDEX('Aides'!$U$4:$U$503,450))=0,"",INDEX('Aides'!$U$4:$U$503,450))&amp;". ")&amp;IF(LEN(IF(LEN(INDEX('Aides'!$X$4:$X$503,450))=0,"",INDEX('Aides'!$X$4:$X$503,450)))=0,"",IF(LEN(INDEX('Aides'!$X$4:$X$503,450))=0,"",INDEX('Aides'!$X$4:$X$503,450))))</f>
        <v/>
      </c>
      <c r="I453">
        <f>IF(LEN(INDEX('Aides'!$W$4:$W$503,450))=0,"",INDEX('Aides'!$W$4:$W$503,450))</f>
        <v/>
      </c>
      <c r="J453">
        <f>IF(LEN(INDEX('Aides'!$V$4:$V$503,450))=0,"",INDEX('Aides'!$V$4:$V$503,450))</f>
        <v/>
      </c>
    </row>
    <row r="454">
      <c r="A454">
        <f>IF(AND(LEN('Aides'!A454)&gt;0,ISNUMBER('Aides'!I454)),1,0)</f>
        <v/>
      </c>
      <c r="B454">
        <f>B453+A454</f>
        <v/>
      </c>
      <c r="C454">
        <f>IF(451&gt;$B$1503,"",MATCH(451-0.5,$B$3:$B$1503,1))</f>
        <v/>
      </c>
      <c r="D454">
        <f>"CNA certification ("&amp;IF(LEN(INDEX('Aides'!$C$4:$C$503,451))=0,"",INDEX('Aides'!$C$4:$C$503,451))&amp;") – "&amp;IF(LEN(INDEX('Aides'!$A$4:$A$503,451))=0,"",INDEX('Aides'!$A$4:$A$503,451))</f>
        <v/>
      </c>
      <c r="E454">
        <f>IF(ISNUMBER(INDEX('Aides'!$I$4:$I$503,451)),TEXT(INDEX('Aides'!$I$4:$I$503,451),"yyyy-mm-dd"),"")</f>
        <v/>
      </c>
      <c r="F454">
        <f>"Certification"</f>
        <v/>
      </c>
      <c r="G454">
        <f>"High"</f>
        <v/>
      </c>
      <c r="H454">
        <f>TRIM(IF(LEN(IF(LEN(INDEX('Aides'!$D$4:$D$503,451))=0,"",INDEX('Aides'!$D$4:$D$503,451)))=0,"","Registry no.: "&amp;IF(LEN(INDEX('Aides'!$D$4:$D$503,451))=0,"",INDEX('Aides'!$D$4:$D$503,451))&amp;". ")&amp;IF(LEN(IF(ISNUMBER(INDEX('Aides'!$F$4:$F$503,451)),TEXT(INDEX('Aides'!$F$4:$F$503,451),"yyyy-mm-dd"),""))=0,"","Registry expiry: "&amp;IF(ISNUMBER(INDEX('Aides'!$F$4:$F$503,451)),TEXT(INDEX('Aides'!$F$4:$F$503,451),"yyyy-mm-dd"),"")&amp;". ")&amp;IF(LEN(IF(ISNUMBER(INDEX('Aides'!$G$4:$G$503,451)),TEXT(INDEX('Aides'!$G$4:$G$503,451),"yyyy-mm-dd"),""))=0,"","Last paid nursing work: "&amp;IF(ISNUMBER(INDEX('Aides'!$G$4:$G$503,451)),TEXT(INDEX('Aides'!$G$4:$G$503,451),"yyyy-mm-dd"),"")&amp;". ")&amp;IF(LEN(IF(ISNUMBER(INDEX('Aides'!$H$4:$H$503,451)),TEXT(INDEX('Aides'!$H$4:$H$503,451),"yyyy-mm-dd"),""))=0,"","24-month cut-off: "&amp;IF(ISNUMBER(INDEX('Aides'!$H$4:$H$503,451)),TEXT(INDEX('Aides'!$H$4:$H$503,451),"yyyy-mm-dd"),"")&amp;". ")&amp;IF(LEN(IF(LEN(INDEX('Aides'!$U$4:$U$503,451))=0,"",INDEX('Aides'!$U$4:$U$503,451)))=0,"","Owner: "&amp;IF(LEN(INDEX('Aides'!$U$4:$U$503,451))=0,"",INDEX('Aides'!$U$4:$U$503,451))&amp;". ")&amp;IF(LEN(IF(LEN(INDEX('Aides'!$X$4:$X$503,451))=0,"",INDEX('Aides'!$X$4:$X$503,451)))=0,"",IF(LEN(INDEX('Aides'!$X$4:$X$503,451))=0,"",INDEX('Aides'!$X$4:$X$503,451))))</f>
        <v/>
      </c>
      <c r="I454">
        <f>IF(LEN(INDEX('Aides'!$W$4:$W$503,451))=0,"",INDEX('Aides'!$W$4:$W$503,451))</f>
        <v/>
      </c>
      <c r="J454">
        <f>IF(LEN(INDEX('Aides'!$V$4:$V$503,451))=0,"",INDEX('Aides'!$V$4:$V$503,451))</f>
        <v/>
      </c>
    </row>
    <row r="455">
      <c r="A455">
        <f>IF(AND(LEN('Aides'!A455)&gt;0,ISNUMBER('Aides'!I455)),1,0)</f>
        <v/>
      </c>
      <c r="B455">
        <f>B454+A455</f>
        <v/>
      </c>
      <c r="C455">
        <f>IF(452&gt;$B$1503,"",MATCH(452-0.5,$B$3:$B$1503,1))</f>
        <v/>
      </c>
      <c r="D455">
        <f>"CNA certification ("&amp;IF(LEN(INDEX('Aides'!$C$4:$C$503,452))=0,"",INDEX('Aides'!$C$4:$C$503,452))&amp;") – "&amp;IF(LEN(INDEX('Aides'!$A$4:$A$503,452))=0,"",INDEX('Aides'!$A$4:$A$503,452))</f>
        <v/>
      </c>
      <c r="E455">
        <f>IF(ISNUMBER(INDEX('Aides'!$I$4:$I$503,452)),TEXT(INDEX('Aides'!$I$4:$I$503,452),"yyyy-mm-dd"),"")</f>
        <v/>
      </c>
      <c r="F455">
        <f>"Certification"</f>
        <v/>
      </c>
      <c r="G455">
        <f>"High"</f>
        <v/>
      </c>
      <c r="H455">
        <f>TRIM(IF(LEN(IF(LEN(INDEX('Aides'!$D$4:$D$503,452))=0,"",INDEX('Aides'!$D$4:$D$503,452)))=0,"","Registry no.: "&amp;IF(LEN(INDEX('Aides'!$D$4:$D$503,452))=0,"",INDEX('Aides'!$D$4:$D$503,452))&amp;". ")&amp;IF(LEN(IF(ISNUMBER(INDEX('Aides'!$F$4:$F$503,452)),TEXT(INDEX('Aides'!$F$4:$F$503,452),"yyyy-mm-dd"),""))=0,"","Registry expiry: "&amp;IF(ISNUMBER(INDEX('Aides'!$F$4:$F$503,452)),TEXT(INDEX('Aides'!$F$4:$F$503,452),"yyyy-mm-dd"),"")&amp;". ")&amp;IF(LEN(IF(ISNUMBER(INDEX('Aides'!$G$4:$G$503,452)),TEXT(INDEX('Aides'!$G$4:$G$503,452),"yyyy-mm-dd"),""))=0,"","Last paid nursing work: "&amp;IF(ISNUMBER(INDEX('Aides'!$G$4:$G$503,452)),TEXT(INDEX('Aides'!$G$4:$G$503,452),"yyyy-mm-dd"),"")&amp;". ")&amp;IF(LEN(IF(ISNUMBER(INDEX('Aides'!$H$4:$H$503,452)),TEXT(INDEX('Aides'!$H$4:$H$503,452),"yyyy-mm-dd"),""))=0,"","24-month cut-off: "&amp;IF(ISNUMBER(INDEX('Aides'!$H$4:$H$503,452)),TEXT(INDEX('Aides'!$H$4:$H$503,452),"yyyy-mm-dd"),"")&amp;". ")&amp;IF(LEN(IF(LEN(INDEX('Aides'!$U$4:$U$503,452))=0,"",INDEX('Aides'!$U$4:$U$503,452)))=0,"","Owner: "&amp;IF(LEN(INDEX('Aides'!$U$4:$U$503,452))=0,"",INDEX('Aides'!$U$4:$U$503,452))&amp;". ")&amp;IF(LEN(IF(LEN(INDEX('Aides'!$X$4:$X$503,452))=0,"",INDEX('Aides'!$X$4:$X$503,452)))=0,"",IF(LEN(INDEX('Aides'!$X$4:$X$503,452))=0,"",INDEX('Aides'!$X$4:$X$503,452))))</f>
        <v/>
      </c>
      <c r="I455">
        <f>IF(LEN(INDEX('Aides'!$W$4:$W$503,452))=0,"",INDEX('Aides'!$W$4:$W$503,452))</f>
        <v/>
      </c>
      <c r="J455">
        <f>IF(LEN(INDEX('Aides'!$V$4:$V$503,452))=0,"",INDEX('Aides'!$V$4:$V$503,452))</f>
        <v/>
      </c>
    </row>
    <row r="456">
      <c r="A456">
        <f>IF(AND(LEN('Aides'!A456)&gt;0,ISNUMBER('Aides'!I456)),1,0)</f>
        <v/>
      </c>
      <c r="B456">
        <f>B455+A456</f>
        <v/>
      </c>
      <c r="C456">
        <f>IF(453&gt;$B$1503,"",MATCH(453-0.5,$B$3:$B$1503,1))</f>
        <v/>
      </c>
      <c r="D456">
        <f>"CNA certification ("&amp;IF(LEN(INDEX('Aides'!$C$4:$C$503,453))=0,"",INDEX('Aides'!$C$4:$C$503,453))&amp;") – "&amp;IF(LEN(INDEX('Aides'!$A$4:$A$503,453))=0,"",INDEX('Aides'!$A$4:$A$503,453))</f>
        <v/>
      </c>
      <c r="E456">
        <f>IF(ISNUMBER(INDEX('Aides'!$I$4:$I$503,453)),TEXT(INDEX('Aides'!$I$4:$I$503,453),"yyyy-mm-dd"),"")</f>
        <v/>
      </c>
      <c r="F456">
        <f>"Certification"</f>
        <v/>
      </c>
      <c r="G456">
        <f>"High"</f>
        <v/>
      </c>
      <c r="H456">
        <f>TRIM(IF(LEN(IF(LEN(INDEX('Aides'!$D$4:$D$503,453))=0,"",INDEX('Aides'!$D$4:$D$503,453)))=0,"","Registry no.: "&amp;IF(LEN(INDEX('Aides'!$D$4:$D$503,453))=0,"",INDEX('Aides'!$D$4:$D$503,453))&amp;". ")&amp;IF(LEN(IF(ISNUMBER(INDEX('Aides'!$F$4:$F$503,453)),TEXT(INDEX('Aides'!$F$4:$F$503,453),"yyyy-mm-dd"),""))=0,"","Registry expiry: "&amp;IF(ISNUMBER(INDEX('Aides'!$F$4:$F$503,453)),TEXT(INDEX('Aides'!$F$4:$F$503,453),"yyyy-mm-dd"),"")&amp;". ")&amp;IF(LEN(IF(ISNUMBER(INDEX('Aides'!$G$4:$G$503,453)),TEXT(INDEX('Aides'!$G$4:$G$503,453),"yyyy-mm-dd"),""))=0,"","Last paid nursing work: "&amp;IF(ISNUMBER(INDEX('Aides'!$G$4:$G$503,453)),TEXT(INDEX('Aides'!$G$4:$G$503,453),"yyyy-mm-dd"),"")&amp;". ")&amp;IF(LEN(IF(ISNUMBER(INDEX('Aides'!$H$4:$H$503,453)),TEXT(INDEX('Aides'!$H$4:$H$503,453),"yyyy-mm-dd"),""))=0,"","24-month cut-off: "&amp;IF(ISNUMBER(INDEX('Aides'!$H$4:$H$503,453)),TEXT(INDEX('Aides'!$H$4:$H$503,453),"yyyy-mm-dd"),"")&amp;". ")&amp;IF(LEN(IF(LEN(INDEX('Aides'!$U$4:$U$503,453))=0,"",INDEX('Aides'!$U$4:$U$503,453)))=0,"","Owner: "&amp;IF(LEN(INDEX('Aides'!$U$4:$U$503,453))=0,"",INDEX('Aides'!$U$4:$U$503,453))&amp;". ")&amp;IF(LEN(IF(LEN(INDEX('Aides'!$X$4:$X$503,453))=0,"",INDEX('Aides'!$X$4:$X$503,453)))=0,"",IF(LEN(INDEX('Aides'!$X$4:$X$503,453))=0,"",INDEX('Aides'!$X$4:$X$503,453))))</f>
        <v/>
      </c>
      <c r="I456">
        <f>IF(LEN(INDEX('Aides'!$W$4:$W$503,453))=0,"",INDEX('Aides'!$W$4:$W$503,453))</f>
        <v/>
      </c>
      <c r="J456">
        <f>IF(LEN(INDEX('Aides'!$V$4:$V$503,453))=0,"",INDEX('Aides'!$V$4:$V$503,453))</f>
        <v/>
      </c>
    </row>
    <row r="457">
      <c r="A457">
        <f>IF(AND(LEN('Aides'!A457)&gt;0,ISNUMBER('Aides'!I457)),1,0)</f>
        <v/>
      </c>
      <c r="B457">
        <f>B456+A457</f>
        <v/>
      </c>
      <c r="C457">
        <f>IF(454&gt;$B$1503,"",MATCH(454-0.5,$B$3:$B$1503,1))</f>
        <v/>
      </c>
      <c r="D457">
        <f>"CNA certification ("&amp;IF(LEN(INDEX('Aides'!$C$4:$C$503,454))=0,"",INDEX('Aides'!$C$4:$C$503,454))&amp;") – "&amp;IF(LEN(INDEX('Aides'!$A$4:$A$503,454))=0,"",INDEX('Aides'!$A$4:$A$503,454))</f>
        <v/>
      </c>
      <c r="E457">
        <f>IF(ISNUMBER(INDEX('Aides'!$I$4:$I$503,454)),TEXT(INDEX('Aides'!$I$4:$I$503,454),"yyyy-mm-dd"),"")</f>
        <v/>
      </c>
      <c r="F457">
        <f>"Certification"</f>
        <v/>
      </c>
      <c r="G457">
        <f>"High"</f>
        <v/>
      </c>
      <c r="H457">
        <f>TRIM(IF(LEN(IF(LEN(INDEX('Aides'!$D$4:$D$503,454))=0,"",INDEX('Aides'!$D$4:$D$503,454)))=0,"","Registry no.: "&amp;IF(LEN(INDEX('Aides'!$D$4:$D$503,454))=0,"",INDEX('Aides'!$D$4:$D$503,454))&amp;". ")&amp;IF(LEN(IF(ISNUMBER(INDEX('Aides'!$F$4:$F$503,454)),TEXT(INDEX('Aides'!$F$4:$F$503,454),"yyyy-mm-dd"),""))=0,"","Registry expiry: "&amp;IF(ISNUMBER(INDEX('Aides'!$F$4:$F$503,454)),TEXT(INDEX('Aides'!$F$4:$F$503,454),"yyyy-mm-dd"),"")&amp;". ")&amp;IF(LEN(IF(ISNUMBER(INDEX('Aides'!$G$4:$G$503,454)),TEXT(INDEX('Aides'!$G$4:$G$503,454),"yyyy-mm-dd"),""))=0,"","Last paid nursing work: "&amp;IF(ISNUMBER(INDEX('Aides'!$G$4:$G$503,454)),TEXT(INDEX('Aides'!$G$4:$G$503,454),"yyyy-mm-dd"),"")&amp;". ")&amp;IF(LEN(IF(ISNUMBER(INDEX('Aides'!$H$4:$H$503,454)),TEXT(INDEX('Aides'!$H$4:$H$503,454),"yyyy-mm-dd"),""))=0,"","24-month cut-off: "&amp;IF(ISNUMBER(INDEX('Aides'!$H$4:$H$503,454)),TEXT(INDEX('Aides'!$H$4:$H$503,454),"yyyy-mm-dd"),"")&amp;". ")&amp;IF(LEN(IF(LEN(INDEX('Aides'!$U$4:$U$503,454))=0,"",INDEX('Aides'!$U$4:$U$503,454)))=0,"","Owner: "&amp;IF(LEN(INDEX('Aides'!$U$4:$U$503,454))=0,"",INDEX('Aides'!$U$4:$U$503,454))&amp;". ")&amp;IF(LEN(IF(LEN(INDEX('Aides'!$X$4:$X$503,454))=0,"",INDEX('Aides'!$X$4:$X$503,454)))=0,"",IF(LEN(INDEX('Aides'!$X$4:$X$503,454))=0,"",INDEX('Aides'!$X$4:$X$503,454))))</f>
        <v/>
      </c>
      <c r="I457">
        <f>IF(LEN(INDEX('Aides'!$W$4:$W$503,454))=0,"",INDEX('Aides'!$W$4:$W$503,454))</f>
        <v/>
      </c>
      <c r="J457">
        <f>IF(LEN(INDEX('Aides'!$V$4:$V$503,454))=0,"",INDEX('Aides'!$V$4:$V$503,454))</f>
        <v/>
      </c>
    </row>
    <row r="458">
      <c r="A458">
        <f>IF(AND(LEN('Aides'!A458)&gt;0,ISNUMBER('Aides'!I458)),1,0)</f>
        <v/>
      </c>
      <c r="B458">
        <f>B457+A458</f>
        <v/>
      </c>
      <c r="C458">
        <f>IF(455&gt;$B$1503,"",MATCH(455-0.5,$B$3:$B$1503,1))</f>
        <v/>
      </c>
      <c r="D458">
        <f>"CNA certification ("&amp;IF(LEN(INDEX('Aides'!$C$4:$C$503,455))=0,"",INDEX('Aides'!$C$4:$C$503,455))&amp;") – "&amp;IF(LEN(INDEX('Aides'!$A$4:$A$503,455))=0,"",INDEX('Aides'!$A$4:$A$503,455))</f>
        <v/>
      </c>
      <c r="E458">
        <f>IF(ISNUMBER(INDEX('Aides'!$I$4:$I$503,455)),TEXT(INDEX('Aides'!$I$4:$I$503,455),"yyyy-mm-dd"),"")</f>
        <v/>
      </c>
      <c r="F458">
        <f>"Certification"</f>
        <v/>
      </c>
      <c r="G458">
        <f>"High"</f>
        <v/>
      </c>
      <c r="H458">
        <f>TRIM(IF(LEN(IF(LEN(INDEX('Aides'!$D$4:$D$503,455))=0,"",INDEX('Aides'!$D$4:$D$503,455)))=0,"","Registry no.: "&amp;IF(LEN(INDEX('Aides'!$D$4:$D$503,455))=0,"",INDEX('Aides'!$D$4:$D$503,455))&amp;". ")&amp;IF(LEN(IF(ISNUMBER(INDEX('Aides'!$F$4:$F$503,455)),TEXT(INDEX('Aides'!$F$4:$F$503,455),"yyyy-mm-dd"),""))=0,"","Registry expiry: "&amp;IF(ISNUMBER(INDEX('Aides'!$F$4:$F$503,455)),TEXT(INDEX('Aides'!$F$4:$F$503,455),"yyyy-mm-dd"),"")&amp;". ")&amp;IF(LEN(IF(ISNUMBER(INDEX('Aides'!$G$4:$G$503,455)),TEXT(INDEX('Aides'!$G$4:$G$503,455),"yyyy-mm-dd"),""))=0,"","Last paid nursing work: "&amp;IF(ISNUMBER(INDEX('Aides'!$G$4:$G$503,455)),TEXT(INDEX('Aides'!$G$4:$G$503,455),"yyyy-mm-dd"),"")&amp;". ")&amp;IF(LEN(IF(ISNUMBER(INDEX('Aides'!$H$4:$H$503,455)),TEXT(INDEX('Aides'!$H$4:$H$503,455),"yyyy-mm-dd"),""))=0,"","24-month cut-off: "&amp;IF(ISNUMBER(INDEX('Aides'!$H$4:$H$503,455)),TEXT(INDEX('Aides'!$H$4:$H$503,455),"yyyy-mm-dd"),"")&amp;". ")&amp;IF(LEN(IF(LEN(INDEX('Aides'!$U$4:$U$503,455))=0,"",INDEX('Aides'!$U$4:$U$503,455)))=0,"","Owner: "&amp;IF(LEN(INDEX('Aides'!$U$4:$U$503,455))=0,"",INDEX('Aides'!$U$4:$U$503,455))&amp;". ")&amp;IF(LEN(IF(LEN(INDEX('Aides'!$X$4:$X$503,455))=0,"",INDEX('Aides'!$X$4:$X$503,455)))=0,"",IF(LEN(INDEX('Aides'!$X$4:$X$503,455))=0,"",INDEX('Aides'!$X$4:$X$503,455))))</f>
        <v/>
      </c>
      <c r="I458">
        <f>IF(LEN(INDEX('Aides'!$W$4:$W$503,455))=0,"",INDEX('Aides'!$W$4:$W$503,455))</f>
        <v/>
      </c>
      <c r="J458">
        <f>IF(LEN(INDEX('Aides'!$V$4:$V$503,455))=0,"",INDEX('Aides'!$V$4:$V$503,455))</f>
        <v/>
      </c>
    </row>
    <row r="459">
      <c r="A459">
        <f>IF(AND(LEN('Aides'!A459)&gt;0,ISNUMBER('Aides'!I459)),1,0)</f>
        <v/>
      </c>
      <c r="B459">
        <f>B458+A459</f>
        <v/>
      </c>
      <c r="C459">
        <f>IF(456&gt;$B$1503,"",MATCH(456-0.5,$B$3:$B$1503,1))</f>
        <v/>
      </c>
      <c r="D459">
        <f>"CNA certification ("&amp;IF(LEN(INDEX('Aides'!$C$4:$C$503,456))=0,"",INDEX('Aides'!$C$4:$C$503,456))&amp;") – "&amp;IF(LEN(INDEX('Aides'!$A$4:$A$503,456))=0,"",INDEX('Aides'!$A$4:$A$503,456))</f>
        <v/>
      </c>
      <c r="E459">
        <f>IF(ISNUMBER(INDEX('Aides'!$I$4:$I$503,456)),TEXT(INDEX('Aides'!$I$4:$I$503,456),"yyyy-mm-dd"),"")</f>
        <v/>
      </c>
      <c r="F459">
        <f>"Certification"</f>
        <v/>
      </c>
      <c r="G459">
        <f>"High"</f>
        <v/>
      </c>
      <c r="H459">
        <f>TRIM(IF(LEN(IF(LEN(INDEX('Aides'!$D$4:$D$503,456))=0,"",INDEX('Aides'!$D$4:$D$503,456)))=0,"","Registry no.: "&amp;IF(LEN(INDEX('Aides'!$D$4:$D$503,456))=0,"",INDEX('Aides'!$D$4:$D$503,456))&amp;". ")&amp;IF(LEN(IF(ISNUMBER(INDEX('Aides'!$F$4:$F$503,456)),TEXT(INDEX('Aides'!$F$4:$F$503,456),"yyyy-mm-dd"),""))=0,"","Registry expiry: "&amp;IF(ISNUMBER(INDEX('Aides'!$F$4:$F$503,456)),TEXT(INDEX('Aides'!$F$4:$F$503,456),"yyyy-mm-dd"),"")&amp;". ")&amp;IF(LEN(IF(ISNUMBER(INDEX('Aides'!$G$4:$G$503,456)),TEXT(INDEX('Aides'!$G$4:$G$503,456),"yyyy-mm-dd"),""))=0,"","Last paid nursing work: "&amp;IF(ISNUMBER(INDEX('Aides'!$G$4:$G$503,456)),TEXT(INDEX('Aides'!$G$4:$G$503,456),"yyyy-mm-dd"),"")&amp;". ")&amp;IF(LEN(IF(ISNUMBER(INDEX('Aides'!$H$4:$H$503,456)),TEXT(INDEX('Aides'!$H$4:$H$503,456),"yyyy-mm-dd"),""))=0,"","24-month cut-off: "&amp;IF(ISNUMBER(INDEX('Aides'!$H$4:$H$503,456)),TEXT(INDEX('Aides'!$H$4:$H$503,456),"yyyy-mm-dd"),"")&amp;". ")&amp;IF(LEN(IF(LEN(INDEX('Aides'!$U$4:$U$503,456))=0,"",INDEX('Aides'!$U$4:$U$503,456)))=0,"","Owner: "&amp;IF(LEN(INDEX('Aides'!$U$4:$U$503,456))=0,"",INDEX('Aides'!$U$4:$U$503,456))&amp;". ")&amp;IF(LEN(IF(LEN(INDEX('Aides'!$X$4:$X$503,456))=0,"",INDEX('Aides'!$X$4:$X$503,456)))=0,"",IF(LEN(INDEX('Aides'!$X$4:$X$503,456))=0,"",INDEX('Aides'!$X$4:$X$503,456))))</f>
        <v/>
      </c>
      <c r="I459">
        <f>IF(LEN(INDEX('Aides'!$W$4:$W$503,456))=0,"",INDEX('Aides'!$W$4:$W$503,456))</f>
        <v/>
      </c>
      <c r="J459">
        <f>IF(LEN(INDEX('Aides'!$V$4:$V$503,456))=0,"",INDEX('Aides'!$V$4:$V$503,456))</f>
        <v/>
      </c>
    </row>
    <row r="460">
      <c r="A460">
        <f>IF(AND(LEN('Aides'!A460)&gt;0,ISNUMBER('Aides'!I460)),1,0)</f>
        <v/>
      </c>
      <c r="B460">
        <f>B459+A460</f>
        <v/>
      </c>
      <c r="C460">
        <f>IF(457&gt;$B$1503,"",MATCH(457-0.5,$B$3:$B$1503,1))</f>
        <v/>
      </c>
      <c r="D460">
        <f>"CNA certification ("&amp;IF(LEN(INDEX('Aides'!$C$4:$C$503,457))=0,"",INDEX('Aides'!$C$4:$C$503,457))&amp;") – "&amp;IF(LEN(INDEX('Aides'!$A$4:$A$503,457))=0,"",INDEX('Aides'!$A$4:$A$503,457))</f>
        <v/>
      </c>
      <c r="E460">
        <f>IF(ISNUMBER(INDEX('Aides'!$I$4:$I$503,457)),TEXT(INDEX('Aides'!$I$4:$I$503,457),"yyyy-mm-dd"),"")</f>
        <v/>
      </c>
      <c r="F460">
        <f>"Certification"</f>
        <v/>
      </c>
      <c r="G460">
        <f>"High"</f>
        <v/>
      </c>
      <c r="H460">
        <f>TRIM(IF(LEN(IF(LEN(INDEX('Aides'!$D$4:$D$503,457))=0,"",INDEX('Aides'!$D$4:$D$503,457)))=0,"","Registry no.: "&amp;IF(LEN(INDEX('Aides'!$D$4:$D$503,457))=0,"",INDEX('Aides'!$D$4:$D$503,457))&amp;". ")&amp;IF(LEN(IF(ISNUMBER(INDEX('Aides'!$F$4:$F$503,457)),TEXT(INDEX('Aides'!$F$4:$F$503,457),"yyyy-mm-dd"),""))=0,"","Registry expiry: "&amp;IF(ISNUMBER(INDEX('Aides'!$F$4:$F$503,457)),TEXT(INDEX('Aides'!$F$4:$F$503,457),"yyyy-mm-dd"),"")&amp;". ")&amp;IF(LEN(IF(ISNUMBER(INDEX('Aides'!$G$4:$G$503,457)),TEXT(INDEX('Aides'!$G$4:$G$503,457),"yyyy-mm-dd"),""))=0,"","Last paid nursing work: "&amp;IF(ISNUMBER(INDEX('Aides'!$G$4:$G$503,457)),TEXT(INDEX('Aides'!$G$4:$G$503,457),"yyyy-mm-dd"),"")&amp;". ")&amp;IF(LEN(IF(ISNUMBER(INDEX('Aides'!$H$4:$H$503,457)),TEXT(INDEX('Aides'!$H$4:$H$503,457),"yyyy-mm-dd"),""))=0,"","24-month cut-off: "&amp;IF(ISNUMBER(INDEX('Aides'!$H$4:$H$503,457)),TEXT(INDEX('Aides'!$H$4:$H$503,457),"yyyy-mm-dd"),"")&amp;". ")&amp;IF(LEN(IF(LEN(INDEX('Aides'!$U$4:$U$503,457))=0,"",INDEX('Aides'!$U$4:$U$503,457)))=0,"","Owner: "&amp;IF(LEN(INDEX('Aides'!$U$4:$U$503,457))=0,"",INDEX('Aides'!$U$4:$U$503,457))&amp;". ")&amp;IF(LEN(IF(LEN(INDEX('Aides'!$X$4:$X$503,457))=0,"",INDEX('Aides'!$X$4:$X$503,457)))=0,"",IF(LEN(INDEX('Aides'!$X$4:$X$503,457))=0,"",INDEX('Aides'!$X$4:$X$503,457))))</f>
        <v/>
      </c>
      <c r="I460">
        <f>IF(LEN(INDEX('Aides'!$W$4:$W$503,457))=0,"",INDEX('Aides'!$W$4:$W$503,457))</f>
        <v/>
      </c>
      <c r="J460">
        <f>IF(LEN(INDEX('Aides'!$V$4:$V$503,457))=0,"",INDEX('Aides'!$V$4:$V$503,457))</f>
        <v/>
      </c>
    </row>
    <row r="461">
      <c r="A461">
        <f>IF(AND(LEN('Aides'!A461)&gt;0,ISNUMBER('Aides'!I461)),1,0)</f>
        <v/>
      </c>
      <c r="B461">
        <f>B460+A461</f>
        <v/>
      </c>
      <c r="C461">
        <f>IF(458&gt;$B$1503,"",MATCH(458-0.5,$B$3:$B$1503,1))</f>
        <v/>
      </c>
      <c r="D461">
        <f>"CNA certification ("&amp;IF(LEN(INDEX('Aides'!$C$4:$C$503,458))=0,"",INDEX('Aides'!$C$4:$C$503,458))&amp;") – "&amp;IF(LEN(INDEX('Aides'!$A$4:$A$503,458))=0,"",INDEX('Aides'!$A$4:$A$503,458))</f>
        <v/>
      </c>
      <c r="E461">
        <f>IF(ISNUMBER(INDEX('Aides'!$I$4:$I$503,458)),TEXT(INDEX('Aides'!$I$4:$I$503,458),"yyyy-mm-dd"),"")</f>
        <v/>
      </c>
      <c r="F461">
        <f>"Certification"</f>
        <v/>
      </c>
      <c r="G461">
        <f>"High"</f>
        <v/>
      </c>
      <c r="H461">
        <f>TRIM(IF(LEN(IF(LEN(INDEX('Aides'!$D$4:$D$503,458))=0,"",INDEX('Aides'!$D$4:$D$503,458)))=0,"","Registry no.: "&amp;IF(LEN(INDEX('Aides'!$D$4:$D$503,458))=0,"",INDEX('Aides'!$D$4:$D$503,458))&amp;". ")&amp;IF(LEN(IF(ISNUMBER(INDEX('Aides'!$F$4:$F$503,458)),TEXT(INDEX('Aides'!$F$4:$F$503,458),"yyyy-mm-dd"),""))=0,"","Registry expiry: "&amp;IF(ISNUMBER(INDEX('Aides'!$F$4:$F$503,458)),TEXT(INDEX('Aides'!$F$4:$F$503,458),"yyyy-mm-dd"),"")&amp;". ")&amp;IF(LEN(IF(ISNUMBER(INDEX('Aides'!$G$4:$G$503,458)),TEXT(INDEX('Aides'!$G$4:$G$503,458),"yyyy-mm-dd"),""))=0,"","Last paid nursing work: "&amp;IF(ISNUMBER(INDEX('Aides'!$G$4:$G$503,458)),TEXT(INDEX('Aides'!$G$4:$G$503,458),"yyyy-mm-dd"),"")&amp;". ")&amp;IF(LEN(IF(ISNUMBER(INDEX('Aides'!$H$4:$H$503,458)),TEXT(INDEX('Aides'!$H$4:$H$503,458),"yyyy-mm-dd"),""))=0,"","24-month cut-off: "&amp;IF(ISNUMBER(INDEX('Aides'!$H$4:$H$503,458)),TEXT(INDEX('Aides'!$H$4:$H$503,458),"yyyy-mm-dd"),"")&amp;". ")&amp;IF(LEN(IF(LEN(INDEX('Aides'!$U$4:$U$503,458))=0,"",INDEX('Aides'!$U$4:$U$503,458)))=0,"","Owner: "&amp;IF(LEN(INDEX('Aides'!$U$4:$U$503,458))=0,"",INDEX('Aides'!$U$4:$U$503,458))&amp;". ")&amp;IF(LEN(IF(LEN(INDEX('Aides'!$X$4:$X$503,458))=0,"",INDEX('Aides'!$X$4:$X$503,458)))=0,"",IF(LEN(INDEX('Aides'!$X$4:$X$503,458))=0,"",INDEX('Aides'!$X$4:$X$503,458))))</f>
        <v/>
      </c>
      <c r="I461">
        <f>IF(LEN(INDEX('Aides'!$W$4:$W$503,458))=0,"",INDEX('Aides'!$W$4:$W$503,458))</f>
        <v/>
      </c>
      <c r="J461">
        <f>IF(LEN(INDEX('Aides'!$V$4:$V$503,458))=0,"",INDEX('Aides'!$V$4:$V$503,458))</f>
        <v/>
      </c>
    </row>
    <row r="462">
      <c r="A462">
        <f>IF(AND(LEN('Aides'!A462)&gt;0,ISNUMBER('Aides'!I462)),1,0)</f>
        <v/>
      </c>
      <c r="B462">
        <f>B461+A462</f>
        <v/>
      </c>
      <c r="C462">
        <f>IF(459&gt;$B$1503,"",MATCH(459-0.5,$B$3:$B$1503,1))</f>
        <v/>
      </c>
      <c r="D462">
        <f>"CNA certification ("&amp;IF(LEN(INDEX('Aides'!$C$4:$C$503,459))=0,"",INDEX('Aides'!$C$4:$C$503,459))&amp;") – "&amp;IF(LEN(INDEX('Aides'!$A$4:$A$503,459))=0,"",INDEX('Aides'!$A$4:$A$503,459))</f>
        <v/>
      </c>
      <c r="E462">
        <f>IF(ISNUMBER(INDEX('Aides'!$I$4:$I$503,459)),TEXT(INDEX('Aides'!$I$4:$I$503,459),"yyyy-mm-dd"),"")</f>
        <v/>
      </c>
      <c r="F462">
        <f>"Certification"</f>
        <v/>
      </c>
      <c r="G462">
        <f>"High"</f>
        <v/>
      </c>
      <c r="H462">
        <f>TRIM(IF(LEN(IF(LEN(INDEX('Aides'!$D$4:$D$503,459))=0,"",INDEX('Aides'!$D$4:$D$503,459)))=0,"","Registry no.: "&amp;IF(LEN(INDEX('Aides'!$D$4:$D$503,459))=0,"",INDEX('Aides'!$D$4:$D$503,459))&amp;". ")&amp;IF(LEN(IF(ISNUMBER(INDEX('Aides'!$F$4:$F$503,459)),TEXT(INDEX('Aides'!$F$4:$F$503,459),"yyyy-mm-dd"),""))=0,"","Registry expiry: "&amp;IF(ISNUMBER(INDEX('Aides'!$F$4:$F$503,459)),TEXT(INDEX('Aides'!$F$4:$F$503,459),"yyyy-mm-dd"),"")&amp;". ")&amp;IF(LEN(IF(ISNUMBER(INDEX('Aides'!$G$4:$G$503,459)),TEXT(INDEX('Aides'!$G$4:$G$503,459),"yyyy-mm-dd"),""))=0,"","Last paid nursing work: "&amp;IF(ISNUMBER(INDEX('Aides'!$G$4:$G$503,459)),TEXT(INDEX('Aides'!$G$4:$G$503,459),"yyyy-mm-dd"),"")&amp;". ")&amp;IF(LEN(IF(ISNUMBER(INDEX('Aides'!$H$4:$H$503,459)),TEXT(INDEX('Aides'!$H$4:$H$503,459),"yyyy-mm-dd"),""))=0,"","24-month cut-off: "&amp;IF(ISNUMBER(INDEX('Aides'!$H$4:$H$503,459)),TEXT(INDEX('Aides'!$H$4:$H$503,459),"yyyy-mm-dd"),"")&amp;". ")&amp;IF(LEN(IF(LEN(INDEX('Aides'!$U$4:$U$503,459))=0,"",INDEX('Aides'!$U$4:$U$503,459)))=0,"","Owner: "&amp;IF(LEN(INDEX('Aides'!$U$4:$U$503,459))=0,"",INDEX('Aides'!$U$4:$U$503,459))&amp;". ")&amp;IF(LEN(IF(LEN(INDEX('Aides'!$X$4:$X$503,459))=0,"",INDEX('Aides'!$X$4:$X$503,459)))=0,"",IF(LEN(INDEX('Aides'!$X$4:$X$503,459))=0,"",INDEX('Aides'!$X$4:$X$503,459))))</f>
        <v/>
      </c>
      <c r="I462">
        <f>IF(LEN(INDEX('Aides'!$W$4:$W$503,459))=0,"",INDEX('Aides'!$W$4:$W$503,459))</f>
        <v/>
      </c>
      <c r="J462">
        <f>IF(LEN(INDEX('Aides'!$V$4:$V$503,459))=0,"",INDEX('Aides'!$V$4:$V$503,459))</f>
        <v/>
      </c>
    </row>
    <row r="463">
      <c r="A463">
        <f>IF(AND(LEN('Aides'!A463)&gt;0,ISNUMBER('Aides'!I463)),1,0)</f>
        <v/>
      </c>
      <c r="B463">
        <f>B462+A463</f>
        <v/>
      </c>
      <c r="C463">
        <f>IF(460&gt;$B$1503,"",MATCH(460-0.5,$B$3:$B$1503,1))</f>
        <v/>
      </c>
      <c r="D463">
        <f>"CNA certification ("&amp;IF(LEN(INDEX('Aides'!$C$4:$C$503,460))=0,"",INDEX('Aides'!$C$4:$C$503,460))&amp;") – "&amp;IF(LEN(INDEX('Aides'!$A$4:$A$503,460))=0,"",INDEX('Aides'!$A$4:$A$503,460))</f>
        <v/>
      </c>
      <c r="E463">
        <f>IF(ISNUMBER(INDEX('Aides'!$I$4:$I$503,460)),TEXT(INDEX('Aides'!$I$4:$I$503,460),"yyyy-mm-dd"),"")</f>
        <v/>
      </c>
      <c r="F463">
        <f>"Certification"</f>
        <v/>
      </c>
      <c r="G463">
        <f>"High"</f>
        <v/>
      </c>
      <c r="H463">
        <f>TRIM(IF(LEN(IF(LEN(INDEX('Aides'!$D$4:$D$503,460))=0,"",INDEX('Aides'!$D$4:$D$503,460)))=0,"","Registry no.: "&amp;IF(LEN(INDEX('Aides'!$D$4:$D$503,460))=0,"",INDEX('Aides'!$D$4:$D$503,460))&amp;". ")&amp;IF(LEN(IF(ISNUMBER(INDEX('Aides'!$F$4:$F$503,460)),TEXT(INDEX('Aides'!$F$4:$F$503,460),"yyyy-mm-dd"),""))=0,"","Registry expiry: "&amp;IF(ISNUMBER(INDEX('Aides'!$F$4:$F$503,460)),TEXT(INDEX('Aides'!$F$4:$F$503,460),"yyyy-mm-dd"),"")&amp;". ")&amp;IF(LEN(IF(ISNUMBER(INDEX('Aides'!$G$4:$G$503,460)),TEXT(INDEX('Aides'!$G$4:$G$503,460),"yyyy-mm-dd"),""))=0,"","Last paid nursing work: "&amp;IF(ISNUMBER(INDEX('Aides'!$G$4:$G$503,460)),TEXT(INDEX('Aides'!$G$4:$G$503,460),"yyyy-mm-dd"),"")&amp;". ")&amp;IF(LEN(IF(ISNUMBER(INDEX('Aides'!$H$4:$H$503,460)),TEXT(INDEX('Aides'!$H$4:$H$503,460),"yyyy-mm-dd"),""))=0,"","24-month cut-off: "&amp;IF(ISNUMBER(INDEX('Aides'!$H$4:$H$503,460)),TEXT(INDEX('Aides'!$H$4:$H$503,460),"yyyy-mm-dd"),"")&amp;". ")&amp;IF(LEN(IF(LEN(INDEX('Aides'!$U$4:$U$503,460))=0,"",INDEX('Aides'!$U$4:$U$503,460)))=0,"","Owner: "&amp;IF(LEN(INDEX('Aides'!$U$4:$U$503,460))=0,"",INDEX('Aides'!$U$4:$U$503,460))&amp;". ")&amp;IF(LEN(IF(LEN(INDEX('Aides'!$X$4:$X$503,460))=0,"",INDEX('Aides'!$X$4:$X$503,460)))=0,"",IF(LEN(INDEX('Aides'!$X$4:$X$503,460))=0,"",INDEX('Aides'!$X$4:$X$503,460))))</f>
        <v/>
      </c>
      <c r="I463">
        <f>IF(LEN(INDEX('Aides'!$W$4:$W$503,460))=0,"",INDEX('Aides'!$W$4:$W$503,460))</f>
        <v/>
      </c>
      <c r="J463">
        <f>IF(LEN(INDEX('Aides'!$V$4:$V$503,460))=0,"",INDEX('Aides'!$V$4:$V$503,460))</f>
        <v/>
      </c>
    </row>
    <row r="464">
      <c r="A464">
        <f>IF(AND(LEN('Aides'!A464)&gt;0,ISNUMBER('Aides'!I464)),1,0)</f>
        <v/>
      </c>
      <c r="B464">
        <f>B463+A464</f>
        <v/>
      </c>
      <c r="C464">
        <f>IF(461&gt;$B$1503,"",MATCH(461-0.5,$B$3:$B$1503,1))</f>
        <v/>
      </c>
      <c r="D464">
        <f>"CNA certification ("&amp;IF(LEN(INDEX('Aides'!$C$4:$C$503,461))=0,"",INDEX('Aides'!$C$4:$C$503,461))&amp;") – "&amp;IF(LEN(INDEX('Aides'!$A$4:$A$503,461))=0,"",INDEX('Aides'!$A$4:$A$503,461))</f>
        <v/>
      </c>
      <c r="E464">
        <f>IF(ISNUMBER(INDEX('Aides'!$I$4:$I$503,461)),TEXT(INDEX('Aides'!$I$4:$I$503,461),"yyyy-mm-dd"),"")</f>
        <v/>
      </c>
      <c r="F464">
        <f>"Certification"</f>
        <v/>
      </c>
      <c r="G464">
        <f>"High"</f>
        <v/>
      </c>
      <c r="H464">
        <f>TRIM(IF(LEN(IF(LEN(INDEX('Aides'!$D$4:$D$503,461))=0,"",INDEX('Aides'!$D$4:$D$503,461)))=0,"","Registry no.: "&amp;IF(LEN(INDEX('Aides'!$D$4:$D$503,461))=0,"",INDEX('Aides'!$D$4:$D$503,461))&amp;". ")&amp;IF(LEN(IF(ISNUMBER(INDEX('Aides'!$F$4:$F$503,461)),TEXT(INDEX('Aides'!$F$4:$F$503,461),"yyyy-mm-dd"),""))=0,"","Registry expiry: "&amp;IF(ISNUMBER(INDEX('Aides'!$F$4:$F$503,461)),TEXT(INDEX('Aides'!$F$4:$F$503,461),"yyyy-mm-dd"),"")&amp;". ")&amp;IF(LEN(IF(ISNUMBER(INDEX('Aides'!$G$4:$G$503,461)),TEXT(INDEX('Aides'!$G$4:$G$503,461),"yyyy-mm-dd"),""))=0,"","Last paid nursing work: "&amp;IF(ISNUMBER(INDEX('Aides'!$G$4:$G$503,461)),TEXT(INDEX('Aides'!$G$4:$G$503,461),"yyyy-mm-dd"),"")&amp;". ")&amp;IF(LEN(IF(ISNUMBER(INDEX('Aides'!$H$4:$H$503,461)),TEXT(INDEX('Aides'!$H$4:$H$503,461),"yyyy-mm-dd"),""))=0,"","24-month cut-off: "&amp;IF(ISNUMBER(INDEX('Aides'!$H$4:$H$503,461)),TEXT(INDEX('Aides'!$H$4:$H$503,461),"yyyy-mm-dd"),"")&amp;". ")&amp;IF(LEN(IF(LEN(INDEX('Aides'!$U$4:$U$503,461))=0,"",INDEX('Aides'!$U$4:$U$503,461)))=0,"","Owner: "&amp;IF(LEN(INDEX('Aides'!$U$4:$U$503,461))=0,"",INDEX('Aides'!$U$4:$U$503,461))&amp;". ")&amp;IF(LEN(IF(LEN(INDEX('Aides'!$X$4:$X$503,461))=0,"",INDEX('Aides'!$X$4:$X$503,461)))=0,"",IF(LEN(INDEX('Aides'!$X$4:$X$503,461))=0,"",INDEX('Aides'!$X$4:$X$503,461))))</f>
        <v/>
      </c>
      <c r="I464">
        <f>IF(LEN(INDEX('Aides'!$W$4:$W$503,461))=0,"",INDEX('Aides'!$W$4:$W$503,461))</f>
        <v/>
      </c>
      <c r="J464">
        <f>IF(LEN(INDEX('Aides'!$V$4:$V$503,461))=0,"",INDEX('Aides'!$V$4:$V$503,461))</f>
        <v/>
      </c>
    </row>
    <row r="465">
      <c r="A465">
        <f>IF(AND(LEN('Aides'!A465)&gt;0,ISNUMBER('Aides'!I465)),1,0)</f>
        <v/>
      </c>
      <c r="B465">
        <f>B464+A465</f>
        <v/>
      </c>
      <c r="C465">
        <f>IF(462&gt;$B$1503,"",MATCH(462-0.5,$B$3:$B$1503,1))</f>
        <v/>
      </c>
      <c r="D465">
        <f>"CNA certification ("&amp;IF(LEN(INDEX('Aides'!$C$4:$C$503,462))=0,"",INDEX('Aides'!$C$4:$C$503,462))&amp;") – "&amp;IF(LEN(INDEX('Aides'!$A$4:$A$503,462))=0,"",INDEX('Aides'!$A$4:$A$503,462))</f>
        <v/>
      </c>
      <c r="E465">
        <f>IF(ISNUMBER(INDEX('Aides'!$I$4:$I$503,462)),TEXT(INDEX('Aides'!$I$4:$I$503,462),"yyyy-mm-dd"),"")</f>
        <v/>
      </c>
      <c r="F465">
        <f>"Certification"</f>
        <v/>
      </c>
      <c r="G465">
        <f>"High"</f>
        <v/>
      </c>
      <c r="H465">
        <f>TRIM(IF(LEN(IF(LEN(INDEX('Aides'!$D$4:$D$503,462))=0,"",INDEX('Aides'!$D$4:$D$503,462)))=0,"","Registry no.: "&amp;IF(LEN(INDEX('Aides'!$D$4:$D$503,462))=0,"",INDEX('Aides'!$D$4:$D$503,462))&amp;". ")&amp;IF(LEN(IF(ISNUMBER(INDEX('Aides'!$F$4:$F$503,462)),TEXT(INDEX('Aides'!$F$4:$F$503,462),"yyyy-mm-dd"),""))=0,"","Registry expiry: "&amp;IF(ISNUMBER(INDEX('Aides'!$F$4:$F$503,462)),TEXT(INDEX('Aides'!$F$4:$F$503,462),"yyyy-mm-dd"),"")&amp;". ")&amp;IF(LEN(IF(ISNUMBER(INDEX('Aides'!$G$4:$G$503,462)),TEXT(INDEX('Aides'!$G$4:$G$503,462),"yyyy-mm-dd"),""))=0,"","Last paid nursing work: "&amp;IF(ISNUMBER(INDEX('Aides'!$G$4:$G$503,462)),TEXT(INDEX('Aides'!$G$4:$G$503,462),"yyyy-mm-dd"),"")&amp;". ")&amp;IF(LEN(IF(ISNUMBER(INDEX('Aides'!$H$4:$H$503,462)),TEXT(INDEX('Aides'!$H$4:$H$503,462),"yyyy-mm-dd"),""))=0,"","24-month cut-off: "&amp;IF(ISNUMBER(INDEX('Aides'!$H$4:$H$503,462)),TEXT(INDEX('Aides'!$H$4:$H$503,462),"yyyy-mm-dd"),"")&amp;". ")&amp;IF(LEN(IF(LEN(INDEX('Aides'!$U$4:$U$503,462))=0,"",INDEX('Aides'!$U$4:$U$503,462)))=0,"","Owner: "&amp;IF(LEN(INDEX('Aides'!$U$4:$U$503,462))=0,"",INDEX('Aides'!$U$4:$U$503,462))&amp;". ")&amp;IF(LEN(IF(LEN(INDEX('Aides'!$X$4:$X$503,462))=0,"",INDEX('Aides'!$X$4:$X$503,462)))=0,"",IF(LEN(INDEX('Aides'!$X$4:$X$503,462))=0,"",INDEX('Aides'!$X$4:$X$503,462))))</f>
        <v/>
      </c>
      <c r="I465">
        <f>IF(LEN(INDEX('Aides'!$W$4:$W$503,462))=0,"",INDEX('Aides'!$W$4:$W$503,462))</f>
        <v/>
      </c>
      <c r="J465">
        <f>IF(LEN(INDEX('Aides'!$V$4:$V$503,462))=0,"",INDEX('Aides'!$V$4:$V$503,462))</f>
        <v/>
      </c>
    </row>
    <row r="466">
      <c r="A466">
        <f>IF(AND(LEN('Aides'!A466)&gt;0,ISNUMBER('Aides'!I466)),1,0)</f>
        <v/>
      </c>
      <c r="B466">
        <f>B465+A466</f>
        <v/>
      </c>
      <c r="C466">
        <f>IF(463&gt;$B$1503,"",MATCH(463-0.5,$B$3:$B$1503,1))</f>
        <v/>
      </c>
      <c r="D466">
        <f>"CNA certification ("&amp;IF(LEN(INDEX('Aides'!$C$4:$C$503,463))=0,"",INDEX('Aides'!$C$4:$C$503,463))&amp;") – "&amp;IF(LEN(INDEX('Aides'!$A$4:$A$503,463))=0,"",INDEX('Aides'!$A$4:$A$503,463))</f>
        <v/>
      </c>
      <c r="E466">
        <f>IF(ISNUMBER(INDEX('Aides'!$I$4:$I$503,463)),TEXT(INDEX('Aides'!$I$4:$I$503,463),"yyyy-mm-dd"),"")</f>
        <v/>
      </c>
      <c r="F466">
        <f>"Certification"</f>
        <v/>
      </c>
      <c r="G466">
        <f>"High"</f>
        <v/>
      </c>
      <c r="H466">
        <f>TRIM(IF(LEN(IF(LEN(INDEX('Aides'!$D$4:$D$503,463))=0,"",INDEX('Aides'!$D$4:$D$503,463)))=0,"","Registry no.: "&amp;IF(LEN(INDEX('Aides'!$D$4:$D$503,463))=0,"",INDEX('Aides'!$D$4:$D$503,463))&amp;". ")&amp;IF(LEN(IF(ISNUMBER(INDEX('Aides'!$F$4:$F$503,463)),TEXT(INDEX('Aides'!$F$4:$F$503,463),"yyyy-mm-dd"),""))=0,"","Registry expiry: "&amp;IF(ISNUMBER(INDEX('Aides'!$F$4:$F$503,463)),TEXT(INDEX('Aides'!$F$4:$F$503,463),"yyyy-mm-dd"),"")&amp;". ")&amp;IF(LEN(IF(ISNUMBER(INDEX('Aides'!$G$4:$G$503,463)),TEXT(INDEX('Aides'!$G$4:$G$503,463),"yyyy-mm-dd"),""))=0,"","Last paid nursing work: "&amp;IF(ISNUMBER(INDEX('Aides'!$G$4:$G$503,463)),TEXT(INDEX('Aides'!$G$4:$G$503,463),"yyyy-mm-dd"),"")&amp;". ")&amp;IF(LEN(IF(ISNUMBER(INDEX('Aides'!$H$4:$H$503,463)),TEXT(INDEX('Aides'!$H$4:$H$503,463),"yyyy-mm-dd"),""))=0,"","24-month cut-off: "&amp;IF(ISNUMBER(INDEX('Aides'!$H$4:$H$503,463)),TEXT(INDEX('Aides'!$H$4:$H$503,463),"yyyy-mm-dd"),"")&amp;". ")&amp;IF(LEN(IF(LEN(INDEX('Aides'!$U$4:$U$503,463))=0,"",INDEX('Aides'!$U$4:$U$503,463)))=0,"","Owner: "&amp;IF(LEN(INDEX('Aides'!$U$4:$U$503,463))=0,"",INDEX('Aides'!$U$4:$U$503,463))&amp;". ")&amp;IF(LEN(IF(LEN(INDEX('Aides'!$X$4:$X$503,463))=0,"",INDEX('Aides'!$X$4:$X$503,463)))=0,"",IF(LEN(INDEX('Aides'!$X$4:$X$503,463))=0,"",INDEX('Aides'!$X$4:$X$503,463))))</f>
        <v/>
      </c>
      <c r="I466">
        <f>IF(LEN(INDEX('Aides'!$W$4:$W$503,463))=0,"",INDEX('Aides'!$W$4:$W$503,463))</f>
        <v/>
      </c>
      <c r="J466">
        <f>IF(LEN(INDEX('Aides'!$V$4:$V$503,463))=0,"",INDEX('Aides'!$V$4:$V$503,463))</f>
        <v/>
      </c>
    </row>
    <row r="467">
      <c r="A467">
        <f>IF(AND(LEN('Aides'!A467)&gt;0,ISNUMBER('Aides'!I467)),1,0)</f>
        <v/>
      </c>
      <c r="B467">
        <f>B466+A467</f>
        <v/>
      </c>
      <c r="C467">
        <f>IF(464&gt;$B$1503,"",MATCH(464-0.5,$B$3:$B$1503,1))</f>
        <v/>
      </c>
      <c r="D467">
        <f>"CNA certification ("&amp;IF(LEN(INDEX('Aides'!$C$4:$C$503,464))=0,"",INDEX('Aides'!$C$4:$C$503,464))&amp;") – "&amp;IF(LEN(INDEX('Aides'!$A$4:$A$503,464))=0,"",INDEX('Aides'!$A$4:$A$503,464))</f>
        <v/>
      </c>
      <c r="E467">
        <f>IF(ISNUMBER(INDEX('Aides'!$I$4:$I$503,464)),TEXT(INDEX('Aides'!$I$4:$I$503,464),"yyyy-mm-dd"),"")</f>
        <v/>
      </c>
      <c r="F467">
        <f>"Certification"</f>
        <v/>
      </c>
      <c r="G467">
        <f>"High"</f>
        <v/>
      </c>
      <c r="H467">
        <f>TRIM(IF(LEN(IF(LEN(INDEX('Aides'!$D$4:$D$503,464))=0,"",INDEX('Aides'!$D$4:$D$503,464)))=0,"","Registry no.: "&amp;IF(LEN(INDEX('Aides'!$D$4:$D$503,464))=0,"",INDEX('Aides'!$D$4:$D$503,464))&amp;". ")&amp;IF(LEN(IF(ISNUMBER(INDEX('Aides'!$F$4:$F$503,464)),TEXT(INDEX('Aides'!$F$4:$F$503,464),"yyyy-mm-dd"),""))=0,"","Registry expiry: "&amp;IF(ISNUMBER(INDEX('Aides'!$F$4:$F$503,464)),TEXT(INDEX('Aides'!$F$4:$F$503,464),"yyyy-mm-dd"),"")&amp;". ")&amp;IF(LEN(IF(ISNUMBER(INDEX('Aides'!$G$4:$G$503,464)),TEXT(INDEX('Aides'!$G$4:$G$503,464),"yyyy-mm-dd"),""))=0,"","Last paid nursing work: "&amp;IF(ISNUMBER(INDEX('Aides'!$G$4:$G$503,464)),TEXT(INDEX('Aides'!$G$4:$G$503,464),"yyyy-mm-dd"),"")&amp;". ")&amp;IF(LEN(IF(ISNUMBER(INDEX('Aides'!$H$4:$H$503,464)),TEXT(INDEX('Aides'!$H$4:$H$503,464),"yyyy-mm-dd"),""))=0,"","24-month cut-off: "&amp;IF(ISNUMBER(INDEX('Aides'!$H$4:$H$503,464)),TEXT(INDEX('Aides'!$H$4:$H$503,464),"yyyy-mm-dd"),"")&amp;". ")&amp;IF(LEN(IF(LEN(INDEX('Aides'!$U$4:$U$503,464))=0,"",INDEX('Aides'!$U$4:$U$503,464)))=0,"","Owner: "&amp;IF(LEN(INDEX('Aides'!$U$4:$U$503,464))=0,"",INDEX('Aides'!$U$4:$U$503,464))&amp;". ")&amp;IF(LEN(IF(LEN(INDEX('Aides'!$X$4:$X$503,464))=0,"",INDEX('Aides'!$X$4:$X$503,464)))=0,"",IF(LEN(INDEX('Aides'!$X$4:$X$503,464))=0,"",INDEX('Aides'!$X$4:$X$503,464))))</f>
        <v/>
      </c>
      <c r="I467">
        <f>IF(LEN(INDEX('Aides'!$W$4:$W$503,464))=0,"",INDEX('Aides'!$W$4:$W$503,464))</f>
        <v/>
      </c>
      <c r="J467">
        <f>IF(LEN(INDEX('Aides'!$V$4:$V$503,464))=0,"",INDEX('Aides'!$V$4:$V$503,464))</f>
        <v/>
      </c>
    </row>
    <row r="468">
      <c r="A468">
        <f>IF(AND(LEN('Aides'!A468)&gt;0,ISNUMBER('Aides'!I468)),1,0)</f>
        <v/>
      </c>
      <c r="B468">
        <f>B467+A468</f>
        <v/>
      </c>
      <c r="C468">
        <f>IF(465&gt;$B$1503,"",MATCH(465-0.5,$B$3:$B$1503,1))</f>
        <v/>
      </c>
      <c r="D468">
        <f>"CNA certification ("&amp;IF(LEN(INDEX('Aides'!$C$4:$C$503,465))=0,"",INDEX('Aides'!$C$4:$C$503,465))&amp;") – "&amp;IF(LEN(INDEX('Aides'!$A$4:$A$503,465))=0,"",INDEX('Aides'!$A$4:$A$503,465))</f>
        <v/>
      </c>
      <c r="E468">
        <f>IF(ISNUMBER(INDEX('Aides'!$I$4:$I$503,465)),TEXT(INDEX('Aides'!$I$4:$I$503,465),"yyyy-mm-dd"),"")</f>
        <v/>
      </c>
      <c r="F468">
        <f>"Certification"</f>
        <v/>
      </c>
      <c r="G468">
        <f>"High"</f>
        <v/>
      </c>
      <c r="H468">
        <f>TRIM(IF(LEN(IF(LEN(INDEX('Aides'!$D$4:$D$503,465))=0,"",INDEX('Aides'!$D$4:$D$503,465)))=0,"","Registry no.: "&amp;IF(LEN(INDEX('Aides'!$D$4:$D$503,465))=0,"",INDEX('Aides'!$D$4:$D$503,465))&amp;". ")&amp;IF(LEN(IF(ISNUMBER(INDEX('Aides'!$F$4:$F$503,465)),TEXT(INDEX('Aides'!$F$4:$F$503,465),"yyyy-mm-dd"),""))=0,"","Registry expiry: "&amp;IF(ISNUMBER(INDEX('Aides'!$F$4:$F$503,465)),TEXT(INDEX('Aides'!$F$4:$F$503,465),"yyyy-mm-dd"),"")&amp;". ")&amp;IF(LEN(IF(ISNUMBER(INDEX('Aides'!$G$4:$G$503,465)),TEXT(INDEX('Aides'!$G$4:$G$503,465),"yyyy-mm-dd"),""))=0,"","Last paid nursing work: "&amp;IF(ISNUMBER(INDEX('Aides'!$G$4:$G$503,465)),TEXT(INDEX('Aides'!$G$4:$G$503,465),"yyyy-mm-dd"),"")&amp;". ")&amp;IF(LEN(IF(ISNUMBER(INDEX('Aides'!$H$4:$H$503,465)),TEXT(INDEX('Aides'!$H$4:$H$503,465),"yyyy-mm-dd"),""))=0,"","24-month cut-off: "&amp;IF(ISNUMBER(INDEX('Aides'!$H$4:$H$503,465)),TEXT(INDEX('Aides'!$H$4:$H$503,465),"yyyy-mm-dd"),"")&amp;". ")&amp;IF(LEN(IF(LEN(INDEX('Aides'!$U$4:$U$503,465))=0,"",INDEX('Aides'!$U$4:$U$503,465)))=0,"","Owner: "&amp;IF(LEN(INDEX('Aides'!$U$4:$U$503,465))=0,"",INDEX('Aides'!$U$4:$U$503,465))&amp;". ")&amp;IF(LEN(IF(LEN(INDEX('Aides'!$X$4:$X$503,465))=0,"",INDEX('Aides'!$X$4:$X$503,465)))=0,"",IF(LEN(INDEX('Aides'!$X$4:$X$503,465))=0,"",INDEX('Aides'!$X$4:$X$503,465))))</f>
        <v/>
      </c>
      <c r="I468">
        <f>IF(LEN(INDEX('Aides'!$W$4:$W$503,465))=0,"",INDEX('Aides'!$W$4:$W$503,465))</f>
        <v/>
      </c>
      <c r="J468">
        <f>IF(LEN(INDEX('Aides'!$V$4:$V$503,465))=0,"",INDEX('Aides'!$V$4:$V$503,465))</f>
        <v/>
      </c>
    </row>
    <row r="469">
      <c r="A469">
        <f>IF(AND(LEN('Aides'!A469)&gt;0,ISNUMBER('Aides'!I469)),1,0)</f>
        <v/>
      </c>
      <c r="B469">
        <f>B468+A469</f>
        <v/>
      </c>
      <c r="C469">
        <f>IF(466&gt;$B$1503,"",MATCH(466-0.5,$B$3:$B$1503,1))</f>
        <v/>
      </c>
      <c r="D469">
        <f>"CNA certification ("&amp;IF(LEN(INDEX('Aides'!$C$4:$C$503,466))=0,"",INDEX('Aides'!$C$4:$C$503,466))&amp;") – "&amp;IF(LEN(INDEX('Aides'!$A$4:$A$503,466))=0,"",INDEX('Aides'!$A$4:$A$503,466))</f>
        <v/>
      </c>
      <c r="E469">
        <f>IF(ISNUMBER(INDEX('Aides'!$I$4:$I$503,466)),TEXT(INDEX('Aides'!$I$4:$I$503,466),"yyyy-mm-dd"),"")</f>
        <v/>
      </c>
      <c r="F469">
        <f>"Certification"</f>
        <v/>
      </c>
      <c r="G469">
        <f>"High"</f>
        <v/>
      </c>
      <c r="H469">
        <f>TRIM(IF(LEN(IF(LEN(INDEX('Aides'!$D$4:$D$503,466))=0,"",INDEX('Aides'!$D$4:$D$503,466)))=0,"","Registry no.: "&amp;IF(LEN(INDEX('Aides'!$D$4:$D$503,466))=0,"",INDEX('Aides'!$D$4:$D$503,466))&amp;". ")&amp;IF(LEN(IF(ISNUMBER(INDEX('Aides'!$F$4:$F$503,466)),TEXT(INDEX('Aides'!$F$4:$F$503,466),"yyyy-mm-dd"),""))=0,"","Registry expiry: "&amp;IF(ISNUMBER(INDEX('Aides'!$F$4:$F$503,466)),TEXT(INDEX('Aides'!$F$4:$F$503,466),"yyyy-mm-dd"),"")&amp;". ")&amp;IF(LEN(IF(ISNUMBER(INDEX('Aides'!$G$4:$G$503,466)),TEXT(INDEX('Aides'!$G$4:$G$503,466),"yyyy-mm-dd"),""))=0,"","Last paid nursing work: "&amp;IF(ISNUMBER(INDEX('Aides'!$G$4:$G$503,466)),TEXT(INDEX('Aides'!$G$4:$G$503,466),"yyyy-mm-dd"),"")&amp;". ")&amp;IF(LEN(IF(ISNUMBER(INDEX('Aides'!$H$4:$H$503,466)),TEXT(INDEX('Aides'!$H$4:$H$503,466),"yyyy-mm-dd"),""))=0,"","24-month cut-off: "&amp;IF(ISNUMBER(INDEX('Aides'!$H$4:$H$503,466)),TEXT(INDEX('Aides'!$H$4:$H$503,466),"yyyy-mm-dd"),"")&amp;". ")&amp;IF(LEN(IF(LEN(INDEX('Aides'!$U$4:$U$503,466))=0,"",INDEX('Aides'!$U$4:$U$503,466)))=0,"","Owner: "&amp;IF(LEN(INDEX('Aides'!$U$4:$U$503,466))=0,"",INDEX('Aides'!$U$4:$U$503,466))&amp;". ")&amp;IF(LEN(IF(LEN(INDEX('Aides'!$X$4:$X$503,466))=0,"",INDEX('Aides'!$X$4:$X$503,466)))=0,"",IF(LEN(INDEX('Aides'!$X$4:$X$503,466))=0,"",INDEX('Aides'!$X$4:$X$503,466))))</f>
        <v/>
      </c>
      <c r="I469">
        <f>IF(LEN(INDEX('Aides'!$W$4:$W$503,466))=0,"",INDEX('Aides'!$W$4:$W$503,466))</f>
        <v/>
      </c>
      <c r="J469">
        <f>IF(LEN(INDEX('Aides'!$V$4:$V$503,466))=0,"",INDEX('Aides'!$V$4:$V$503,466))</f>
        <v/>
      </c>
    </row>
    <row r="470">
      <c r="A470">
        <f>IF(AND(LEN('Aides'!A470)&gt;0,ISNUMBER('Aides'!I470)),1,0)</f>
        <v/>
      </c>
      <c r="B470">
        <f>B469+A470</f>
        <v/>
      </c>
      <c r="C470">
        <f>IF(467&gt;$B$1503,"",MATCH(467-0.5,$B$3:$B$1503,1))</f>
        <v/>
      </c>
      <c r="D470">
        <f>"CNA certification ("&amp;IF(LEN(INDEX('Aides'!$C$4:$C$503,467))=0,"",INDEX('Aides'!$C$4:$C$503,467))&amp;") – "&amp;IF(LEN(INDEX('Aides'!$A$4:$A$503,467))=0,"",INDEX('Aides'!$A$4:$A$503,467))</f>
        <v/>
      </c>
      <c r="E470">
        <f>IF(ISNUMBER(INDEX('Aides'!$I$4:$I$503,467)),TEXT(INDEX('Aides'!$I$4:$I$503,467),"yyyy-mm-dd"),"")</f>
        <v/>
      </c>
      <c r="F470">
        <f>"Certification"</f>
        <v/>
      </c>
      <c r="G470">
        <f>"High"</f>
        <v/>
      </c>
      <c r="H470">
        <f>TRIM(IF(LEN(IF(LEN(INDEX('Aides'!$D$4:$D$503,467))=0,"",INDEX('Aides'!$D$4:$D$503,467)))=0,"","Registry no.: "&amp;IF(LEN(INDEX('Aides'!$D$4:$D$503,467))=0,"",INDEX('Aides'!$D$4:$D$503,467))&amp;". ")&amp;IF(LEN(IF(ISNUMBER(INDEX('Aides'!$F$4:$F$503,467)),TEXT(INDEX('Aides'!$F$4:$F$503,467),"yyyy-mm-dd"),""))=0,"","Registry expiry: "&amp;IF(ISNUMBER(INDEX('Aides'!$F$4:$F$503,467)),TEXT(INDEX('Aides'!$F$4:$F$503,467),"yyyy-mm-dd"),"")&amp;". ")&amp;IF(LEN(IF(ISNUMBER(INDEX('Aides'!$G$4:$G$503,467)),TEXT(INDEX('Aides'!$G$4:$G$503,467),"yyyy-mm-dd"),""))=0,"","Last paid nursing work: "&amp;IF(ISNUMBER(INDEX('Aides'!$G$4:$G$503,467)),TEXT(INDEX('Aides'!$G$4:$G$503,467),"yyyy-mm-dd"),"")&amp;". ")&amp;IF(LEN(IF(ISNUMBER(INDEX('Aides'!$H$4:$H$503,467)),TEXT(INDEX('Aides'!$H$4:$H$503,467),"yyyy-mm-dd"),""))=0,"","24-month cut-off: "&amp;IF(ISNUMBER(INDEX('Aides'!$H$4:$H$503,467)),TEXT(INDEX('Aides'!$H$4:$H$503,467),"yyyy-mm-dd"),"")&amp;". ")&amp;IF(LEN(IF(LEN(INDEX('Aides'!$U$4:$U$503,467))=0,"",INDEX('Aides'!$U$4:$U$503,467)))=0,"","Owner: "&amp;IF(LEN(INDEX('Aides'!$U$4:$U$503,467))=0,"",INDEX('Aides'!$U$4:$U$503,467))&amp;". ")&amp;IF(LEN(IF(LEN(INDEX('Aides'!$X$4:$X$503,467))=0,"",INDEX('Aides'!$X$4:$X$503,467)))=0,"",IF(LEN(INDEX('Aides'!$X$4:$X$503,467))=0,"",INDEX('Aides'!$X$4:$X$503,467))))</f>
        <v/>
      </c>
      <c r="I470">
        <f>IF(LEN(INDEX('Aides'!$W$4:$W$503,467))=0,"",INDEX('Aides'!$W$4:$W$503,467))</f>
        <v/>
      </c>
      <c r="J470">
        <f>IF(LEN(INDEX('Aides'!$V$4:$V$503,467))=0,"",INDEX('Aides'!$V$4:$V$503,467))</f>
        <v/>
      </c>
    </row>
    <row r="471">
      <c r="A471">
        <f>IF(AND(LEN('Aides'!A471)&gt;0,ISNUMBER('Aides'!I471)),1,0)</f>
        <v/>
      </c>
      <c r="B471">
        <f>B470+A471</f>
        <v/>
      </c>
      <c r="C471">
        <f>IF(468&gt;$B$1503,"",MATCH(468-0.5,$B$3:$B$1503,1))</f>
        <v/>
      </c>
      <c r="D471">
        <f>"CNA certification ("&amp;IF(LEN(INDEX('Aides'!$C$4:$C$503,468))=0,"",INDEX('Aides'!$C$4:$C$503,468))&amp;") – "&amp;IF(LEN(INDEX('Aides'!$A$4:$A$503,468))=0,"",INDEX('Aides'!$A$4:$A$503,468))</f>
        <v/>
      </c>
      <c r="E471">
        <f>IF(ISNUMBER(INDEX('Aides'!$I$4:$I$503,468)),TEXT(INDEX('Aides'!$I$4:$I$503,468),"yyyy-mm-dd"),"")</f>
        <v/>
      </c>
      <c r="F471">
        <f>"Certification"</f>
        <v/>
      </c>
      <c r="G471">
        <f>"High"</f>
        <v/>
      </c>
      <c r="H471">
        <f>TRIM(IF(LEN(IF(LEN(INDEX('Aides'!$D$4:$D$503,468))=0,"",INDEX('Aides'!$D$4:$D$503,468)))=0,"","Registry no.: "&amp;IF(LEN(INDEX('Aides'!$D$4:$D$503,468))=0,"",INDEX('Aides'!$D$4:$D$503,468))&amp;". ")&amp;IF(LEN(IF(ISNUMBER(INDEX('Aides'!$F$4:$F$503,468)),TEXT(INDEX('Aides'!$F$4:$F$503,468),"yyyy-mm-dd"),""))=0,"","Registry expiry: "&amp;IF(ISNUMBER(INDEX('Aides'!$F$4:$F$503,468)),TEXT(INDEX('Aides'!$F$4:$F$503,468),"yyyy-mm-dd"),"")&amp;". ")&amp;IF(LEN(IF(ISNUMBER(INDEX('Aides'!$G$4:$G$503,468)),TEXT(INDEX('Aides'!$G$4:$G$503,468),"yyyy-mm-dd"),""))=0,"","Last paid nursing work: "&amp;IF(ISNUMBER(INDEX('Aides'!$G$4:$G$503,468)),TEXT(INDEX('Aides'!$G$4:$G$503,468),"yyyy-mm-dd"),"")&amp;". ")&amp;IF(LEN(IF(ISNUMBER(INDEX('Aides'!$H$4:$H$503,468)),TEXT(INDEX('Aides'!$H$4:$H$503,468),"yyyy-mm-dd"),""))=0,"","24-month cut-off: "&amp;IF(ISNUMBER(INDEX('Aides'!$H$4:$H$503,468)),TEXT(INDEX('Aides'!$H$4:$H$503,468),"yyyy-mm-dd"),"")&amp;". ")&amp;IF(LEN(IF(LEN(INDEX('Aides'!$U$4:$U$503,468))=0,"",INDEX('Aides'!$U$4:$U$503,468)))=0,"","Owner: "&amp;IF(LEN(INDEX('Aides'!$U$4:$U$503,468))=0,"",INDEX('Aides'!$U$4:$U$503,468))&amp;". ")&amp;IF(LEN(IF(LEN(INDEX('Aides'!$X$4:$X$503,468))=0,"",INDEX('Aides'!$X$4:$X$503,468)))=0,"",IF(LEN(INDEX('Aides'!$X$4:$X$503,468))=0,"",INDEX('Aides'!$X$4:$X$503,468))))</f>
        <v/>
      </c>
      <c r="I471">
        <f>IF(LEN(INDEX('Aides'!$W$4:$W$503,468))=0,"",INDEX('Aides'!$W$4:$W$503,468))</f>
        <v/>
      </c>
      <c r="J471">
        <f>IF(LEN(INDEX('Aides'!$V$4:$V$503,468))=0,"",INDEX('Aides'!$V$4:$V$503,468))</f>
        <v/>
      </c>
    </row>
    <row r="472">
      <c r="A472">
        <f>IF(AND(LEN('Aides'!A472)&gt;0,ISNUMBER('Aides'!I472)),1,0)</f>
        <v/>
      </c>
      <c r="B472">
        <f>B471+A472</f>
        <v/>
      </c>
      <c r="C472">
        <f>IF(469&gt;$B$1503,"",MATCH(469-0.5,$B$3:$B$1503,1))</f>
        <v/>
      </c>
      <c r="D472">
        <f>"CNA certification ("&amp;IF(LEN(INDEX('Aides'!$C$4:$C$503,469))=0,"",INDEX('Aides'!$C$4:$C$503,469))&amp;") – "&amp;IF(LEN(INDEX('Aides'!$A$4:$A$503,469))=0,"",INDEX('Aides'!$A$4:$A$503,469))</f>
        <v/>
      </c>
      <c r="E472">
        <f>IF(ISNUMBER(INDEX('Aides'!$I$4:$I$503,469)),TEXT(INDEX('Aides'!$I$4:$I$503,469),"yyyy-mm-dd"),"")</f>
        <v/>
      </c>
      <c r="F472">
        <f>"Certification"</f>
        <v/>
      </c>
      <c r="G472">
        <f>"High"</f>
        <v/>
      </c>
      <c r="H472">
        <f>TRIM(IF(LEN(IF(LEN(INDEX('Aides'!$D$4:$D$503,469))=0,"",INDEX('Aides'!$D$4:$D$503,469)))=0,"","Registry no.: "&amp;IF(LEN(INDEX('Aides'!$D$4:$D$503,469))=0,"",INDEX('Aides'!$D$4:$D$503,469))&amp;". ")&amp;IF(LEN(IF(ISNUMBER(INDEX('Aides'!$F$4:$F$503,469)),TEXT(INDEX('Aides'!$F$4:$F$503,469),"yyyy-mm-dd"),""))=0,"","Registry expiry: "&amp;IF(ISNUMBER(INDEX('Aides'!$F$4:$F$503,469)),TEXT(INDEX('Aides'!$F$4:$F$503,469),"yyyy-mm-dd"),"")&amp;". ")&amp;IF(LEN(IF(ISNUMBER(INDEX('Aides'!$G$4:$G$503,469)),TEXT(INDEX('Aides'!$G$4:$G$503,469),"yyyy-mm-dd"),""))=0,"","Last paid nursing work: "&amp;IF(ISNUMBER(INDEX('Aides'!$G$4:$G$503,469)),TEXT(INDEX('Aides'!$G$4:$G$503,469),"yyyy-mm-dd"),"")&amp;". ")&amp;IF(LEN(IF(ISNUMBER(INDEX('Aides'!$H$4:$H$503,469)),TEXT(INDEX('Aides'!$H$4:$H$503,469),"yyyy-mm-dd"),""))=0,"","24-month cut-off: "&amp;IF(ISNUMBER(INDEX('Aides'!$H$4:$H$503,469)),TEXT(INDEX('Aides'!$H$4:$H$503,469),"yyyy-mm-dd"),"")&amp;". ")&amp;IF(LEN(IF(LEN(INDEX('Aides'!$U$4:$U$503,469))=0,"",INDEX('Aides'!$U$4:$U$503,469)))=0,"","Owner: "&amp;IF(LEN(INDEX('Aides'!$U$4:$U$503,469))=0,"",INDEX('Aides'!$U$4:$U$503,469))&amp;". ")&amp;IF(LEN(IF(LEN(INDEX('Aides'!$X$4:$X$503,469))=0,"",INDEX('Aides'!$X$4:$X$503,469)))=0,"",IF(LEN(INDEX('Aides'!$X$4:$X$503,469))=0,"",INDEX('Aides'!$X$4:$X$503,469))))</f>
        <v/>
      </c>
      <c r="I472">
        <f>IF(LEN(INDEX('Aides'!$W$4:$W$503,469))=0,"",INDEX('Aides'!$W$4:$W$503,469))</f>
        <v/>
      </c>
      <c r="J472">
        <f>IF(LEN(INDEX('Aides'!$V$4:$V$503,469))=0,"",INDEX('Aides'!$V$4:$V$503,469))</f>
        <v/>
      </c>
    </row>
    <row r="473">
      <c r="A473">
        <f>IF(AND(LEN('Aides'!A473)&gt;0,ISNUMBER('Aides'!I473)),1,0)</f>
        <v/>
      </c>
      <c r="B473">
        <f>B472+A473</f>
        <v/>
      </c>
      <c r="C473">
        <f>IF(470&gt;$B$1503,"",MATCH(470-0.5,$B$3:$B$1503,1))</f>
        <v/>
      </c>
      <c r="D473">
        <f>"CNA certification ("&amp;IF(LEN(INDEX('Aides'!$C$4:$C$503,470))=0,"",INDEX('Aides'!$C$4:$C$503,470))&amp;") – "&amp;IF(LEN(INDEX('Aides'!$A$4:$A$503,470))=0,"",INDEX('Aides'!$A$4:$A$503,470))</f>
        <v/>
      </c>
      <c r="E473">
        <f>IF(ISNUMBER(INDEX('Aides'!$I$4:$I$503,470)),TEXT(INDEX('Aides'!$I$4:$I$503,470),"yyyy-mm-dd"),"")</f>
        <v/>
      </c>
      <c r="F473">
        <f>"Certification"</f>
        <v/>
      </c>
      <c r="G473">
        <f>"High"</f>
        <v/>
      </c>
      <c r="H473">
        <f>TRIM(IF(LEN(IF(LEN(INDEX('Aides'!$D$4:$D$503,470))=0,"",INDEX('Aides'!$D$4:$D$503,470)))=0,"","Registry no.: "&amp;IF(LEN(INDEX('Aides'!$D$4:$D$503,470))=0,"",INDEX('Aides'!$D$4:$D$503,470))&amp;". ")&amp;IF(LEN(IF(ISNUMBER(INDEX('Aides'!$F$4:$F$503,470)),TEXT(INDEX('Aides'!$F$4:$F$503,470),"yyyy-mm-dd"),""))=0,"","Registry expiry: "&amp;IF(ISNUMBER(INDEX('Aides'!$F$4:$F$503,470)),TEXT(INDEX('Aides'!$F$4:$F$503,470),"yyyy-mm-dd"),"")&amp;". ")&amp;IF(LEN(IF(ISNUMBER(INDEX('Aides'!$G$4:$G$503,470)),TEXT(INDEX('Aides'!$G$4:$G$503,470),"yyyy-mm-dd"),""))=0,"","Last paid nursing work: "&amp;IF(ISNUMBER(INDEX('Aides'!$G$4:$G$503,470)),TEXT(INDEX('Aides'!$G$4:$G$503,470),"yyyy-mm-dd"),"")&amp;". ")&amp;IF(LEN(IF(ISNUMBER(INDEX('Aides'!$H$4:$H$503,470)),TEXT(INDEX('Aides'!$H$4:$H$503,470),"yyyy-mm-dd"),""))=0,"","24-month cut-off: "&amp;IF(ISNUMBER(INDEX('Aides'!$H$4:$H$503,470)),TEXT(INDEX('Aides'!$H$4:$H$503,470),"yyyy-mm-dd"),"")&amp;". ")&amp;IF(LEN(IF(LEN(INDEX('Aides'!$U$4:$U$503,470))=0,"",INDEX('Aides'!$U$4:$U$503,470)))=0,"","Owner: "&amp;IF(LEN(INDEX('Aides'!$U$4:$U$503,470))=0,"",INDEX('Aides'!$U$4:$U$503,470))&amp;". ")&amp;IF(LEN(IF(LEN(INDEX('Aides'!$X$4:$X$503,470))=0,"",INDEX('Aides'!$X$4:$X$503,470)))=0,"",IF(LEN(INDEX('Aides'!$X$4:$X$503,470))=0,"",INDEX('Aides'!$X$4:$X$503,470))))</f>
        <v/>
      </c>
      <c r="I473">
        <f>IF(LEN(INDEX('Aides'!$W$4:$W$503,470))=0,"",INDEX('Aides'!$W$4:$W$503,470))</f>
        <v/>
      </c>
      <c r="J473">
        <f>IF(LEN(INDEX('Aides'!$V$4:$V$503,470))=0,"",INDEX('Aides'!$V$4:$V$503,470))</f>
        <v/>
      </c>
    </row>
    <row r="474">
      <c r="A474">
        <f>IF(AND(LEN('Aides'!A474)&gt;0,ISNUMBER('Aides'!I474)),1,0)</f>
        <v/>
      </c>
      <c r="B474">
        <f>B473+A474</f>
        <v/>
      </c>
      <c r="C474">
        <f>IF(471&gt;$B$1503,"",MATCH(471-0.5,$B$3:$B$1503,1))</f>
        <v/>
      </c>
      <c r="D474">
        <f>"CNA certification ("&amp;IF(LEN(INDEX('Aides'!$C$4:$C$503,471))=0,"",INDEX('Aides'!$C$4:$C$503,471))&amp;") – "&amp;IF(LEN(INDEX('Aides'!$A$4:$A$503,471))=0,"",INDEX('Aides'!$A$4:$A$503,471))</f>
        <v/>
      </c>
      <c r="E474">
        <f>IF(ISNUMBER(INDEX('Aides'!$I$4:$I$503,471)),TEXT(INDEX('Aides'!$I$4:$I$503,471),"yyyy-mm-dd"),"")</f>
        <v/>
      </c>
      <c r="F474">
        <f>"Certification"</f>
        <v/>
      </c>
      <c r="G474">
        <f>"High"</f>
        <v/>
      </c>
      <c r="H474">
        <f>TRIM(IF(LEN(IF(LEN(INDEX('Aides'!$D$4:$D$503,471))=0,"",INDEX('Aides'!$D$4:$D$503,471)))=0,"","Registry no.: "&amp;IF(LEN(INDEX('Aides'!$D$4:$D$503,471))=0,"",INDEX('Aides'!$D$4:$D$503,471))&amp;". ")&amp;IF(LEN(IF(ISNUMBER(INDEX('Aides'!$F$4:$F$503,471)),TEXT(INDEX('Aides'!$F$4:$F$503,471),"yyyy-mm-dd"),""))=0,"","Registry expiry: "&amp;IF(ISNUMBER(INDEX('Aides'!$F$4:$F$503,471)),TEXT(INDEX('Aides'!$F$4:$F$503,471),"yyyy-mm-dd"),"")&amp;". ")&amp;IF(LEN(IF(ISNUMBER(INDEX('Aides'!$G$4:$G$503,471)),TEXT(INDEX('Aides'!$G$4:$G$503,471),"yyyy-mm-dd"),""))=0,"","Last paid nursing work: "&amp;IF(ISNUMBER(INDEX('Aides'!$G$4:$G$503,471)),TEXT(INDEX('Aides'!$G$4:$G$503,471),"yyyy-mm-dd"),"")&amp;". ")&amp;IF(LEN(IF(ISNUMBER(INDEX('Aides'!$H$4:$H$503,471)),TEXT(INDEX('Aides'!$H$4:$H$503,471),"yyyy-mm-dd"),""))=0,"","24-month cut-off: "&amp;IF(ISNUMBER(INDEX('Aides'!$H$4:$H$503,471)),TEXT(INDEX('Aides'!$H$4:$H$503,471),"yyyy-mm-dd"),"")&amp;". ")&amp;IF(LEN(IF(LEN(INDEX('Aides'!$U$4:$U$503,471))=0,"",INDEX('Aides'!$U$4:$U$503,471)))=0,"","Owner: "&amp;IF(LEN(INDEX('Aides'!$U$4:$U$503,471))=0,"",INDEX('Aides'!$U$4:$U$503,471))&amp;". ")&amp;IF(LEN(IF(LEN(INDEX('Aides'!$X$4:$X$503,471))=0,"",INDEX('Aides'!$X$4:$X$503,471)))=0,"",IF(LEN(INDEX('Aides'!$X$4:$X$503,471))=0,"",INDEX('Aides'!$X$4:$X$503,471))))</f>
        <v/>
      </c>
      <c r="I474">
        <f>IF(LEN(INDEX('Aides'!$W$4:$W$503,471))=0,"",INDEX('Aides'!$W$4:$W$503,471))</f>
        <v/>
      </c>
      <c r="J474">
        <f>IF(LEN(INDEX('Aides'!$V$4:$V$503,471))=0,"",INDEX('Aides'!$V$4:$V$503,471))</f>
        <v/>
      </c>
    </row>
    <row r="475">
      <c r="A475">
        <f>IF(AND(LEN('Aides'!A475)&gt;0,ISNUMBER('Aides'!I475)),1,0)</f>
        <v/>
      </c>
      <c r="B475">
        <f>B474+A475</f>
        <v/>
      </c>
      <c r="C475">
        <f>IF(472&gt;$B$1503,"",MATCH(472-0.5,$B$3:$B$1503,1))</f>
        <v/>
      </c>
      <c r="D475">
        <f>"CNA certification ("&amp;IF(LEN(INDEX('Aides'!$C$4:$C$503,472))=0,"",INDEX('Aides'!$C$4:$C$503,472))&amp;") – "&amp;IF(LEN(INDEX('Aides'!$A$4:$A$503,472))=0,"",INDEX('Aides'!$A$4:$A$503,472))</f>
        <v/>
      </c>
      <c r="E475">
        <f>IF(ISNUMBER(INDEX('Aides'!$I$4:$I$503,472)),TEXT(INDEX('Aides'!$I$4:$I$503,472),"yyyy-mm-dd"),"")</f>
        <v/>
      </c>
      <c r="F475">
        <f>"Certification"</f>
        <v/>
      </c>
      <c r="G475">
        <f>"High"</f>
        <v/>
      </c>
      <c r="H475">
        <f>TRIM(IF(LEN(IF(LEN(INDEX('Aides'!$D$4:$D$503,472))=0,"",INDEX('Aides'!$D$4:$D$503,472)))=0,"","Registry no.: "&amp;IF(LEN(INDEX('Aides'!$D$4:$D$503,472))=0,"",INDEX('Aides'!$D$4:$D$503,472))&amp;". ")&amp;IF(LEN(IF(ISNUMBER(INDEX('Aides'!$F$4:$F$503,472)),TEXT(INDEX('Aides'!$F$4:$F$503,472),"yyyy-mm-dd"),""))=0,"","Registry expiry: "&amp;IF(ISNUMBER(INDEX('Aides'!$F$4:$F$503,472)),TEXT(INDEX('Aides'!$F$4:$F$503,472),"yyyy-mm-dd"),"")&amp;". ")&amp;IF(LEN(IF(ISNUMBER(INDEX('Aides'!$G$4:$G$503,472)),TEXT(INDEX('Aides'!$G$4:$G$503,472),"yyyy-mm-dd"),""))=0,"","Last paid nursing work: "&amp;IF(ISNUMBER(INDEX('Aides'!$G$4:$G$503,472)),TEXT(INDEX('Aides'!$G$4:$G$503,472),"yyyy-mm-dd"),"")&amp;". ")&amp;IF(LEN(IF(ISNUMBER(INDEX('Aides'!$H$4:$H$503,472)),TEXT(INDEX('Aides'!$H$4:$H$503,472),"yyyy-mm-dd"),""))=0,"","24-month cut-off: "&amp;IF(ISNUMBER(INDEX('Aides'!$H$4:$H$503,472)),TEXT(INDEX('Aides'!$H$4:$H$503,472),"yyyy-mm-dd"),"")&amp;". ")&amp;IF(LEN(IF(LEN(INDEX('Aides'!$U$4:$U$503,472))=0,"",INDEX('Aides'!$U$4:$U$503,472)))=0,"","Owner: "&amp;IF(LEN(INDEX('Aides'!$U$4:$U$503,472))=0,"",INDEX('Aides'!$U$4:$U$503,472))&amp;". ")&amp;IF(LEN(IF(LEN(INDEX('Aides'!$X$4:$X$503,472))=0,"",INDEX('Aides'!$X$4:$X$503,472)))=0,"",IF(LEN(INDEX('Aides'!$X$4:$X$503,472))=0,"",INDEX('Aides'!$X$4:$X$503,472))))</f>
        <v/>
      </c>
      <c r="I475">
        <f>IF(LEN(INDEX('Aides'!$W$4:$W$503,472))=0,"",INDEX('Aides'!$W$4:$W$503,472))</f>
        <v/>
      </c>
      <c r="J475">
        <f>IF(LEN(INDEX('Aides'!$V$4:$V$503,472))=0,"",INDEX('Aides'!$V$4:$V$503,472))</f>
        <v/>
      </c>
    </row>
    <row r="476">
      <c r="A476">
        <f>IF(AND(LEN('Aides'!A476)&gt;0,ISNUMBER('Aides'!I476)),1,0)</f>
        <v/>
      </c>
      <c r="B476">
        <f>B475+A476</f>
        <v/>
      </c>
      <c r="C476">
        <f>IF(473&gt;$B$1503,"",MATCH(473-0.5,$B$3:$B$1503,1))</f>
        <v/>
      </c>
      <c r="D476">
        <f>"CNA certification ("&amp;IF(LEN(INDEX('Aides'!$C$4:$C$503,473))=0,"",INDEX('Aides'!$C$4:$C$503,473))&amp;") – "&amp;IF(LEN(INDEX('Aides'!$A$4:$A$503,473))=0,"",INDEX('Aides'!$A$4:$A$503,473))</f>
        <v/>
      </c>
      <c r="E476">
        <f>IF(ISNUMBER(INDEX('Aides'!$I$4:$I$503,473)),TEXT(INDEX('Aides'!$I$4:$I$503,473),"yyyy-mm-dd"),"")</f>
        <v/>
      </c>
      <c r="F476">
        <f>"Certification"</f>
        <v/>
      </c>
      <c r="G476">
        <f>"High"</f>
        <v/>
      </c>
      <c r="H476">
        <f>TRIM(IF(LEN(IF(LEN(INDEX('Aides'!$D$4:$D$503,473))=0,"",INDEX('Aides'!$D$4:$D$503,473)))=0,"","Registry no.: "&amp;IF(LEN(INDEX('Aides'!$D$4:$D$503,473))=0,"",INDEX('Aides'!$D$4:$D$503,473))&amp;". ")&amp;IF(LEN(IF(ISNUMBER(INDEX('Aides'!$F$4:$F$503,473)),TEXT(INDEX('Aides'!$F$4:$F$503,473),"yyyy-mm-dd"),""))=0,"","Registry expiry: "&amp;IF(ISNUMBER(INDEX('Aides'!$F$4:$F$503,473)),TEXT(INDEX('Aides'!$F$4:$F$503,473),"yyyy-mm-dd"),"")&amp;". ")&amp;IF(LEN(IF(ISNUMBER(INDEX('Aides'!$G$4:$G$503,473)),TEXT(INDEX('Aides'!$G$4:$G$503,473),"yyyy-mm-dd"),""))=0,"","Last paid nursing work: "&amp;IF(ISNUMBER(INDEX('Aides'!$G$4:$G$503,473)),TEXT(INDEX('Aides'!$G$4:$G$503,473),"yyyy-mm-dd"),"")&amp;". ")&amp;IF(LEN(IF(ISNUMBER(INDEX('Aides'!$H$4:$H$503,473)),TEXT(INDEX('Aides'!$H$4:$H$503,473),"yyyy-mm-dd"),""))=0,"","24-month cut-off: "&amp;IF(ISNUMBER(INDEX('Aides'!$H$4:$H$503,473)),TEXT(INDEX('Aides'!$H$4:$H$503,473),"yyyy-mm-dd"),"")&amp;". ")&amp;IF(LEN(IF(LEN(INDEX('Aides'!$U$4:$U$503,473))=0,"",INDEX('Aides'!$U$4:$U$503,473)))=0,"","Owner: "&amp;IF(LEN(INDEX('Aides'!$U$4:$U$503,473))=0,"",INDEX('Aides'!$U$4:$U$503,473))&amp;". ")&amp;IF(LEN(IF(LEN(INDEX('Aides'!$X$4:$X$503,473))=0,"",INDEX('Aides'!$X$4:$X$503,473)))=0,"",IF(LEN(INDEX('Aides'!$X$4:$X$503,473))=0,"",INDEX('Aides'!$X$4:$X$503,473))))</f>
        <v/>
      </c>
      <c r="I476">
        <f>IF(LEN(INDEX('Aides'!$W$4:$W$503,473))=0,"",INDEX('Aides'!$W$4:$W$503,473))</f>
        <v/>
      </c>
      <c r="J476">
        <f>IF(LEN(INDEX('Aides'!$V$4:$V$503,473))=0,"",INDEX('Aides'!$V$4:$V$503,473))</f>
        <v/>
      </c>
    </row>
    <row r="477">
      <c r="A477">
        <f>IF(AND(LEN('Aides'!A477)&gt;0,ISNUMBER('Aides'!I477)),1,0)</f>
        <v/>
      </c>
      <c r="B477">
        <f>B476+A477</f>
        <v/>
      </c>
      <c r="C477">
        <f>IF(474&gt;$B$1503,"",MATCH(474-0.5,$B$3:$B$1503,1))</f>
        <v/>
      </c>
      <c r="D477">
        <f>"CNA certification ("&amp;IF(LEN(INDEX('Aides'!$C$4:$C$503,474))=0,"",INDEX('Aides'!$C$4:$C$503,474))&amp;") – "&amp;IF(LEN(INDEX('Aides'!$A$4:$A$503,474))=0,"",INDEX('Aides'!$A$4:$A$503,474))</f>
        <v/>
      </c>
      <c r="E477">
        <f>IF(ISNUMBER(INDEX('Aides'!$I$4:$I$503,474)),TEXT(INDEX('Aides'!$I$4:$I$503,474),"yyyy-mm-dd"),"")</f>
        <v/>
      </c>
      <c r="F477">
        <f>"Certification"</f>
        <v/>
      </c>
      <c r="G477">
        <f>"High"</f>
        <v/>
      </c>
      <c r="H477">
        <f>TRIM(IF(LEN(IF(LEN(INDEX('Aides'!$D$4:$D$503,474))=0,"",INDEX('Aides'!$D$4:$D$503,474)))=0,"","Registry no.: "&amp;IF(LEN(INDEX('Aides'!$D$4:$D$503,474))=0,"",INDEX('Aides'!$D$4:$D$503,474))&amp;". ")&amp;IF(LEN(IF(ISNUMBER(INDEX('Aides'!$F$4:$F$503,474)),TEXT(INDEX('Aides'!$F$4:$F$503,474),"yyyy-mm-dd"),""))=0,"","Registry expiry: "&amp;IF(ISNUMBER(INDEX('Aides'!$F$4:$F$503,474)),TEXT(INDEX('Aides'!$F$4:$F$503,474),"yyyy-mm-dd"),"")&amp;". ")&amp;IF(LEN(IF(ISNUMBER(INDEX('Aides'!$G$4:$G$503,474)),TEXT(INDEX('Aides'!$G$4:$G$503,474),"yyyy-mm-dd"),""))=0,"","Last paid nursing work: "&amp;IF(ISNUMBER(INDEX('Aides'!$G$4:$G$503,474)),TEXT(INDEX('Aides'!$G$4:$G$503,474),"yyyy-mm-dd"),"")&amp;". ")&amp;IF(LEN(IF(ISNUMBER(INDEX('Aides'!$H$4:$H$503,474)),TEXT(INDEX('Aides'!$H$4:$H$503,474),"yyyy-mm-dd"),""))=0,"","24-month cut-off: "&amp;IF(ISNUMBER(INDEX('Aides'!$H$4:$H$503,474)),TEXT(INDEX('Aides'!$H$4:$H$503,474),"yyyy-mm-dd"),"")&amp;". ")&amp;IF(LEN(IF(LEN(INDEX('Aides'!$U$4:$U$503,474))=0,"",INDEX('Aides'!$U$4:$U$503,474)))=0,"","Owner: "&amp;IF(LEN(INDEX('Aides'!$U$4:$U$503,474))=0,"",INDEX('Aides'!$U$4:$U$503,474))&amp;". ")&amp;IF(LEN(IF(LEN(INDEX('Aides'!$X$4:$X$503,474))=0,"",INDEX('Aides'!$X$4:$X$503,474)))=0,"",IF(LEN(INDEX('Aides'!$X$4:$X$503,474))=0,"",INDEX('Aides'!$X$4:$X$503,474))))</f>
        <v/>
      </c>
      <c r="I477">
        <f>IF(LEN(INDEX('Aides'!$W$4:$W$503,474))=0,"",INDEX('Aides'!$W$4:$W$503,474))</f>
        <v/>
      </c>
      <c r="J477">
        <f>IF(LEN(INDEX('Aides'!$V$4:$V$503,474))=0,"",INDEX('Aides'!$V$4:$V$503,474))</f>
        <v/>
      </c>
    </row>
    <row r="478">
      <c r="A478">
        <f>IF(AND(LEN('Aides'!A478)&gt;0,ISNUMBER('Aides'!I478)),1,0)</f>
        <v/>
      </c>
      <c r="B478">
        <f>B477+A478</f>
        <v/>
      </c>
      <c r="C478">
        <f>IF(475&gt;$B$1503,"",MATCH(475-0.5,$B$3:$B$1503,1))</f>
        <v/>
      </c>
      <c r="D478">
        <f>"CNA certification ("&amp;IF(LEN(INDEX('Aides'!$C$4:$C$503,475))=0,"",INDEX('Aides'!$C$4:$C$503,475))&amp;") – "&amp;IF(LEN(INDEX('Aides'!$A$4:$A$503,475))=0,"",INDEX('Aides'!$A$4:$A$503,475))</f>
        <v/>
      </c>
      <c r="E478">
        <f>IF(ISNUMBER(INDEX('Aides'!$I$4:$I$503,475)),TEXT(INDEX('Aides'!$I$4:$I$503,475),"yyyy-mm-dd"),"")</f>
        <v/>
      </c>
      <c r="F478">
        <f>"Certification"</f>
        <v/>
      </c>
      <c r="G478">
        <f>"High"</f>
        <v/>
      </c>
      <c r="H478">
        <f>TRIM(IF(LEN(IF(LEN(INDEX('Aides'!$D$4:$D$503,475))=0,"",INDEX('Aides'!$D$4:$D$503,475)))=0,"","Registry no.: "&amp;IF(LEN(INDEX('Aides'!$D$4:$D$503,475))=0,"",INDEX('Aides'!$D$4:$D$503,475))&amp;". ")&amp;IF(LEN(IF(ISNUMBER(INDEX('Aides'!$F$4:$F$503,475)),TEXT(INDEX('Aides'!$F$4:$F$503,475),"yyyy-mm-dd"),""))=0,"","Registry expiry: "&amp;IF(ISNUMBER(INDEX('Aides'!$F$4:$F$503,475)),TEXT(INDEX('Aides'!$F$4:$F$503,475),"yyyy-mm-dd"),"")&amp;". ")&amp;IF(LEN(IF(ISNUMBER(INDEX('Aides'!$G$4:$G$503,475)),TEXT(INDEX('Aides'!$G$4:$G$503,475),"yyyy-mm-dd"),""))=0,"","Last paid nursing work: "&amp;IF(ISNUMBER(INDEX('Aides'!$G$4:$G$503,475)),TEXT(INDEX('Aides'!$G$4:$G$503,475),"yyyy-mm-dd"),"")&amp;". ")&amp;IF(LEN(IF(ISNUMBER(INDEX('Aides'!$H$4:$H$503,475)),TEXT(INDEX('Aides'!$H$4:$H$503,475),"yyyy-mm-dd"),""))=0,"","24-month cut-off: "&amp;IF(ISNUMBER(INDEX('Aides'!$H$4:$H$503,475)),TEXT(INDEX('Aides'!$H$4:$H$503,475),"yyyy-mm-dd"),"")&amp;". ")&amp;IF(LEN(IF(LEN(INDEX('Aides'!$U$4:$U$503,475))=0,"",INDEX('Aides'!$U$4:$U$503,475)))=0,"","Owner: "&amp;IF(LEN(INDEX('Aides'!$U$4:$U$503,475))=0,"",INDEX('Aides'!$U$4:$U$503,475))&amp;". ")&amp;IF(LEN(IF(LEN(INDEX('Aides'!$X$4:$X$503,475))=0,"",INDEX('Aides'!$X$4:$X$503,475)))=0,"",IF(LEN(INDEX('Aides'!$X$4:$X$503,475))=0,"",INDEX('Aides'!$X$4:$X$503,475))))</f>
        <v/>
      </c>
      <c r="I478">
        <f>IF(LEN(INDEX('Aides'!$W$4:$W$503,475))=0,"",INDEX('Aides'!$W$4:$W$503,475))</f>
        <v/>
      </c>
      <c r="J478">
        <f>IF(LEN(INDEX('Aides'!$V$4:$V$503,475))=0,"",INDEX('Aides'!$V$4:$V$503,475))</f>
        <v/>
      </c>
    </row>
    <row r="479">
      <c r="A479">
        <f>IF(AND(LEN('Aides'!A479)&gt;0,ISNUMBER('Aides'!I479)),1,0)</f>
        <v/>
      </c>
      <c r="B479">
        <f>B478+A479</f>
        <v/>
      </c>
      <c r="C479">
        <f>IF(476&gt;$B$1503,"",MATCH(476-0.5,$B$3:$B$1503,1))</f>
        <v/>
      </c>
      <c r="D479">
        <f>"CNA certification ("&amp;IF(LEN(INDEX('Aides'!$C$4:$C$503,476))=0,"",INDEX('Aides'!$C$4:$C$503,476))&amp;") – "&amp;IF(LEN(INDEX('Aides'!$A$4:$A$503,476))=0,"",INDEX('Aides'!$A$4:$A$503,476))</f>
        <v/>
      </c>
      <c r="E479">
        <f>IF(ISNUMBER(INDEX('Aides'!$I$4:$I$503,476)),TEXT(INDEX('Aides'!$I$4:$I$503,476),"yyyy-mm-dd"),"")</f>
        <v/>
      </c>
      <c r="F479">
        <f>"Certification"</f>
        <v/>
      </c>
      <c r="G479">
        <f>"High"</f>
        <v/>
      </c>
      <c r="H479">
        <f>TRIM(IF(LEN(IF(LEN(INDEX('Aides'!$D$4:$D$503,476))=0,"",INDEX('Aides'!$D$4:$D$503,476)))=0,"","Registry no.: "&amp;IF(LEN(INDEX('Aides'!$D$4:$D$503,476))=0,"",INDEX('Aides'!$D$4:$D$503,476))&amp;". ")&amp;IF(LEN(IF(ISNUMBER(INDEX('Aides'!$F$4:$F$503,476)),TEXT(INDEX('Aides'!$F$4:$F$503,476),"yyyy-mm-dd"),""))=0,"","Registry expiry: "&amp;IF(ISNUMBER(INDEX('Aides'!$F$4:$F$503,476)),TEXT(INDEX('Aides'!$F$4:$F$503,476),"yyyy-mm-dd"),"")&amp;". ")&amp;IF(LEN(IF(ISNUMBER(INDEX('Aides'!$G$4:$G$503,476)),TEXT(INDEX('Aides'!$G$4:$G$503,476),"yyyy-mm-dd"),""))=0,"","Last paid nursing work: "&amp;IF(ISNUMBER(INDEX('Aides'!$G$4:$G$503,476)),TEXT(INDEX('Aides'!$G$4:$G$503,476),"yyyy-mm-dd"),"")&amp;". ")&amp;IF(LEN(IF(ISNUMBER(INDEX('Aides'!$H$4:$H$503,476)),TEXT(INDEX('Aides'!$H$4:$H$503,476),"yyyy-mm-dd"),""))=0,"","24-month cut-off: "&amp;IF(ISNUMBER(INDEX('Aides'!$H$4:$H$503,476)),TEXT(INDEX('Aides'!$H$4:$H$503,476),"yyyy-mm-dd"),"")&amp;". ")&amp;IF(LEN(IF(LEN(INDEX('Aides'!$U$4:$U$503,476))=0,"",INDEX('Aides'!$U$4:$U$503,476)))=0,"","Owner: "&amp;IF(LEN(INDEX('Aides'!$U$4:$U$503,476))=0,"",INDEX('Aides'!$U$4:$U$503,476))&amp;". ")&amp;IF(LEN(IF(LEN(INDEX('Aides'!$X$4:$X$503,476))=0,"",INDEX('Aides'!$X$4:$X$503,476)))=0,"",IF(LEN(INDEX('Aides'!$X$4:$X$503,476))=0,"",INDEX('Aides'!$X$4:$X$503,476))))</f>
        <v/>
      </c>
      <c r="I479">
        <f>IF(LEN(INDEX('Aides'!$W$4:$W$503,476))=0,"",INDEX('Aides'!$W$4:$W$503,476))</f>
        <v/>
      </c>
      <c r="J479">
        <f>IF(LEN(INDEX('Aides'!$V$4:$V$503,476))=0,"",INDEX('Aides'!$V$4:$V$503,476))</f>
        <v/>
      </c>
    </row>
    <row r="480">
      <c r="A480">
        <f>IF(AND(LEN('Aides'!A480)&gt;0,ISNUMBER('Aides'!I480)),1,0)</f>
        <v/>
      </c>
      <c r="B480">
        <f>B479+A480</f>
        <v/>
      </c>
      <c r="C480">
        <f>IF(477&gt;$B$1503,"",MATCH(477-0.5,$B$3:$B$1503,1))</f>
        <v/>
      </c>
      <c r="D480">
        <f>"CNA certification ("&amp;IF(LEN(INDEX('Aides'!$C$4:$C$503,477))=0,"",INDEX('Aides'!$C$4:$C$503,477))&amp;") – "&amp;IF(LEN(INDEX('Aides'!$A$4:$A$503,477))=0,"",INDEX('Aides'!$A$4:$A$503,477))</f>
        <v/>
      </c>
      <c r="E480">
        <f>IF(ISNUMBER(INDEX('Aides'!$I$4:$I$503,477)),TEXT(INDEX('Aides'!$I$4:$I$503,477),"yyyy-mm-dd"),"")</f>
        <v/>
      </c>
      <c r="F480">
        <f>"Certification"</f>
        <v/>
      </c>
      <c r="G480">
        <f>"High"</f>
        <v/>
      </c>
      <c r="H480">
        <f>TRIM(IF(LEN(IF(LEN(INDEX('Aides'!$D$4:$D$503,477))=0,"",INDEX('Aides'!$D$4:$D$503,477)))=0,"","Registry no.: "&amp;IF(LEN(INDEX('Aides'!$D$4:$D$503,477))=0,"",INDEX('Aides'!$D$4:$D$503,477))&amp;". ")&amp;IF(LEN(IF(ISNUMBER(INDEX('Aides'!$F$4:$F$503,477)),TEXT(INDEX('Aides'!$F$4:$F$503,477),"yyyy-mm-dd"),""))=0,"","Registry expiry: "&amp;IF(ISNUMBER(INDEX('Aides'!$F$4:$F$503,477)),TEXT(INDEX('Aides'!$F$4:$F$503,477),"yyyy-mm-dd"),"")&amp;". ")&amp;IF(LEN(IF(ISNUMBER(INDEX('Aides'!$G$4:$G$503,477)),TEXT(INDEX('Aides'!$G$4:$G$503,477),"yyyy-mm-dd"),""))=0,"","Last paid nursing work: "&amp;IF(ISNUMBER(INDEX('Aides'!$G$4:$G$503,477)),TEXT(INDEX('Aides'!$G$4:$G$503,477),"yyyy-mm-dd"),"")&amp;". ")&amp;IF(LEN(IF(ISNUMBER(INDEX('Aides'!$H$4:$H$503,477)),TEXT(INDEX('Aides'!$H$4:$H$503,477),"yyyy-mm-dd"),""))=0,"","24-month cut-off: "&amp;IF(ISNUMBER(INDEX('Aides'!$H$4:$H$503,477)),TEXT(INDEX('Aides'!$H$4:$H$503,477),"yyyy-mm-dd"),"")&amp;". ")&amp;IF(LEN(IF(LEN(INDEX('Aides'!$U$4:$U$503,477))=0,"",INDEX('Aides'!$U$4:$U$503,477)))=0,"","Owner: "&amp;IF(LEN(INDEX('Aides'!$U$4:$U$503,477))=0,"",INDEX('Aides'!$U$4:$U$503,477))&amp;". ")&amp;IF(LEN(IF(LEN(INDEX('Aides'!$X$4:$X$503,477))=0,"",INDEX('Aides'!$X$4:$X$503,477)))=0,"",IF(LEN(INDEX('Aides'!$X$4:$X$503,477))=0,"",INDEX('Aides'!$X$4:$X$503,477))))</f>
        <v/>
      </c>
      <c r="I480">
        <f>IF(LEN(INDEX('Aides'!$W$4:$W$503,477))=0,"",INDEX('Aides'!$W$4:$W$503,477))</f>
        <v/>
      </c>
      <c r="J480">
        <f>IF(LEN(INDEX('Aides'!$V$4:$V$503,477))=0,"",INDEX('Aides'!$V$4:$V$503,477))</f>
        <v/>
      </c>
    </row>
    <row r="481">
      <c r="A481">
        <f>IF(AND(LEN('Aides'!A481)&gt;0,ISNUMBER('Aides'!I481)),1,0)</f>
        <v/>
      </c>
      <c r="B481">
        <f>B480+A481</f>
        <v/>
      </c>
      <c r="C481">
        <f>IF(478&gt;$B$1503,"",MATCH(478-0.5,$B$3:$B$1503,1))</f>
        <v/>
      </c>
      <c r="D481">
        <f>"CNA certification ("&amp;IF(LEN(INDEX('Aides'!$C$4:$C$503,478))=0,"",INDEX('Aides'!$C$4:$C$503,478))&amp;") – "&amp;IF(LEN(INDEX('Aides'!$A$4:$A$503,478))=0,"",INDEX('Aides'!$A$4:$A$503,478))</f>
        <v/>
      </c>
      <c r="E481">
        <f>IF(ISNUMBER(INDEX('Aides'!$I$4:$I$503,478)),TEXT(INDEX('Aides'!$I$4:$I$503,478),"yyyy-mm-dd"),"")</f>
        <v/>
      </c>
      <c r="F481">
        <f>"Certification"</f>
        <v/>
      </c>
      <c r="G481">
        <f>"High"</f>
        <v/>
      </c>
      <c r="H481">
        <f>TRIM(IF(LEN(IF(LEN(INDEX('Aides'!$D$4:$D$503,478))=0,"",INDEX('Aides'!$D$4:$D$503,478)))=0,"","Registry no.: "&amp;IF(LEN(INDEX('Aides'!$D$4:$D$503,478))=0,"",INDEX('Aides'!$D$4:$D$503,478))&amp;". ")&amp;IF(LEN(IF(ISNUMBER(INDEX('Aides'!$F$4:$F$503,478)),TEXT(INDEX('Aides'!$F$4:$F$503,478),"yyyy-mm-dd"),""))=0,"","Registry expiry: "&amp;IF(ISNUMBER(INDEX('Aides'!$F$4:$F$503,478)),TEXT(INDEX('Aides'!$F$4:$F$503,478),"yyyy-mm-dd"),"")&amp;". ")&amp;IF(LEN(IF(ISNUMBER(INDEX('Aides'!$G$4:$G$503,478)),TEXT(INDEX('Aides'!$G$4:$G$503,478),"yyyy-mm-dd"),""))=0,"","Last paid nursing work: "&amp;IF(ISNUMBER(INDEX('Aides'!$G$4:$G$503,478)),TEXT(INDEX('Aides'!$G$4:$G$503,478),"yyyy-mm-dd"),"")&amp;". ")&amp;IF(LEN(IF(ISNUMBER(INDEX('Aides'!$H$4:$H$503,478)),TEXT(INDEX('Aides'!$H$4:$H$503,478),"yyyy-mm-dd"),""))=0,"","24-month cut-off: "&amp;IF(ISNUMBER(INDEX('Aides'!$H$4:$H$503,478)),TEXT(INDEX('Aides'!$H$4:$H$503,478),"yyyy-mm-dd"),"")&amp;". ")&amp;IF(LEN(IF(LEN(INDEX('Aides'!$U$4:$U$503,478))=0,"",INDEX('Aides'!$U$4:$U$503,478)))=0,"","Owner: "&amp;IF(LEN(INDEX('Aides'!$U$4:$U$503,478))=0,"",INDEX('Aides'!$U$4:$U$503,478))&amp;". ")&amp;IF(LEN(IF(LEN(INDEX('Aides'!$X$4:$X$503,478))=0,"",INDEX('Aides'!$X$4:$X$503,478)))=0,"",IF(LEN(INDEX('Aides'!$X$4:$X$503,478))=0,"",INDEX('Aides'!$X$4:$X$503,478))))</f>
        <v/>
      </c>
      <c r="I481">
        <f>IF(LEN(INDEX('Aides'!$W$4:$W$503,478))=0,"",INDEX('Aides'!$W$4:$W$503,478))</f>
        <v/>
      </c>
      <c r="J481">
        <f>IF(LEN(INDEX('Aides'!$V$4:$V$503,478))=0,"",INDEX('Aides'!$V$4:$V$503,478))</f>
        <v/>
      </c>
    </row>
    <row r="482">
      <c r="A482">
        <f>IF(AND(LEN('Aides'!A482)&gt;0,ISNUMBER('Aides'!I482)),1,0)</f>
        <v/>
      </c>
      <c r="B482">
        <f>B481+A482</f>
        <v/>
      </c>
      <c r="C482">
        <f>IF(479&gt;$B$1503,"",MATCH(479-0.5,$B$3:$B$1503,1))</f>
        <v/>
      </c>
      <c r="D482">
        <f>"CNA certification ("&amp;IF(LEN(INDEX('Aides'!$C$4:$C$503,479))=0,"",INDEX('Aides'!$C$4:$C$503,479))&amp;") – "&amp;IF(LEN(INDEX('Aides'!$A$4:$A$503,479))=0,"",INDEX('Aides'!$A$4:$A$503,479))</f>
        <v/>
      </c>
      <c r="E482">
        <f>IF(ISNUMBER(INDEX('Aides'!$I$4:$I$503,479)),TEXT(INDEX('Aides'!$I$4:$I$503,479),"yyyy-mm-dd"),"")</f>
        <v/>
      </c>
      <c r="F482">
        <f>"Certification"</f>
        <v/>
      </c>
      <c r="G482">
        <f>"High"</f>
        <v/>
      </c>
      <c r="H482">
        <f>TRIM(IF(LEN(IF(LEN(INDEX('Aides'!$D$4:$D$503,479))=0,"",INDEX('Aides'!$D$4:$D$503,479)))=0,"","Registry no.: "&amp;IF(LEN(INDEX('Aides'!$D$4:$D$503,479))=0,"",INDEX('Aides'!$D$4:$D$503,479))&amp;". ")&amp;IF(LEN(IF(ISNUMBER(INDEX('Aides'!$F$4:$F$503,479)),TEXT(INDEX('Aides'!$F$4:$F$503,479),"yyyy-mm-dd"),""))=0,"","Registry expiry: "&amp;IF(ISNUMBER(INDEX('Aides'!$F$4:$F$503,479)),TEXT(INDEX('Aides'!$F$4:$F$503,479),"yyyy-mm-dd"),"")&amp;". ")&amp;IF(LEN(IF(ISNUMBER(INDEX('Aides'!$G$4:$G$503,479)),TEXT(INDEX('Aides'!$G$4:$G$503,479),"yyyy-mm-dd"),""))=0,"","Last paid nursing work: "&amp;IF(ISNUMBER(INDEX('Aides'!$G$4:$G$503,479)),TEXT(INDEX('Aides'!$G$4:$G$503,479),"yyyy-mm-dd"),"")&amp;". ")&amp;IF(LEN(IF(ISNUMBER(INDEX('Aides'!$H$4:$H$503,479)),TEXT(INDEX('Aides'!$H$4:$H$503,479),"yyyy-mm-dd"),""))=0,"","24-month cut-off: "&amp;IF(ISNUMBER(INDEX('Aides'!$H$4:$H$503,479)),TEXT(INDEX('Aides'!$H$4:$H$503,479),"yyyy-mm-dd"),"")&amp;". ")&amp;IF(LEN(IF(LEN(INDEX('Aides'!$U$4:$U$503,479))=0,"",INDEX('Aides'!$U$4:$U$503,479)))=0,"","Owner: "&amp;IF(LEN(INDEX('Aides'!$U$4:$U$503,479))=0,"",INDEX('Aides'!$U$4:$U$503,479))&amp;". ")&amp;IF(LEN(IF(LEN(INDEX('Aides'!$X$4:$X$503,479))=0,"",INDEX('Aides'!$X$4:$X$503,479)))=0,"",IF(LEN(INDEX('Aides'!$X$4:$X$503,479))=0,"",INDEX('Aides'!$X$4:$X$503,479))))</f>
        <v/>
      </c>
      <c r="I482">
        <f>IF(LEN(INDEX('Aides'!$W$4:$W$503,479))=0,"",INDEX('Aides'!$W$4:$W$503,479))</f>
        <v/>
      </c>
      <c r="J482">
        <f>IF(LEN(INDEX('Aides'!$V$4:$V$503,479))=0,"",INDEX('Aides'!$V$4:$V$503,479))</f>
        <v/>
      </c>
    </row>
    <row r="483">
      <c r="A483">
        <f>IF(AND(LEN('Aides'!A483)&gt;0,ISNUMBER('Aides'!I483)),1,0)</f>
        <v/>
      </c>
      <c r="B483">
        <f>B482+A483</f>
        <v/>
      </c>
      <c r="C483">
        <f>IF(480&gt;$B$1503,"",MATCH(480-0.5,$B$3:$B$1503,1))</f>
        <v/>
      </c>
      <c r="D483">
        <f>"CNA certification ("&amp;IF(LEN(INDEX('Aides'!$C$4:$C$503,480))=0,"",INDEX('Aides'!$C$4:$C$503,480))&amp;") – "&amp;IF(LEN(INDEX('Aides'!$A$4:$A$503,480))=0,"",INDEX('Aides'!$A$4:$A$503,480))</f>
        <v/>
      </c>
      <c r="E483">
        <f>IF(ISNUMBER(INDEX('Aides'!$I$4:$I$503,480)),TEXT(INDEX('Aides'!$I$4:$I$503,480),"yyyy-mm-dd"),"")</f>
        <v/>
      </c>
      <c r="F483">
        <f>"Certification"</f>
        <v/>
      </c>
      <c r="G483">
        <f>"High"</f>
        <v/>
      </c>
      <c r="H483">
        <f>TRIM(IF(LEN(IF(LEN(INDEX('Aides'!$D$4:$D$503,480))=0,"",INDEX('Aides'!$D$4:$D$503,480)))=0,"","Registry no.: "&amp;IF(LEN(INDEX('Aides'!$D$4:$D$503,480))=0,"",INDEX('Aides'!$D$4:$D$503,480))&amp;". ")&amp;IF(LEN(IF(ISNUMBER(INDEX('Aides'!$F$4:$F$503,480)),TEXT(INDEX('Aides'!$F$4:$F$503,480),"yyyy-mm-dd"),""))=0,"","Registry expiry: "&amp;IF(ISNUMBER(INDEX('Aides'!$F$4:$F$503,480)),TEXT(INDEX('Aides'!$F$4:$F$503,480),"yyyy-mm-dd"),"")&amp;". ")&amp;IF(LEN(IF(ISNUMBER(INDEX('Aides'!$G$4:$G$503,480)),TEXT(INDEX('Aides'!$G$4:$G$503,480),"yyyy-mm-dd"),""))=0,"","Last paid nursing work: "&amp;IF(ISNUMBER(INDEX('Aides'!$G$4:$G$503,480)),TEXT(INDEX('Aides'!$G$4:$G$503,480),"yyyy-mm-dd"),"")&amp;". ")&amp;IF(LEN(IF(ISNUMBER(INDEX('Aides'!$H$4:$H$503,480)),TEXT(INDEX('Aides'!$H$4:$H$503,480),"yyyy-mm-dd"),""))=0,"","24-month cut-off: "&amp;IF(ISNUMBER(INDEX('Aides'!$H$4:$H$503,480)),TEXT(INDEX('Aides'!$H$4:$H$503,480),"yyyy-mm-dd"),"")&amp;". ")&amp;IF(LEN(IF(LEN(INDEX('Aides'!$U$4:$U$503,480))=0,"",INDEX('Aides'!$U$4:$U$503,480)))=0,"","Owner: "&amp;IF(LEN(INDEX('Aides'!$U$4:$U$503,480))=0,"",INDEX('Aides'!$U$4:$U$503,480))&amp;". ")&amp;IF(LEN(IF(LEN(INDEX('Aides'!$X$4:$X$503,480))=0,"",INDEX('Aides'!$X$4:$X$503,480)))=0,"",IF(LEN(INDEX('Aides'!$X$4:$X$503,480))=0,"",INDEX('Aides'!$X$4:$X$503,480))))</f>
        <v/>
      </c>
      <c r="I483">
        <f>IF(LEN(INDEX('Aides'!$W$4:$W$503,480))=0,"",INDEX('Aides'!$W$4:$W$503,480))</f>
        <v/>
      </c>
      <c r="J483">
        <f>IF(LEN(INDEX('Aides'!$V$4:$V$503,480))=0,"",INDEX('Aides'!$V$4:$V$503,480))</f>
        <v/>
      </c>
    </row>
    <row r="484">
      <c r="A484">
        <f>IF(AND(LEN('Aides'!A484)&gt;0,ISNUMBER('Aides'!I484)),1,0)</f>
        <v/>
      </c>
      <c r="B484">
        <f>B483+A484</f>
        <v/>
      </c>
      <c r="C484">
        <f>IF(481&gt;$B$1503,"",MATCH(481-0.5,$B$3:$B$1503,1))</f>
        <v/>
      </c>
      <c r="D484">
        <f>"CNA certification ("&amp;IF(LEN(INDEX('Aides'!$C$4:$C$503,481))=0,"",INDEX('Aides'!$C$4:$C$503,481))&amp;") – "&amp;IF(LEN(INDEX('Aides'!$A$4:$A$503,481))=0,"",INDEX('Aides'!$A$4:$A$503,481))</f>
        <v/>
      </c>
      <c r="E484">
        <f>IF(ISNUMBER(INDEX('Aides'!$I$4:$I$503,481)),TEXT(INDEX('Aides'!$I$4:$I$503,481),"yyyy-mm-dd"),"")</f>
        <v/>
      </c>
      <c r="F484">
        <f>"Certification"</f>
        <v/>
      </c>
      <c r="G484">
        <f>"High"</f>
        <v/>
      </c>
      <c r="H484">
        <f>TRIM(IF(LEN(IF(LEN(INDEX('Aides'!$D$4:$D$503,481))=0,"",INDEX('Aides'!$D$4:$D$503,481)))=0,"","Registry no.: "&amp;IF(LEN(INDEX('Aides'!$D$4:$D$503,481))=0,"",INDEX('Aides'!$D$4:$D$503,481))&amp;". ")&amp;IF(LEN(IF(ISNUMBER(INDEX('Aides'!$F$4:$F$503,481)),TEXT(INDEX('Aides'!$F$4:$F$503,481),"yyyy-mm-dd"),""))=0,"","Registry expiry: "&amp;IF(ISNUMBER(INDEX('Aides'!$F$4:$F$503,481)),TEXT(INDEX('Aides'!$F$4:$F$503,481),"yyyy-mm-dd"),"")&amp;". ")&amp;IF(LEN(IF(ISNUMBER(INDEX('Aides'!$G$4:$G$503,481)),TEXT(INDEX('Aides'!$G$4:$G$503,481),"yyyy-mm-dd"),""))=0,"","Last paid nursing work: "&amp;IF(ISNUMBER(INDEX('Aides'!$G$4:$G$503,481)),TEXT(INDEX('Aides'!$G$4:$G$503,481),"yyyy-mm-dd"),"")&amp;". ")&amp;IF(LEN(IF(ISNUMBER(INDEX('Aides'!$H$4:$H$503,481)),TEXT(INDEX('Aides'!$H$4:$H$503,481),"yyyy-mm-dd"),""))=0,"","24-month cut-off: "&amp;IF(ISNUMBER(INDEX('Aides'!$H$4:$H$503,481)),TEXT(INDEX('Aides'!$H$4:$H$503,481),"yyyy-mm-dd"),"")&amp;". ")&amp;IF(LEN(IF(LEN(INDEX('Aides'!$U$4:$U$503,481))=0,"",INDEX('Aides'!$U$4:$U$503,481)))=0,"","Owner: "&amp;IF(LEN(INDEX('Aides'!$U$4:$U$503,481))=0,"",INDEX('Aides'!$U$4:$U$503,481))&amp;". ")&amp;IF(LEN(IF(LEN(INDEX('Aides'!$X$4:$X$503,481))=0,"",INDEX('Aides'!$X$4:$X$503,481)))=0,"",IF(LEN(INDEX('Aides'!$X$4:$X$503,481))=0,"",INDEX('Aides'!$X$4:$X$503,481))))</f>
        <v/>
      </c>
      <c r="I484">
        <f>IF(LEN(INDEX('Aides'!$W$4:$W$503,481))=0,"",INDEX('Aides'!$W$4:$W$503,481))</f>
        <v/>
      </c>
      <c r="J484">
        <f>IF(LEN(INDEX('Aides'!$V$4:$V$503,481))=0,"",INDEX('Aides'!$V$4:$V$503,481))</f>
        <v/>
      </c>
    </row>
    <row r="485">
      <c r="A485">
        <f>IF(AND(LEN('Aides'!A485)&gt;0,ISNUMBER('Aides'!I485)),1,0)</f>
        <v/>
      </c>
      <c r="B485">
        <f>B484+A485</f>
        <v/>
      </c>
      <c r="C485">
        <f>IF(482&gt;$B$1503,"",MATCH(482-0.5,$B$3:$B$1503,1))</f>
        <v/>
      </c>
      <c r="D485">
        <f>"CNA certification ("&amp;IF(LEN(INDEX('Aides'!$C$4:$C$503,482))=0,"",INDEX('Aides'!$C$4:$C$503,482))&amp;") – "&amp;IF(LEN(INDEX('Aides'!$A$4:$A$503,482))=0,"",INDEX('Aides'!$A$4:$A$503,482))</f>
        <v/>
      </c>
      <c r="E485">
        <f>IF(ISNUMBER(INDEX('Aides'!$I$4:$I$503,482)),TEXT(INDEX('Aides'!$I$4:$I$503,482),"yyyy-mm-dd"),"")</f>
        <v/>
      </c>
      <c r="F485">
        <f>"Certification"</f>
        <v/>
      </c>
      <c r="G485">
        <f>"High"</f>
        <v/>
      </c>
      <c r="H485">
        <f>TRIM(IF(LEN(IF(LEN(INDEX('Aides'!$D$4:$D$503,482))=0,"",INDEX('Aides'!$D$4:$D$503,482)))=0,"","Registry no.: "&amp;IF(LEN(INDEX('Aides'!$D$4:$D$503,482))=0,"",INDEX('Aides'!$D$4:$D$503,482))&amp;". ")&amp;IF(LEN(IF(ISNUMBER(INDEX('Aides'!$F$4:$F$503,482)),TEXT(INDEX('Aides'!$F$4:$F$503,482),"yyyy-mm-dd"),""))=0,"","Registry expiry: "&amp;IF(ISNUMBER(INDEX('Aides'!$F$4:$F$503,482)),TEXT(INDEX('Aides'!$F$4:$F$503,482),"yyyy-mm-dd"),"")&amp;". ")&amp;IF(LEN(IF(ISNUMBER(INDEX('Aides'!$G$4:$G$503,482)),TEXT(INDEX('Aides'!$G$4:$G$503,482),"yyyy-mm-dd"),""))=0,"","Last paid nursing work: "&amp;IF(ISNUMBER(INDEX('Aides'!$G$4:$G$503,482)),TEXT(INDEX('Aides'!$G$4:$G$503,482),"yyyy-mm-dd"),"")&amp;". ")&amp;IF(LEN(IF(ISNUMBER(INDEX('Aides'!$H$4:$H$503,482)),TEXT(INDEX('Aides'!$H$4:$H$503,482),"yyyy-mm-dd"),""))=0,"","24-month cut-off: "&amp;IF(ISNUMBER(INDEX('Aides'!$H$4:$H$503,482)),TEXT(INDEX('Aides'!$H$4:$H$503,482),"yyyy-mm-dd"),"")&amp;". ")&amp;IF(LEN(IF(LEN(INDEX('Aides'!$U$4:$U$503,482))=0,"",INDEX('Aides'!$U$4:$U$503,482)))=0,"","Owner: "&amp;IF(LEN(INDEX('Aides'!$U$4:$U$503,482))=0,"",INDEX('Aides'!$U$4:$U$503,482))&amp;". ")&amp;IF(LEN(IF(LEN(INDEX('Aides'!$X$4:$X$503,482))=0,"",INDEX('Aides'!$X$4:$X$503,482)))=0,"",IF(LEN(INDEX('Aides'!$X$4:$X$503,482))=0,"",INDEX('Aides'!$X$4:$X$503,482))))</f>
        <v/>
      </c>
      <c r="I485">
        <f>IF(LEN(INDEX('Aides'!$W$4:$W$503,482))=0,"",INDEX('Aides'!$W$4:$W$503,482))</f>
        <v/>
      </c>
      <c r="J485">
        <f>IF(LEN(INDEX('Aides'!$V$4:$V$503,482))=0,"",INDEX('Aides'!$V$4:$V$503,482))</f>
        <v/>
      </c>
    </row>
    <row r="486">
      <c r="A486">
        <f>IF(AND(LEN('Aides'!A486)&gt;0,ISNUMBER('Aides'!I486)),1,0)</f>
        <v/>
      </c>
      <c r="B486">
        <f>B485+A486</f>
        <v/>
      </c>
      <c r="C486">
        <f>IF(483&gt;$B$1503,"",MATCH(483-0.5,$B$3:$B$1503,1))</f>
        <v/>
      </c>
      <c r="D486">
        <f>"CNA certification ("&amp;IF(LEN(INDEX('Aides'!$C$4:$C$503,483))=0,"",INDEX('Aides'!$C$4:$C$503,483))&amp;") – "&amp;IF(LEN(INDEX('Aides'!$A$4:$A$503,483))=0,"",INDEX('Aides'!$A$4:$A$503,483))</f>
        <v/>
      </c>
      <c r="E486">
        <f>IF(ISNUMBER(INDEX('Aides'!$I$4:$I$503,483)),TEXT(INDEX('Aides'!$I$4:$I$503,483),"yyyy-mm-dd"),"")</f>
        <v/>
      </c>
      <c r="F486">
        <f>"Certification"</f>
        <v/>
      </c>
      <c r="G486">
        <f>"High"</f>
        <v/>
      </c>
      <c r="H486">
        <f>TRIM(IF(LEN(IF(LEN(INDEX('Aides'!$D$4:$D$503,483))=0,"",INDEX('Aides'!$D$4:$D$503,483)))=0,"","Registry no.: "&amp;IF(LEN(INDEX('Aides'!$D$4:$D$503,483))=0,"",INDEX('Aides'!$D$4:$D$503,483))&amp;". ")&amp;IF(LEN(IF(ISNUMBER(INDEX('Aides'!$F$4:$F$503,483)),TEXT(INDEX('Aides'!$F$4:$F$503,483),"yyyy-mm-dd"),""))=0,"","Registry expiry: "&amp;IF(ISNUMBER(INDEX('Aides'!$F$4:$F$503,483)),TEXT(INDEX('Aides'!$F$4:$F$503,483),"yyyy-mm-dd"),"")&amp;". ")&amp;IF(LEN(IF(ISNUMBER(INDEX('Aides'!$G$4:$G$503,483)),TEXT(INDEX('Aides'!$G$4:$G$503,483),"yyyy-mm-dd"),""))=0,"","Last paid nursing work: "&amp;IF(ISNUMBER(INDEX('Aides'!$G$4:$G$503,483)),TEXT(INDEX('Aides'!$G$4:$G$503,483),"yyyy-mm-dd"),"")&amp;". ")&amp;IF(LEN(IF(ISNUMBER(INDEX('Aides'!$H$4:$H$503,483)),TEXT(INDEX('Aides'!$H$4:$H$503,483),"yyyy-mm-dd"),""))=0,"","24-month cut-off: "&amp;IF(ISNUMBER(INDEX('Aides'!$H$4:$H$503,483)),TEXT(INDEX('Aides'!$H$4:$H$503,483),"yyyy-mm-dd"),"")&amp;". ")&amp;IF(LEN(IF(LEN(INDEX('Aides'!$U$4:$U$503,483))=0,"",INDEX('Aides'!$U$4:$U$503,483)))=0,"","Owner: "&amp;IF(LEN(INDEX('Aides'!$U$4:$U$503,483))=0,"",INDEX('Aides'!$U$4:$U$503,483))&amp;". ")&amp;IF(LEN(IF(LEN(INDEX('Aides'!$X$4:$X$503,483))=0,"",INDEX('Aides'!$X$4:$X$503,483)))=0,"",IF(LEN(INDEX('Aides'!$X$4:$X$503,483))=0,"",INDEX('Aides'!$X$4:$X$503,483))))</f>
        <v/>
      </c>
      <c r="I486">
        <f>IF(LEN(INDEX('Aides'!$W$4:$W$503,483))=0,"",INDEX('Aides'!$W$4:$W$503,483))</f>
        <v/>
      </c>
      <c r="J486">
        <f>IF(LEN(INDEX('Aides'!$V$4:$V$503,483))=0,"",INDEX('Aides'!$V$4:$V$503,483))</f>
        <v/>
      </c>
    </row>
    <row r="487">
      <c r="A487">
        <f>IF(AND(LEN('Aides'!A487)&gt;0,ISNUMBER('Aides'!I487)),1,0)</f>
        <v/>
      </c>
      <c r="B487">
        <f>B486+A487</f>
        <v/>
      </c>
      <c r="C487">
        <f>IF(484&gt;$B$1503,"",MATCH(484-0.5,$B$3:$B$1503,1))</f>
        <v/>
      </c>
      <c r="D487">
        <f>"CNA certification ("&amp;IF(LEN(INDEX('Aides'!$C$4:$C$503,484))=0,"",INDEX('Aides'!$C$4:$C$503,484))&amp;") – "&amp;IF(LEN(INDEX('Aides'!$A$4:$A$503,484))=0,"",INDEX('Aides'!$A$4:$A$503,484))</f>
        <v/>
      </c>
      <c r="E487">
        <f>IF(ISNUMBER(INDEX('Aides'!$I$4:$I$503,484)),TEXT(INDEX('Aides'!$I$4:$I$503,484),"yyyy-mm-dd"),"")</f>
        <v/>
      </c>
      <c r="F487">
        <f>"Certification"</f>
        <v/>
      </c>
      <c r="G487">
        <f>"High"</f>
        <v/>
      </c>
      <c r="H487">
        <f>TRIM(IF(LEN(IF(LEN(INDEX('Aides'!$D$4:$D$503,484))=0,"",INDEX('Aides'!$D$4:$D$503,484)))=0,"","Registry no.: "&amp;IF(LEN(INDEX('Aides'!$D$4:$D$503,484))=0,"",INDEX('Aides'!$D$4:$D$503,484))&amp;". ")&amp;IF(LEN(IF(ISNUMBER(INDEX('Aides'!$F$4:$F$503,484)),TEXT(INDEX('Aides'!$F$4:$F$503,484),"yyyy-mm-dd"),""))=0,"","Registry expiry: "&amp;IF(ISNUMBER(INDEX('Aides'!$F$4:$F$503,484)),TEXT(INDEX('Aides'!$F$4:$F$503,484),"yyyy-mm-dd"),"")&amp;". ")&amp;IF(LEN(IF(ISNUMBER(INDEX('Aides'!$G$4:$G$503,484)),TEXT(INDEX('Aides'!$G$4:$G$503,484),"yyyy-mm-dd"),""))=0,"","Last paid nursing work: "&amp;IF(ISNUMBER(INDEX('Aides'!$G$4:$G$503,484)),TEXT(INDEX('Aides'!$G$4:$G$503,484),"yyyy-mm-dd"),"")&amp;". ")&amp;IF(LEN(IF(ISNUMBER(INDEX('Aides'!$H$4:$H$503,484)),TEXT(INDEX('Aides'!$H$4:$H$503,484),"yyyy-mm-dd"),""))=0,"","24-month cut-off: "&amp;IF(ISNUMBER(INDEX('Aides'!$H$4:$H$503,484)),TEXT(INDEX('Aides'!$H$4:$H$503,484),"yyyy-mm-dd"),"")&amp;". ")&amp;IF(LEN(IF(LEN(INDEX('Aides'!$U$4:$U$503,484))=0,"",INDEX('Aides'!$U$4:$U$503,484)))=0,"","Owner: "&amp;IF(LEN(INDEX('Aides'!$U$4:$U$503,484))=0,"",INDEX('Aides'!$U$4:$U$503,484))&amp;". ")&amp;IF(LEN(IF(LEN(INDEX('Aides'!$X$4:$X$503,484))=0,"",INDEX('Aides'!$X$4:$X$503,484)))=0,"",IF(LEN(INDEX('Aides'!$X$4:$X$503,484))=0,"",INDEX('Aides'!$X$4:$X$503,484))))</f>
        <v/>
      </c>
      <c r="I487">
        <f>IF(LEN(INDEX('Aides'!$W$4:$W$503,484))=0,"",INDEX('Aides'!$W$4:$W$503,484))</f>
        <v/>
      </c>
      <c r="J487">
        <f>IF(LEN(INDEX('Aides'!$V$4:$V$503,484))=0,"",INDEX('Aides'!$V$4:$V$503,484))</f>
        <v/>
      </c>
    </row>
    <row r="488">
      <c r="A488">
        <f>IF(AND(LEN('Aides'!A488)&gt;0,ISNUMBER('Aides'!I488)),1,0)</f>
        <v/>
      </c>
      <c r="B488">
        <f>B487+A488</f>
        <v/>
      </c>
      <c r="C488">
        <f>IF(485&gt;$B$1503,"",MATCH(485-0.5,$B$3:$B$1503,1))</f>
        <v/>
      </c>
      <c r="D488">
        <f>"CNA certification ("&amp;IF(LEN(INDEX('Aides'!$C$4:$C$503,485))=0,"",INDEX('Aides'!$C$4:$C$503,485))&amp;") – "&amp;IF(LEN(INDEX('Aides'!$A$4:$A$503,485))=0,"",INDEX('Aides'!$A$4:$A$503,485))</f>
        <v/>
      </c>
      <c r="E488">
        <f>IF(ISNUMBER(INDEX('Aides'!$I$4:$I$503,485)),TEXT(INDEX('Aides'!$I$4:$I$503,485),"yyyy-mm-dd"),"")</f>
        <v/>
      </c>
      <c r="F488">
        <f>"Certification"</f>
        <v/>
      </c>
      <c r="G488">
        <f>"High"</f>
        <v/>
      </c>
      <c r="H488">
        <f>TRIM(IF(LEN(IF(LEN(INDEX('Aides'!$D$4:$D$503,485))=0,"",INDEX('Aides'!$D$4:$D$503,485)))=0,"","Registry no.: "&amp;IF(LEN(INDEX('Aides'!$D$4:$D$503,485))=0,"",INDEX('Aides'!$D$4:$D$503,485))&amp;". ")&amp;IF(LEN(IF(ISNUMBER(INDEX('Aides'!$F$4:$F$503,485)),TEXT(INDEX('Aides'!$F$4:$F$503,485),"yyyy-mm-dd"),""))=0,"","Registry expiry: "&amp;IF(ISNUMBER(INDEX('Aides'!$F$4:$F$503,485)),TEXT(INDEX('Aides'!$F$4:$F$503,485),"yyyy-mm-dd"),"")&amp;". ")&amp;IF(LEN(IF(ISNUMBER(INDEX('Aides'!$G$4:$G$503,485)),TEXT(INDEX('Aides'!$G$4:$G$503,485),"yyyy-mm-dd"),""))=0,"","Last paid nursing work: "&amp;IF(ISNUMBER(INDEX('Aides'!$G$4:$G$503,485)),TEXT(INDEX('Aides'!$G$4:$G$503,485),"yyyy-mm-dd"),"")&amp;". ")&amp;IF(LEN(IF(ISNUMBER(INDEX('Aides'!$H$4:$H$503,485)),TEXT(INDEX('Aides'!$H$4:$H$503,485),"yyyy-mm-dd"),""))=0,"","24-month cut-off: "&amp;IF(ISNUMBER(INDEX('Aides'!$H$4:$H$503,485)),TEXT(INDEX('Aides'!$H$4:$H$503,485),"yyyy-mm-dd"),"")&amp;". ")&amp;IF(LEN(IF(LEN(INDEX('Aides'!$U$4:$U$503,485))=0,"",INDEX('Aides'!$U$4:$U$503,485)))=0,"","Owner: "&amp;IF(LEN(INDEX('Aides'!$U$4:$U$503,485))=0,"",INDEX('Aides'!$U$4:$U$503,485))&amp;". ")&amp;IF(LEN(IF(LEN(INDEX('Aides'!$X$4:$X$503,485))=0,"",INDEX('Aides'!$X$4:$X$503,485)))=0,"",IF(LEN(INDEX('Aides'!$X$4:$X$503,485))=0,"",INDEX('Aides'!$X$4:$X$503,485))))</f>
        <v/>
      </c>
      <c r="I488">
        <f>IF(LEN(INDEX('Aides'!$W$4:$W$503,485))=0,"",INDEX('Aides'!$W$4:$W$503,485))</f>
        <v/>
      </c>
      <c r="J488">
        <f>IF(LEN(INDEX('Aides'!$V$4:$V$503,485))=0,"",INDEX('Aides'!$V$4:$V$503,485))</f>
        <v/>
      </c>
    </row>
    <row r="489">
      <c r="A489">
        <f>IF(AND(LEN('Aides'!A489)&gt;0,ISNUMBER('Aides'!I489)),1,0)</f>
        <v/>
      </c>
      <c r="B489">
        <f>B488+A489</f>
        <v/>
      </c>
      <c r="C489">
        <f>IF(486&gt;$B$1503,"",MATCH(486-0.5,$B$3:$B$1503,1))</f>
        <v/>
      </c>
      <c r="D489">
        <f>"CNA certification ("&amp;IF(LEN(INDEX('Aides'!$C$4:$C$503,486))=0,"",INDEX('Aides'!$C$4:$C$503,486))&amp;") – "&amp;IF(LEN(INDEX('Aides'!$A$4:$A$503,486))=0,"",INDEX('Aides'!$A$4:$A$503,486))</f>
        <v/>
      </c>
      <c r="E489">
        <f>IF(ISNUMBER(INDEX('Aides'!$I$4:$I$503,486)),TEXT(INDEX('Aides'!$I$4:$I$503,486),"yyyy-mm-dd"),"")</f>
        <v/>
      </c>
      <c r="F489">
        <f>"Certification"</f>
        <v/>
      </c>
      <c r="G489">
        <f>"High"</f>
        <v/>
      </c>
      <c r="H489">
        <f>TRIM(IF(LEN(IF(LEN(INDEX('Aides'!$D$4:$D$503,486))=0,"",INDEX('Aides'!$D$4:$D$503,486)))=0,"","Registry no.: "&amp;IF(LEN(INDEX('Aides'!$D$4:$D$503,486))=0,"",INDEX('Aides'!$D$4:$D$503,486))&amp;". ")&amp;IF(LEN(IF(ISNUMBER(INDEX('Aides'!$F$4:$F$503,486)),TEXT(INDEX('Aides'!$F$4:$F$503,486),"yyyy-mm-dd"),""))=0,"","Registry expiry: "&amp;IF(ISNUMBER(INDEX('Aides'!$F$4:$F$503,486)),TEXT(INDEX('Aides'!$F$4:$F$503,486),"yyyy-mm-dd"),"")&amp;". ")&amp;IF(LEN(IF(ISNUMBER(INDEX('Aides'!$G$4:$G$503,486)),TEXT(INDEX('Aides'!$G$4:$G$503,486),"yyyy-mm-dd"),""))=0,"","Last paid nursing work: "&amp;IF(ISNUMBER(INDEX('Aides'!$G$4:$G$503,486)),TEXT(INDEX('Aides'!$G$4:$G$503,486),"yyyy-mm-dd"),"")&amp;". ")&amp;IF(LEN(IF(ISNUMBER(INDEX('Aides'!$H$4:$H$503,486)),TEXT(INDEX('Aides'!$H$4:$H$503,486),"yyyy-mm-dd"),""))=0,"","24-month cut-off: "&amp;IF(ISNUMBER(INDEX('Aides'!$H$4:$H$503,486)),TEXT(INDEX('Aides'!$H$4:$H$503,486),"yyyy-mm-dd"),"")&amp;". ")&amp;IF(LEN(IF(LEN(INDEX('Aides'!$U$4:$U$503,486))=0,"",INDEX('Aides'!$U$4:$U$503,486)))=0,"","Owner: "&amp;IF(LEN(INDEX('Aides'!$U$4:$U$503,486))=0,"",INDEX('Aides'!$U$4:$U$503,486))&amp;". ")&amp;IF(LEN(IF(LEN(INDEX('Aides'!$X$4:$X$503,486))=0,"",INDEX('Aides'!$X$4:$X$503,486)))=0,"",IF(LEN(INDEX('Aides'!$X$4:$X$503,486))=0,"",INDEX('Aides'!$X$4:$X$503,486))))</f>
        <v/>
      </c>
      <c r="I489">
        <f>IF(LEN(INDEX('Aides'!$W$4:$W$503,486))=0,"",INDEX('Aides'!$W$4:$W$503,486))</f>
        <v/>
      </c>
      <c r="J489">
        <f>IF(LEN(INDEX('Aides'!$V$4:$V$503,486))=0,"",INDEX('Aides'!$V$4:$V$503,486))</f>
        <v/>
      </c>
    </row>
    <row r="490">
      <c r="A490">
        <f>IF(AND(LEN('Aides'!A490)&gt;0,ISNUMBER('Aides'!I490)),1,0)</f>
        <v/>
      </c>
      <c r="B490">
        <f>B489+A490</f>
        <v/>
      </c>
      <c r="C490">
        <f>IF(487&gt;$B$1503,"",MATCH(487-0.5,$B$3:$B$1503,1))</f>
        <v/>
      </c>
      <c r="D490">
        <f>"CNA certification ("&amp;IF(LEN(INDEX('Aides'!$C$4:$C$503,487))=0,"",INDEX('Aides'!$C$4:$C$503,487))&amp;") – "&amp;IF(LEN(INDEX('Aides'!$A$4:$A$503,487))=0,"",INDEX('Aides'!$A$4:$A$503,487))</f>
        <v/>
      </c>
      <c r="E490">
        <f>IF(ISNUMBER(INDEX('Aides'!$I$4:$I$503,487)),TEXT(INDEX('Aides'!$I$4:$I$503,487),"yyyy-mm-dd"),"")</f>
        <v/>
      </c>
      <c r="F490">
        <f>"Certification"</f>
        <v/>
      </c>
      <c r="G490">
        <f>"High"</f>
        <v/>
      </c>
      <c r="H490">
        <f>TRIM(IF(LEN(IF(LEN(INDEX('Aides'!$D$4:$D$503,487))=0,"",INDEX('Aides'!$D$4:$D$503,487)))=0,"","Registry no.: "&amp;IF(LEN(INDEX('Aides'!$D$4:$D$503,487))=0,"",INDEX('Aides'!$D$4:$D$503,487))&amp;". ")&amp;IF(LEN(IF(ISNUMBER(INDEX('Aides'!$F$4:$F$503,487)),TEXT(INDEX('Aides'!$F$4:$F$503,487),"yyyy-mm-dd"),""))=0,"","Registry expiry: "&amp;IF(ISNUMBER(INDEX('Aides'!$F$4:$F$503,487)),TEXT(INDEX('Aides'!$F$4:$F$503,487),"yyyy-mm-dd"),"")&amp;". ")&amp;IF(LEN(IF(ISNUMBER(INDEX('Aides'!$G$4:$G$503,487)),TEXT(INDEX('Aides'!$G$4:$G$503,487),"yyyy-mm-dd"),""))=0,"","Last paid nursing work: "&amp;IF(ISNUMBER(INDEX('Aides'!$G$4:$G$503,487)),TEXT(INDEX('Aides'!$G$4:$G$503,487),"yyyy-mm-dd"),"")&amp;". ")&amp;IF(LEN(IF(ISNUMBER(INDEX('Aides'!$H$4:$H$503,487)),TEXT(INDEX('Aides'!$H$4:$H$503,487),"yyyy-mm-dd"),""))=0,"","24-month cut-off: "&amp;IF(ISNUMBER(INDEX('Aides'!$H$4:$H$503,487)),TEXT(INDEX('Aides'!$H$4:$H$503,487),"yyyy-mm-dd"),"")&amp;". ")&amp;IF(LEN(IF(LEN(INDEX('Aides'!$U$4:$U$503,487))=0,"",INDEX('Aides'!$U$4:$U$503,487)))=0,"","Owner: "&amp;IF(LEN(INDEX('Aides'!$U$4:$U$503,487))=0,"",INDEX('Aides'!$U$4:$U$503,487))&amp;". ")&amp;IF(LEN(IF(LEN(INDEX('Aides'!$X$4:$X$503,487))=0,"",INDEX('Aides'!$X$4:$X$503,487)))=0,"",IF(LEN(INDEX('Aides'!$X$4:$X$503,487))=0,"",INDEX('Aides'!$X$4:$X$503,487))))</f>
        <v/>
      </c>
      <c r="I490">
        <f>IF(LEN(INDEX('Aides'!$W$4:$W$503,487))=0,"",INDEX('Aides'!$W$4:$W$503,487))</f>
        <v/>
      </c>
      <c r="J490">
        <f>IF(LEN(INDEX('Aides'!$V$4:$V$503,487))=0,"",INDEX('Aides'!$V$4:$V$503,487))</f>
        <v/>
      </c>
    </row>
    <row r="491">
      <c r="A491">
        <f>IF(AND(LEN('Aides'!A491)&gt;0,ISNUMBER('Aides'!I491)),1,0)</f>
        <v/>
      </c>
      <c r="B491">
        <f>B490+A491</f>
        <v/>
      </c>
      <c r="C491">
        <f>IF(488&gt;$B$1503,"",MATCH(488-0.5,$B$3:$B$1503,1))</f>
        <v/>
      </c>
      <c r="D491">
        <f>"CNA certification ("&amp;IF(LEN(INDEX('Aides'!$C$4:$C$503,488))=0,"",INDEX('Aides'!$C$4:$C$503,488))&amp;") – "&amp;IF(LEN(INDEX('Aides'!$A$4:$A$503,488))=0,"",INDEX('Aides'!$A$4:$A$503,488))</f>
        <v/>
      </c>
      <c r="E491">
        <f>IF(ISNUMBER(INDEX('Aides'!$I$4:$I$503,488)),TEXT(INDEX('Aides'!$I$4:$I$503,488),"yyyy-mm-dd"),"")</f>
        <v/>
      </c>
      <c r="F491">
        <f>"Certification"</f>
        <v/>
      </c>
      <c r="G491">
        <f>"High"</f>
        <v/>
      </c>
      <c r="H491">
        <f>TRIM(IF(LEN(IF(LEN(INDEX('Aides'!$D$4:$D$503,488))=0,"",INDEX('Aides'!$D$4:$D$503,488)))=0,"","Registry no.: "&amp;IF(LEN(INDEX('Aides'!$D$4:$D$503,488))=0,"",INDEX('Aides'!$D$4:$D$503,488))&amp;". ")&amp;IF(LEN(IF(ISNUMBER(INDEX('Aides'!$F$4:$F$503,488)),TEXT(INDEX('Aides'!$F$4:$F$503,488),"yyyy-mm-dd"),""))=0,"","Registry expiry: "&amp;IF(ISNUMBER(INDEX('Aides'!$F$4:$F$503,488)),TEXT(INDEX('Aides'!$F$4:$F$503,488),"yyyy-mm-dd"),"")&amp;". ")&amp;IF(LEN(IF(ISNUMBER(INDEX('Aides'!$G$4:$G$503,488)),TEXT(INDEX('Aides'!$G$4:$G$503,488),"yyyy-mm-dd"),""))=0,"","Last paid nursing work: "&amp;IF(ISNUMBER(INDEX('Aides'!$G$4:$G$503,488)),TEXT(INDEX('Aides'!$G$4:$G$503,488),"yyyy-mm-dd"),"")&amp;". ")&amp;IF(LEN(IF(ISNUMBER(INDEX('Aides'!$H$4:$H$503,488)),TEXT(INDEX('Aides'!$H$4:$H$503,488),"yyyy-mm-dd"),""))=0,"","24-month cut-off: "&amp;IF(ISNUMBER(INDEX('Aides'!$H$4:$H$503,488)),TEXT(INDEX('Aides'!$H$4:$H$503,488),"yyyy-mm-dd"),"")&amp;". ")&amp;IF(LEN(IF(LEN(INDEX('Aides'!$U$4:$U$503,488))=0,"",INDEX('Aides'!$U$4:$U$503,488)))=0,"","Owner: "&amp;IF(LEN(INDEX('Aides'!$U$4:$U$503,488))=0,"",INDEX('Aides'!$U$4:$U$503,488))&amp;". ")&amp;IF(LEN(IF(LEN(INDEX('Aides'!$X$4:$X$503,488))=0,"",INDEX('Aides'!$X$4:$X$503,488)))=0,"",IF(LEN(INDEX('Aides'!$X$4:$X$503,488))=0,"",INDEX('Aides'!$X$4:$X$503,488))))</f>
        <v/>
      </c>
      <c r="I491">
        <f>IF(LEN(INDEX('Aides'!$W$4:$W$503,488))=0,"",INDEX('Aides'!$W$4:$W$503,488))</f>
        <v/>
      </c>
      <c r="J491">
        <f>IF(LEN(INDEX('Aides'!$V$4:$V$503,488))=0,"",INDEX('Aides'!$V$4:$V$503,488))</f>
        <v/>
      </c>
    </row>
    <row r="492">
      <c r="A492">
        <f>IF(AND(LEN('Aides'!A492)&gt;0,ISNUMBER('Aides'!I492)),1,0)</f>
        <v/>
      </c>
      <c r="B492">
        <f>B491+A492</f>
        <v/>
      </c>
      <c r="C492">
        <f>IF(489&gt;$B$1503,"",MATCH(489-0.5,$B$3:$B$1503,1))</f>
        <v/>
      </c>
      <c r="D492">
        <f>"CNA certification ("&amp;IF(LEN(INDEX('Aides'!$C$4:$C$503,489))=0,"",INDEX('Aides'!$C$4:$C$503,489))&amp;") – "&amp;IF(LEN(INDEX('Aides'!$A$4:$A$503,489))=0,"",INDEX('Aides'!$A$4:$A$503,489))</f>
        <v/>
      </c>
      <c r="E492">
        <f>IF(ISNUMBER(INDEX('Aides'!$I$4:$I$503,489)),TEXT(INDEX('Aides'!$I$4:$I$503,489),"yyyy-mm-dd"),"")</f>
        <v/>
      </c>
      <c r="F492">
        <f>"Certification"</f>
        <v/>
      </c>
      <c r="G492">
        <f>"High"</f>
        <v/>
      </c>
      <c r="H492">
        <f>TRIM(IF(LEN(IF(LEN(INDEX('Aides'!$D$4:$D$503,489))=0,"",INDEX('Aides'!$D$4:$D$503,489)))=0,"","Registry no.: "&amp;IF(LEN(INDEX('Aides'!$D$4:$D$503,489))=0,"",INDEX('Aides'!$D$4:$D$503,489))&amp;". ")&amp;IF(LEN(IF(ISNUMBER(INDEX('Aides'!$F$4:$F$503,489)),TEXT(INDEX('Aides'!$F$4:$F$503,489),"yyyy-mm-dd"),""))=0,"","Registry expiry: "&amp;IF(ISNUMBER(INDEX('Aides'!$F$4:$F$503,489)),TEXT(INDEX('Aides'!$F$4:$F$503,489),"yyyy-mm-dd"),"")&amp;". ")&amp;IF(LEN(IF(ISNUMBER(INDEX('Aides'!$G$4:$G$503,489)),TEXT(INDEX('Aides'!$G$4:$G$503,489),"yyyy-mm-dd"),""))=0,"","Last paid nursing work: "&amp;IF(ISNUMBER(INDEX('Aides'!$G$4:$G$503,489)),TEXT(INDEX('Aides'!$G$4:$G$503,489),"yyyy-mm-dd"),"")&amp;". ")&amp;IF(LEN(IF(ISNUMBER(INDEX('Aides'!$H$4:$H$503,489)),TEXT(INDEX('Aides'!$H$4:$H$503,489),"yyyy-mm-dd"),""))=0,"","24-month cut-off: "&amp;IF(ISNUMBER(INDEX('Aides'!$H$4:$H$503,489)),TEXT(INDEX('Aides'!$H$4:$H$503,489),"yyyy-mm-dd"),"")&amp;". ")&amp;IF(LEN(IF(LEN(INDEX('Aides'!$U$4:$U$503,489))=0,"",INDEX('Aides'!$U$4:$U$503,489)))=0,"","Owner: "&amp;IF(LEN(INDEX('Aides'!$U$4:$U$503,489))=0,"",INDEX('Aides'!$U$4:$U$503,489))&amp;". ")&amp;IF(LEN(IF(LEN(INDEX('Aides'!$X$4:$X$503,489))=0,"",INDEX('Aides'!$X$4:$X$503,489)))=0,"",IF(LEN(INDEX('Aides'!$X$4:$X$503,489))=0,"",INDEX('Aides'!$X$4:$X$503,489))))</f>
        <v/>
      </c>
      <c r="I492">
        <f>IF(LEN(INDEX('Aides'!$W$4:$W$503,489))=0,"",INDEX('Aides'!$W$4:$W$503,489))</f>
        <v/>
      </c>
      <c r="J492">
        <f>IF(LEN(INDEX('Aides'!$V$4:$V$503,489))=0,"",INDEX('Aides'!$V$4:$V$503,489))</f>
        <v/>
      </c>
    </row>
    <row r="493">
      <c r="A493">
        <f>IF(AND(LEN('Aides'!A493)&gt;0,ISNUMBER('Aides'!I493)),1,0)</f>
        <v/>
      </c>
      <c r="B493">
        <f>B492+A493</f>
        <v/>
      </c>
      <c r="C493">
        <f>IF(490&gt;$B$1503,"",MATCH(490-0.5,$B$3:$B$1503,1))</f>
        <v/>
      </c>
      <c r="D493">
        <f>"CNA certification ("&amp;IF(LEN(INDEX('Aides'!$C$4:$C$503,490))=0,"",INDEX('Aides'!$C$4:$C$503,490))&amp;") – "&amp;IF(LEN(INDEX('Aides'!$A$4:$A$503,490))=0,"",INDEX('Aides'!$A$4:$A$503,490))</f>
        <v/>
      </c>
      <c r="E493">
        <f>IF(ISNUMBER(INDEX('Aides'!$I$4:$I$503,490)),TEXT(INDEX('Aides'!$I$4:$I$503,490),"yyyy-mm-dd"),"")</f>
        <v/>
      </c>
      <c r="F493">
        <f>"Certification"</f>
        <v/>
      </c>
      <c r="G493">
        <f>"High"</f>
        <v/>
      </c>
      <c r="H493">
        <f>TRIM(IF(LEN(IF(LEN(INDEX('Aides'!$D$4:$D$503,490))=0,"",INDEX('Aides'!$D$4:$D$503,490)))=0,"","Registry no.: "&amp;IF(LEN(INDEX('Aides'!$D$4:$D$503,490))=0,"",INDEX('Aides'!$D$4:$D$503,490))&amp;". ")&amp;IF(LEN(IF(ISNUMBER(INDEX('Aides'!$F$4:$F$503,490)),TEXT(INDEX('Aides'!$F$4:$F$503,490),"yyyy-mm-dd"),""))=0,"","Registry expiry: "&amp;IF(ISNUMBER(INDEX('Aides'!$F$4:$F$503,490)),TEXT(INDEX('Aides'!$F$4:$F$503,490),"yyyy-mm-dd"),"")&amp;". ")&amp;IF(LEN(IF(ISNUMBER(INDEX('Aides'!$G$4:$G$503,490)),TEXT(INDEX('Aides'!$G$4:$G$503,490),"yyyy-mm-dd"),""))=0,"","Last paid nursing work: "&amp;IF(ISNUMBER(INDEX('Aides'!$G$4:$G$503,490)),TEXT(INDEX('Aides'!$G$4:$G$503,490),"yyyy-mm-dd"),"")&amp;". ")&amp;IF(LEN(IF(ISNUMBER(INDEX('Aides'!$H$4:$H$503,490)),TEXT(INDEX('Aides'!$H$4:$H$503,490),"yyyy-mm-dd"),""))=0,"","24-month cut-off: "&amp;IF(ISNUMBER(INDEX('Aides'!$H$4:$H$503,490)),TEXT(INDEX('Aides'!$H$4:$H$503,490),"yyyy-mm-dd"),"")&amp;". ")&amp;IF(LEN(IF(LEN(INDEX('Aides'!$U$4:$U$503,490))=0,"",INDEX('Aides'!$U$4:$U$503,490)))=0,"","Owner: "&amp;IF(LEN(INDEX('Aides'!$U$4:$U$503,490))=0,"",INDEX('Aides'!$U$4:$U$503,490))&amp;". ")&amp;IF(LEN(IF(LEN(INDEX('Aides'!$X$4:$X$503,490))=0,"",INDEX('Aides'!$X$4:$X$503,490)))=0,"",IF(LEN(INDEX('Aides'!$X$4:$X$503,490))=0,"",INDEX('Aides'!$X$4:$X$503,490))))</f>
        <v/>
      </c>
      <c r="I493">
        <f>IF(LEN(INDEX('Aides'!$W$4:$W$503,490))=0,"",INDEX('Aides'!$W$4:$W$503,490))</f>
        <v/>
      </c>
      <c r="J493">
        <f>IF(LEN(INDEX('Aides'!$V$4:$V$503,490))=0,"",INDEX('Aides'!$V$4:$V$503,490))</f>
        <v/>
      </c>
    </row>
    <row r="494">
      <c r="A494">
        <f>IF(AND(LEN('Aides'!A494)&gt;0,ISNUMBER('Aides'!I494)),1,0)</f>
        <v/>
      </c>
      <c r="B494">
        <f>B493+A494</f>
        <v/>
      </c>
      <c r="C494">
        <f>IF(491&gt;$B$1503,"",MATCH(491-0.5,$B$3:$B$1503,1))</f>
        <v/>
      </c>
      <c r="D494">
        <f>"CNA certification ("&amp;IF(LEN(INDEX('Aides'!$C$4:$C$503,491))=0,"",INDEX('Aides'!$C$4:$C$503,491))&amp;") – "&amp;IF(LEN(INDEX('Aides'!$A$4:$A$503,491))=0,"",INDEX('Aides'!$A$4:$A$503,491))</f>
        <v/>
      </c>
      <c r="E494">
        <f>IF(ISNUMBER(INDEX('Aides'!$I$4:$I$503,491)),TEXT(INDEX('Aides'!$I$4:$I$503,491),"yyyy-mm-dd"),"")</f>
        <v/>
      </c>
      <c r="F494">
        <f>"Certification"</f>
        <v/>
      </c>
      <c r="G494">
        <f>"High"</f>
        <v/>
      </c>
      <c r="H494">
        <f>TRIM(IF(LEN(IF(LEN(INDEX('Aides'!$D$4:$D$503,491))=0,"",INDEX('Aides'!$D$4:$D$503,491)))=0,"","Registry no.: "&amp;IF(LEN(INDEX('Aides'!$D$4:$D$503,491))=0,"",INDEX('Aides'!$D$4:$D$503,491))&amp;". ")&amp;IF(LEN(IF(ISNUMBER(INDEX('Aides'!$F$4:$F$503,491)),TEXT(INDEX('Aides'!$F$4:$F$503,491),"yyyy-mm-dd"),""))=0,"","Registry expiry: "&amp;IF(ISNUMBER(INDEX('Aides'!$F$4:$F$503,491)),TEXT(INDEX('Aides'!$F$4:$F$503,491),"yyyy-mm-dd"),"")&amp;". ")&amp;IF(LEN(IF(ISNUMBER(INDEX('Aides'!$G$4:$G$503,491)),TEXT(INDEX('Aides'!$G$4:$G$503,491),"yyyy-mm-dd"),""))=0,"","Last paid nursing work: "&amp;IF(ISNUMBER(INDEX('Aides'!$G$4:$G$503,491)),TEXT(INDEX('Aides'!$G$4:$G$503,491),"yyyy-mm-dd"),"")&amp;". ")&amp;IF(LEN(IF(ISNUMBER(INDEX('Aides'!$H$4:$H$503,491)),TEXT(INDEX('Aides'!$H$4:$H$503,491),"yyyy-mm-dd"),""))=0,"","24-month cut-off: "&amp;IF(ISNUMBER(INDEX('Aides'!$H$4:$H$503,491)),TEXT(INDEX('Aides'!$H$4:$H$503,491),"yyyy-mm-dd"),"")&amp;". ")&amp;IF(LEN(IF(LEN(INDEX('Aides'!$U$4:$U$503,491))=0,"",INDEX('Aides'!$U$4:$U$503,491)))=0,"","Owner: "&amp;IF(LEN(INDEX('Aides'!$U$4:$U$503,491))=0,"",INDEX('Aides'!$U$4:$U$503,491))&amp;". ")&amp;IF(LEN(IF(LEN(INDEX('Aides'!$X$4:$X$503,491))=0,"",INDEX('Aides'!$X$4:$X$503,491)))=0,"",IF(LEN(INDEX('Aides'!$X$4:$X$503,491))=0,"",INDEX('Aides'!$X$4:$X$503,491))))</f>
        <v/>
      </c>
      <c r="I494">
        <f>IF(LEN(INDEX('Aides'!$W$4:$W$503,491))=0,"",INDEX('Aides'!$W$4:$W$503,491))</f>
        <v/>
      </c>
      <c r="J494">
        <f>IF(LEN(INDEX('Aides'!$V$4:$V$503,491))=0,"",INDEX('Aides'!$V$4:$V$503,491))</f>
        <v/>
      </c>
    </row>
    <row r="495">
      <c r="A495">
        <f>IF(AND(LEN('Aides'!A495)&gt;0,ISNUMBER('Aides'!I495)),1,0)</f>
        <v/>
      </c>
      <c r="B495">
        <f>B494+A495</f>
        <v/>
      </c>
      <c r="C495">
        <f>IF(492&gt;$B$1503,"",MATCH(492-0.5,$B$3:$B$1503,1))</f>
        <v/>
      </c>
      <c r="D495">
        <f>"CNA certification ("&amp;IF(LEN(INDEX('Aides'!$C$4:$C$503,492))=0,"",INDEX('Aides'!$C$4:$C$503,492))&amp;") – "&amp;IF(LEN(INDEX('Aides'!$A$4:$A$503,492))=0,"",INDEX('Aides'!$A$4:$A$503,492))</f>
        <v/>
      </c>
      <c r="E495">
        <f>IF(ISNUMBER(INDEX('Aides'!$I$4:$I$503,492)),TEXT(INDEX('Aides'!$I$4:$I$503,492),"yyyy-mm-dd"),"")</f>
        <v/>
      </c>
      <c r="F495">
        <f>"Certification"</f>
        <v/>
      </c>
      <c r="G495">
        <f>"High"</f>
        <v/>
      </c>
      <c r="H495">
        <f>TRIM(IF(LEN(IF(LEN(INDEX('Aides'!$D$4:$D$503,492))=0,"",INDEX('Aides'!$D$4:$D$503,492)))=0,"","Registry no.: "&amp;IF(LEN(INDEX('Aides'!$D$4:$D$503,492))=0,"",INDEX('Aides'!$D$4:$D$503,492))&amp;". ")&amp;IF(LEN(IF(ISNUMBER(INDEX('Aides'!$F$4:$F$503,492)),TEXT(INDEX('Aides'!$F$4:$F$503,492),"yyyy-mm-dd"),""))=0,"","Registry expiry: "&amp;IF(ISNUMBER(INDEX('Aides'!$F$4:$F$503,492)),TEXT(INDEX('Aides'!$F$4:$F$503,492),"yyyy-mm-dd"),"")&amp;". ")&amp;IF(LEN(IF(ISNUMBER(INDEX('Aides'!$G$4:$G$503,492)),TEXT(INDEX('Aides'!$G$4:$G$503,492),"yyyy-mm-dd"),""))=0,"","Last paid nursing work: "&amp;IF(ISNUMBER(INDEX('Aides'!$G$4:$G$503,492)),TEXT(INDEX('Aides'!$G$4:$G$503,492),"yyyy-mm-dd"),"")&amp;". ")&amp;IF(LEN(IF(ISNUMBER(INDEX('Aides'!$H$4:$H$503,492)),TEXT(INDEX('Aides'!$H$4:$H$503,492),"yyyy-mm-dd"),""))=0,"","24-month cut-off: "&amp;IF(ISNUMBER(INDEX('Aides'!$H$4:$H$503,492)),TEXT(INDEX('Aides'!$H$4:$H$503,492),"yyyy-mm-dd"),"")&amp;". ")&amp;IF(LEN(IF(LEN(INDEX('Aides'!$U$4:$U$503,492))=0,"",INDEX('Aides'!$U$4:$U$503,492)))=0,"","Owner: "&amp;IF(LEN(INDEX('Aides'!$U$4:$U$503,492))=0,"",INDEX('Aides'!$U$4:$U$503,492))&amp;". ")&amp;IF(LEN(IF(LEN(INDEX('Aides'!$X$4:$X$503,492))=0,"",INDEX('Aides'!$X$4:$X$503,492)))=0,"",IF(LEN(INDEX('Aides'!$X$4:$X$503,492))=0,"",INDEX('Aides'!$X$4:$X$503,492))))</f>
        <v/>
      </c>
      <c r="I495">
        <f>IF(LEN(INDEX('Aides'!$W$4:$W$503,492))=0,"",INDEX('Aides'!$W$4:$W$503,492))</f>
        <v/>
      </c>
      <c r="J495">
        <f>IF(LEN(INDEX('Aides'!$V$4:$V$503,492))=0,"",INDEX('Aides'!$V$4:$V$503,492))</f>
        <v/>
      </c>
    </row>
    <row r="496">
      <c r="A496">
        <f>IF(AND(LEN('Aides'!A496)&gt;0,ISNUMBER('Aides'!I496)),1,0)</f>
        <v/>
      </c>
      <c r="B496">
        <f>B495+A496</f>
        <v/>
      </c>
      <c r="C496">
        <f>IF(493&gt;$B$1503,"",MATCH(493-0.5,$B$3:$B$1503,1))</f>
        <v/>
      </c>
      <c r="D496">
        <f>"CNA certification ("&amp;IF(LEN(INDEX('Aides'!$C$4:$C$503,493))=0,"",INDEX('Aides'!$C$4:$C$503,493))&amp;") – "&amp;IF(LEN(INDEX('Aides'!$A$4:$A$503,493))=0,"",INDEX('Aides'!$A$4:$A$503,493))</f>
        <v/>
      </c>
      <c r="E496">
        <f>IF(ISNUMBER(INDEX('Aides'!$I$4:$I$503,493)),TEXT(INDEX('Aides'!$I$4:$I$503,493),"yyyy-mm-dd"),"")</f>
        <v/>
      </c>
      <c r="F496">
        <f>"Certification"</f>
        <v/>
      </c>
      <c r="G496">
        <f>"High"</f>
        <v/>
      </c>
      <c r="H496">
        <f>TRIM(IF(LEN(IF(LEN(INDEX('Aides'!$D$4:$D$503,493))=0,"",INDEX('Aides'!$D$4:$D$503,493)))=0,"","Registry no.: "&amp;IF(LEN(INDEX('Aides'!$D$4:$D$503,493))=0,"",INDEX('Aides'!$D$4:$D$503,493))&amp;". ")&amp;IF(LEN(IF(ISNUMBER(INDEX('Aides'!$F$4:$F$503,493)),TEXT(INDEX('Aides'!$F$4:$F$503,493),"yyyy-mm-dd"),""))=0,"","Registry expiry: "&amp;IF(ISNUMBER(INDEX('Aides'!$F$4:$F$503,493)),TEXT(INDEX('Aides'!$F$4:$F$503,493),"yyyy-mm-dd"),"")&amp;". ")&amp;IF(LEN(IF(ISNUMBER(INDEX('Aides'!$G$4:$G$503,493)),TEXT(INDEX('Aides'!$G$4:$G$503,493),"yyyy-mm-dd"),""))=0,"","Last paid nursing work: "&amp;IF(ISNUMBER(INDEX('Aides'!$G$4:$G$503,493)),TEXT(INDEX('Aides'!$G$4:$G$503,493),"yyyy-mm-dd"),"")&amp;". ")&amp;IF(LEN(IF(ISNUMBER(INDEX('Aides'!$H$4:$H$503,493)),TEXT(INDEX('Aides'!$H$4:$H$503,493),"yyyy-mm-dd"),""))=0,"","24-month cut-off: "&amp;IF(ISNUMBER(INDEX('Aides'!$H$4:$H$503,493)),TEXT(INDEX('Aides'!$H$4:$H$503,493),"yyyy-mm-dd"),"")&amp;". ")&amp;IF(LEN(IF(LEN(INDEX('Aides'!$U$4:$U$503,493))=0,"",INDEX('Aides'!$U$4:$U$503,493)))=0,"","Owner: "&amp;IF(LEN(INDEX('Aides'!$U$4:$U$503,493))=0,"",INDEX('Aides'!$U$4:$U$503,493))&amp;". ")&amp;IF(LEN(IF(LEN(INDEX('Aides'!$X$4:$X$503,493))=0,"",INDEX('Aides'!$X$4:$X$503,493)))=0,"",IF(LEN(INDEX('Aides'!$X$4:$X$503,493))=0,"",INDEX('Aides'!$X$4:$X$503,493))))</f>
        <v/>
      </c>
      <c r="I496">
        <f>IF(LEN(INDEX('Aides'!$W$4:$W$503,493))=0,"",INDEX('Aides'!$W$4:$W$503,493))</f>
        <v/>
      </c>
      <c r="J496">
        <f>IF(LEN(INDEX('Aides'!$V$4:$V$503,493))=0,"",INDEX('Aides'!$V$4:$V$503,493))</f>
        <v/>
      </c>
    </row>
    <row r="497">
      <c r="A497">
        <f>IF(AND(LEN('Aides'!A497)&gt;0,ISNUMBER('Aides'!I497)),1,0)</f>
        <v/>
      </c>
      <c r="B497">
        <f>B496+A497</f>
        <v/>
      </c>
      <c r="C497">
        <f>IF(494&gt;$B$1503,"",MATCH(494-0.5,$B$3:$B$1503,1))</f>
        <v/>
      </c>
      <c r="D497">
        <f>"CNA certification ("&amp;IF(LEN(INDEX('Aides'!$C$4:$C$503,494))=0,"",INDEX('Aides'!$C$4:$C$503,494))&amp;") – "&amp;IF(LEN(INDEX('Aides'!$A$4:$A$503,494))=0,"",INDEX('Aides'!$A$4:$A$503,494))</f>
        <v/>
      </c>
      <c r="E497">
        <f>IF(ISNUMBER(INDEX('Aides'!$I$4:$I$503,494)),TEXT(INDEX('Aides'!$I$4:$I$503,494),"yyyy-mm-dd"),"")</f>
        <v/>
      </c>
      <c r="F497">
        <f>"Certification"</f>
        <v/>
      </c>
      <c r="G497">
        <f>"High"</f>
        <v/>
      </c>
      <c r="H497">
        <f>TRIM(IF(LEN(IF(LEN(INDEX('Aides'!$D$4:$D$503,494))=0,"",INDEX('Aides'!$D$4:$D$503,494)))=0,"","Registry no.: "&amp;IF(LEN(INDEX('Aides'!$D$4:$D$503,494))=0,"",INDEX('Aides'!$D$4:$D$503,494))&amp;". ")&amp;IF(LEN(IF(ISNUMBER(INDEX('Aides'!$F$4:$F$503,494)),TEXT(INDEX('Aides'!$F$4:$F$503,494),"yyyy-mm-dd"),""))=0,"","Registry expiry: "&amp;IF(ISNUMBER(INDEX('Aides'!$F$4:$F$503,494)),TEXT(INDEX('Aides'!$F$4:$F$503,494),"yyyy-mm-dd"),"")&amp;". ")&amp;IF(LEN(IF(ISNUMBER(INDEX('Aides'!$G$4:$G$503,494)),TEXT(INDEX('Aides'!$G$4:$G$503,494),"yyyy-mm-dd"),""))=0,"","Last paid nursing work: "&amp;IF(ISNUMBER(INDEX('Aides'!$G$4:$G$503,494)),TEXT(INDEX('Aides'!$G$4:$G$503,494),"yyyy-mm-dd"),"")&amp;". ")&amp;IF(LEN(IF(ISNUMBER(INDEX('Aides'!$H$4:$H$503,494)),TEXT(INDEX('Aides'!$H$4:$H$503,494),"yyyy-mm-dd"),""))=0,"","24-month cut-off: "&amp;IF(ISNUMBER(INDEX('Aides'!$H$4:$H$503,494)),TEXT(INDEX('Aides'!$H$4:$H$503,494),"yyyy-mm-dd"),"")&amp;". ")&amp;IF(LEN(IF(LEN(INDEX('Aides'!$U$4:$U$503,494))=0,"",INDEX('Aides'!$U$4:$U$503,494)))=0,"","Owner: "&amp;IF(LEN(INDEX('Aides'!$U$4:$U$503,494))=0,"",INDEX('Aides'!$U$4:$U$503,494))&amp;". ")&amp;IF(LEN(IF(LEN(INDEX('Aides'!$X$4:$X$503,494))=0,"",INDEX('Aides'!$X$4:$X$503,494)))=0,"",IF(LEN(INDEX('Aides'!$X$4:$X$503,494))=0,"",INDEX('Aides'!$X$4:$X$503,494))))</f>
        <v/>
      </c>
      <c r="I497">
        <f>IF(LEN(INDEX('Aides'!$W$4:$W$503,494))=0,"",INDEX('Aides'!$W$4:$W$503,494))</f>
        <v/>
      </c>
      <c r="J497">
        <f>IF(LEN(INDEX('Aides'!$V$4:$V$503,494))=0,"",INDEX('Aides'!$V$4:$V$503,494))</f>
        <v/>
      </c>
    </row>
    <row r="498">
      <c r="A498">
        <f>IF(AND(LEN('Aides'!A498)&gt;0,ISNUMBER('Aides'!I498)),1,0)</f>
        <v/>
      </c>
      <c r="B498">
        <f>B497+A498</f>
        <v/>
      </c>
      <c r="C498">
        <f>IF(495&gt;$B$1503,"",MATCH(495-0.5,$B$3:$B$1503,1))</f>
        <v/>
      </c>
      <c r="D498">
        <f>"CNA certification ("&amp;IF(LEN(INDEX('Aides'!$C$4:$C$503,495))=0,"",INDEX('Aides'!$C$4:$C$503,495))&amp;") – "&amp;IF(LEN(INDEX('Aides'!$A$4:$A$503,495))=0,"",INDEX('Aides'!$A$4:$A$503,495))</f>
        <v/>
      </c>
      <c r="E498">
        <f>IF(ISNUMBER(INDEX('Aides'!$I$4:$I$503,495)),TEXT(INDEX('Aides'!$I$4:$I$503,495),"yyyy-mm-dd"),"")</f>
        <v/>
      </c>
      <c r="F498">
        <f>"Certification"</f>
        <v/>
      </c>
      <c r="G498">
        <f>"High"</f>
        <v/>
      </c>
      <c r="H498">
        <f>TRIM(IF(LEN(IF(LEN(INDEX('Aides'!$D$4:$D$503,495))=0,"",INDEX('Aides'!$D$4:$D$503,495)))=0,"","Registry no.: "&amp;IF(LEN(INDEX('Aides'!$D$4:$D$503,495))=0,"",INDEX('Aides'!$D$4:$D$503,495))&amp;". ")&amp;IF(LEN(IF(ISNUMBER(INDEX('Aides'!$F$4:$F$503,495)),TEXT(INDEX('Aides'!$F$4:$F$503,495),"yyyy-mm-dd"),""))=0,"","Registry expiry: "&amp;IF(ISNUMBER(INDEX('Aides'!$F$4:$F$503,495)),TEXT(INDEX('Aides'!$F$4:$F$503,495),"yyyy-mm-dd"),"")&amp;". ")&amp;IF(LEN(IF(ISNUMBER(INDEX('Aides'!$G$4:$G$503,495)),TEXT(INDEX('Aides'!$G$4:$G$503,495),"yyyy-mm-dd"),""))=0,"","Last paid nursing work: "&amp;IF(ISNUMBER(INDEX('Aides'!$G$4:$G$503,495)),TEXT(INDEX('Aides'!$G$4:$G$503,495),"yyyy-mm-dd"),"")&amp;". ")&amp;IF(LEN(IF(ISNUMBER(INDEX('Aides'!$H$4:$H$503,495)),TEXT(INDEX('Aides'!$H$4:$H$503,495),"yyyy-mm-dd"),""))=0,"","24-month cut-off: "&amp;IF(ISNUMBER(INDEX('Aides'!$H$4:$H$503,495)),TEXT(INDEX('Aides'!$H$4:$H$503,495),"yyyy-mm-dd"),"")&amp;". ")&amp;IF(LEN(IF(LEN(INDEX('Aides'!$U$4:$U$503,495))=0,"",INDEX('Aides'!$U$4:$U$503,495)))=0,"","Owner: "&amp;IF(LEN(INDEX('Aides'!$U$4:$U$503,495))=0,"",INDEX('Aides'!$U$4:$U$503,495))&amp;". ")&amp;IF(LEN(IF(LEN(INDEX('Aides'!$X$4:$X$503,495))=0,"",INDEX('Aides'!$X$4:$X$503,495)))=0,"",IF(LEN(INDEX('Aides'!$X$4:$X$503,495))=0,"",INDEX('Aides'!$X$4:$X$503,495))))</f>
        <v/>
      </c>
      <c r="I498">
        <f>IF(LEN(INDEX('Aides'!$W$4:$W$503,495))=0,"",INDEX('Aides'!$W$4:$W$503,495))</f>
        <v/>
      </c>
      <c r="J498">
        <f>IF(LEN(INDEX('Aides'!$V$4:$V$503,495))=0,"",INDEX('Aides'!$V$4:$V$503,495))</f>
        <v/>
      </c>
    </row>
    <row r="499">
      <c r="A499">
        <f>IF(AND(LEN('Aides'!A499)&gt;0,ISNUMBER('Aides'!I499)),1,0)</f>
        <v/>
      </c>
      <c r="B499">
        <f>B498+A499</f>
        <v/>
      </c>
      <c r="C499">
        <f>IF(496&gt;$B$1503,"",MATCH(496-0.5,$B$3:$B$1503,1))</f>
        <v/>
      </c>
      <c r="D499">
        <f>"CNA certification ("&amp;IF(LEN(INDEX('Aides'!$C$4:$C$503,496))=0,"",INDEX('Aides'!$C$4:$C$503,496))&amp;") – "&amp;IF(LEN(INDEX('Aides'!$A$4:$A$503,496))=0,"",INDEX('Aides'!$A$4:$A$503,496))</f>
        <v/>
      </c>
      <c r="E499">
        <f>IF(ISNUMBER(INDEX('Aides'!$I$4:$I$503,496)),TEXT(INDEX('Aides'!$I$4:$I$503,496),"yyyy-mm-dd"),"")</f>
        <v/>
      </c>
      <c r="F499">
        <f>"Certification"</f>
        <v/>
      </c>
      <c r="G499">
        <f>"High"</f>
        <v/>
      </c>
      <c r="H499">
        <f>TRIM(IF(LEN(IF(LEN(INDEX('Aides'!$D$4:$D$503,496))=0,"",INDEX('Aides'!$D$4:$D$503,496)))=0,"","Registry no.: "&amp;IF(LEN(INDEX('Aides'!$D$4:$D$503,496))=0,"",INDEX('Aides'!$D$4:$D$503,496))&amp;". ")&amp;IF(LEN(IF(ISNUMBER(INDEX('Aides'!$F$4:$F$503,496)),TEXT(INDEX('Aides'!$F$4:$F$503,496),"yyyy-mm-dd"),""))=0,"","Registry expiry: "&amp;IF(ISNUMBER(INDEX('Aides'!$F$4:$F$503,496)),TEXT(INDEX('Aides'!$F$4:$F$503,496),"yyyy-mm-dd"),"")&amp;". ")&amp;IF(LEN(IF(ISNUMBER(INDEX('Aides'!$G$4:$G$503,496)),TEXT(INDEX('Aides'!$G$4:$G$503,496),"yyyy-mm-dd"),""))=0,"","Last paid nursing work: "&amp;IF(ISNUMBER(INDEX('Aides'!$G$4:$G$503,496)),TEXT(INDEX('Aides'!$G$4:$G$503,496),"yyyy-mm-dd"),"")&amp;". ")&amp;IF(LEN(IF(ISNUMBER(INDEX('Aides'!$H$4:$H$503,496)),TEXT(INDEX('Aides'!$H$4:$H$503,496),"yyyy-mm-dd"),""))=0,"","24-month cut-off: "&amp;IF(ISNUMBER(INDEX('Aides'!$H$4:$H$503,496)),TEXT(INDEX('Aides'!$H$4:$H$503,496),"yyyy-mm-dd"),"")&amp;". ")&amp;IF(LEN(IF(LEN(INDEX('Aides'!$U$4:$U$503,496))=0,"",INDEX('Aides'!$U$4:$U$503,496)))=0,"","Owner: "&amp;IF(LEN(INDEX('Aides'!$U$4:$U$503,496))=0,"",INDEX('Aides'!$U$4:$U$503,496))&amp;". ")&amp;IF(LEN(IF(LEN(INDEX('Aides'!$X$4:$X$503,496))=0,"",INDEX('Aides'!$X$4:$X$503,496)))=0,"",IF(LEN(INDEX('Aides'!$X$4:$X$503,496))=0,"",INDEX('Aides'!$X$4:$X$503,496))))</f>
        <v/>
      </c>
      <c r="I499">
        <f>IF(LEN(INDEX('Aides'!$W$4:$W$503,496))=0,"",INDEX('Aides'!$W$4:$W$503,496))</f>
        <v/>
      </c>
      <c r="J499">
        <f>IF(LEN(INDEX('Aides'!$V$4:$V$503,496))=0,"",INDEX('Aides'!$V$4:$V$503,496))</f>
        <v/>
      </c>
    </row>
    <row r="500">
      <c r="A500">
        <f>IF(AND(LEN('Aides'!A500)&gt;0,ISNUMBER('Aides'!I500)),1,0)</f>
        <v/>
      </c>
      <c r="B500">
        <f>B499+A500</f>
        <v/>
      </c>
      <c r="C500">
        <f>IF(497&gt;$B$1503,"",MATCH(497-0.5,$B$3:$B$1503,1))</f>
        <v/>
      </c>
      <c r="D500">
        <f>"CNA certification ("&amp;IF(LEN(INDEX('Aides'!$C$4:$C$503,497))=0,"",INDEX('Aides'!$C$4:$C$503,497))&amp;") – "&amp;IF(LEN(INDEX('Aides'!$A$4:$A$503,497))=0,"",INDEX('Aides'!$A$4:$A$503,497))</f>
        <v/>
      </c>
      <c r="E500">
        <f>IF(ISNUMBER(INDEX('Aides'!$I$4:$I$503,497)),TEXT(INDEX('Aides'!$I$4:$I$503,497),"yyyy-mm-dd"),"")</f>
        <v/>
      </c>
      <c r="F500">
        <f>"Certification"</f>
        <v/>
      </c>
      <c r="G500">
        <f>"High"</f>
        <v/>
      </c>
      <c r="H500">
        <f>TRIM(IF(LEN(IF(LEN(INDEX('Aides'!$D$4:$D$503,497))=0,"",INDEX('Aides'!$D$4:$D$503,497)))=0,"","Registry no.: "&amp;IF(LEN(INDEX('Aides'!$D$4:$D$503,497))=0,"",INDEX('Aides'!$D$4:$D$503,497))&amp;". ")&amp;IF(LEN(IF(ISNUMBER(INDEX('Aides'!$F$4:$F$503,497)),TEXT(INDEX('Aides'!$F$4:$F$503,497),"yyyy-mm-dd"),""))=0,"","Registry expiry: "&amp;IF(ISNUMBER(INDEX('Aides'!$F$4:$F$503,497)),TEXT(INDEX('Aides'!$F$4:$F$503,497),"yyyy-mm-dd"),"")&amp;". ")&amp;IF(LEN(IF(ISNUMBER(INDEX('Aides'!$G$4:$G$503,497)),TEXT(INDEX('Aides'!$G$4:$G$503,497),"yyyy-mm-dd"),""))=0,"","Last paid nursing work: "&amp;IF(ISNUMBER(INDEX('Aides'!$G$4:$G$503,497)),TEXT(INDEX('Aides'!$G$4:$G$503,497),"yyyy-mm-dd"),"")&amp;". ")&amp;IF(LEN(IF(ISNUMBER(INDEX('Aides'!$H$4:$H$503,497)),TEXT(INDEX('Aides'!$H$4:$H$503,497),"yyyy-mm-dd"),""))=0,"","24-month cut-off: "&amp;IF(ISNUMBER(INDEX('Aides'!$H$4:$H$503,497)),TEXT(INDEX('Aides'!$H$4:$H$503,497),"yyyy-mm-dd"),"")&amp;". ")&amp;IF(LEN(IF(LEN(INDEX('Aides'!$U$4:$U$503,497))=0,"",INDEX('Aides'!$U$4:$U$503,497)))=0,"","Owner: "&amp;IF(LEN(INDEX('Aides'!$U$4:$U$503,497))=0,"",INDEX('Aides'!$U$4:$U$503,497))&amp;". ")&amp;IF(LEN(IF(LEN(INDEX('Aides'!$X$4:$X$503,497))=0,"",INDEX('Aides'!$X$4:$X$503,497)))=0,"",IF(LEN(INDEX('Aides'!$X$4:$X$503,497))=0,"",INDEX('Aides'!$X$4:$X$503,497))))</f>
        <v/>
      </c>
      <c r="I500">
        <f>IF(LEN(INDEX('Aides'!$W$4:$W$503,497))=0,"",INDEX('Aides'!$W$4:$W$503,497))</f>
        <v/>
      </c>
      <c r="J500">
        <f>IF(LEN(INDEX('Aides'!$V$4:$V$503,497))=0,"",INDEX('Aides'!$V$4:$V$503,497))</f>
        <v/>
      </c>
    </row>
    <row r="501">
      <c r="A501">
        <f>IF(AND(LEN('Aides'!A501)&gt;0,ISNUMBER('Aides'!I501)),1,0)</f>
        <v/>
      </c>
      <c r="B501">
        <f>B500+A501</f>
        <v/>
      </c>
      <c r="C501">
        <f>IF(498&gt;$B$1503,"",MATCH(498-0.5,$B$3:$B$1503,1))</f>
        <v/>
      </c>
      <c r="D501">
        <f>"CNA certification ("&amp;IF(LEN(INDEX('Aides'!$C$4:$C$503,498))=0,"",INDEX('Aides'!$C$4:$C$503,498))&amp;") – "&amp;IF(LEN(INDEX('Aides'!$A$4:$A$503,498))=0,"",INDEX('Aides'!$A$4:$A$503,498))</f>
        <v/>
      </c>
      <c r="E501">
        <f>IF(ISNUMBER(INDEX('Aides'!$I$4:$I$503,498)),TEXT(INDEX('Aides'!$I$4:$I$503,498),"yyyy-mm-dd"),"")</f>
        <v/>
      </c>
      <c r="F501">
        <f>"Certification"</f>
        <v/>
      </c>
      <c r="G501">
        <f>"High"</f>
        <v/>
      </c>
      <c r="H501">
        <f>TRIM(IF(LEN(IF(LEN(INDEX('Aides'!$D$4:$D$503,498))=0,"",INDEX('Aides'!$D$4:$D$503,498)))=0,"","Registry no.: "&amp;IF(LEN(INDEX('Aides'!$D$4:$D$503,498))=0,"",INDEX('Aides'!$D$4:$D$503,498))&amp;". ")&amp;IF(LEN(IF(ISNUMBER(INDEX('Aides'!$F$4:$F$503,498)),TEXT(INDEX('Aides'!$F$4:$F$503,498),"yyyy-mm-dd"),""))=0,"","Registry expiry: "&amp;IF(ISNUMBER(INDEX('Aides'!$F$4:$F$503,498)),TEXT(INDEX('Aides'!$F$4:$F$503,498),"yyyy-mm-dd"),"")&amp;". ")&amp;IF(LEN(IF(ISNUMBER(INDEX('Aides'!$G$4:$G$503,498)),TEXT(INDEX('Aides'!$G$4:$G$503,498),"yyyy-mm-dd"),""))=0,"","Last paid nursing work: "&amp;IF(ISNUMBER(INDEX('Aides'!$G$4:$G$503,498)),TEXT(INDEX('Aides'!$G$4:$G$503,498),"yyyy-mm-dd"),"")&amp;". ")&amp;IF(LEN(IF(ISNUMBER(INDEX('Aides'!$H$4:$H$503,498)),TEXT(INDEX('Aides'!$H$4:$H$503,498),"yyyy-mm-dd"),""))=0,"","24-month cut-off: "&amp;IF(ISNUMBER(INDEX('Aides'!$H$4:$H$503,498)),TEXT(INDEX('Aides'!$H$4:$H$503,498),"yyyy-mm-dd"),"")&amp;". ")&amp;IF(LEN(IF(LEN(INDEX('Aides'!$U$4:$U$503,498))=0,"",INDEX('Aides'!$U$4:$U$503,498)))=0,"","Owner: "&amp;IF(LEN(INDEX('Aides'!$U$4:$U$503,498))=0,"",INDEX('Aides'!$U$4:$U$503,498))&amp;". ")&amp;IF(LEN(IF(LEN(INDEX('Aides'!$X$4:$X$503,498))=0,"",INDEX('Aides'!$X$4:$X$503,498)))=0,"",IF(LEN(INDEX('Aides'!$X$4:$X$503,498))=0,"",INDEX('Aides'!$X$4:$X$503,498))))</f>
        <v/>
      </c>
      <c r="I501">
        <f>IF(LEN(INDEX('Aides'!$W$4:$W$503,498))=0,"",INDEX('Aides'!$W$4:$W$503,498))</f>
        <v/>
      </c>
      <c r="J501">
        <f>IF(LEN(INDEX('Aides'!$V$4:$V$503,498))=0,"",INDEX('Aides'!$V$4:$V$503,498))</f>
        <v/>
      </c>
    </row>
    <row r="502">
      <c r="A502">
        <f>IF(AND(LEN('Aides'!A502)&gt;0,ISNUMBER('Aides'!I502)),1,0)</f>
        <v/>
      </c>
      <c r="B502">
        <f>B501+A502</f>
        <v/>
      </c>
      <c r="C502">
        <f>IF(499&gt;$B$1503,"",MATCH(499-0.5,$B$3:$B$1503,1))</f>
        <v/>
      </c>
      <c r="D502">
        <f>"CNA certification ("&amp;IF(LEN(INDEX('Aides'!$C$4:$C$503,499))=0,"",INDEX('Aides'!$C$4:$C$503,499))&amp;") – "&amp;IF(LEN(INDEX('Aides'!$A$4:$A$503,499))=0,"",INDEX('Aides'!$A$4:$A$503,499))</f>
        <v/>
      </c>
      <c r="E502">
        <f>IF(ISNUMBER(INDEX('Aides'!$I$4:$I$503,499)),TEXT(INDEX('Aides'!$I$4:$I$503,499),"yyyy-mm-dd"),"")</f>
        <v/>
      </c>
      <c r="F502">
        <f>"Certification"</f>
        <v/>
      </c>
      <c r="G502">
        <f>"High"</f>
        <v/>
      </c>
      <c r="H502">
        <f>TRIM(IF(LEN(IF(LEN(INDEX('Aides'!$D$4:$D$503,499))=0,"",INDEX('Aides'!$D$4:$D$503,499)))=0,"","Registry no.: "&amp;IF(LEN(INDEX('Aides'!$D$4:$D$503,499))=0,"",INDEX('Aides'!$D$4:$D$503,499))&amp;". ")&amp;IF(LEN(IF(ISNUMBER(INDEX('Aides'!$F$4:$F$503,499)),TEXT(INDEX('Aides'!$F$4:$F$503,499),"yyyy-mm-dd"),""))=0,"","Registry expiry: "&amp;IF(ISNUMBER(INDEX('Aides'!$F$4:$F$503,499)),TEXT(INDEX('Aides'!$F$4:$F$503,499),"yyyy-mm-dd"),"")&amp;". ")&amp;IF(LEN(IF(ISNUMBER(INDEX('Aides'!$G$4:$G$503,499)),TEXT(INDEX('Aides'!$G$4:$G$503,499),"yyyy-mm-dd"),""))=0,"","Last paid nursing work: "&amp;IF(ISNUMBER(INDEX('Aides'!$G$4:$G$503,499)),TEXT(INDEX('Aides'!$G$4:$G$503,499),"yyyy-mm-dd"),"")&amp;". ")&amp;IF(LEN(IF(ISNUMBER(INDEX('Aides'!$H$4:$H$503,499)),TEXT(INDEX('Aides'!$H$4:$H$503,499),"yyyy-mm-dd"),""))=0,"","24-month cut-off: "&amp;IF(ISNUMBER(INDEX('Aides'!$H$4:$H$503,499)),TEXT(INDEX('Aides'!$H$4:$H$503,499),"yyyy-mm-dd"),"")&amp;". ")&amp;IF(LEN(IF(LEN(INDEX('Aides'!$U$4:$U$503,499))=0,"",INDEX('Aides'!$U$4:$U$503,499)))=0,"","Owner: "&amp;IF(LEN(INDEX('Aides'!$U$4:$U$503,499))=0,"",INDEX('Aides'!$U$4:$U$503,499))&amp;". ")&amp;IF(LEN(IF(LEN(INDEX('Aides'!$X$4:$X$503,499))=0,"",INDEX('Aides'!$X$4:$X$503,499)))=0,"",IF(LEN(INDEX('Aides'!$X$4:$X$503,499))=0,"",INDEX('Aides'!$X$4:$X$503,499))))</f>
        <v/>
      </c>
      <c r="I502">
        <f>IF(LEN(INDEX('Aides'!$W$4:$W$503,499))=0,"",INDEX('Aides'!$W$4:$W$503,499))</f>
        <v/>
      </c>
      <c r="J502">
        <f>IF(LEN(INDEX('Aides'!$V$4:$V$503,499))=0,"",INDEX('Aides'!$V$4:$V$503,499))</f>
        <v/>
      </c>
    </row>
    <row r="503">
      <c r="A503">
        <f>IF(AND(LEN('Aides'!A503)&gt;0,ISNUMBER('Aides'!I503)),1,0)</f>
        <v/>
      </c>
      <c r="B503">
        <f>B502+A503</f>
        <v/>
      </c>
      <c r="C503">
        <f>IF(500&gt;$B$1503,"",MATCH(500-0.5,$B$3:$B$1503,1))</f>
        <v/>
      </c>
      <c r="D503">
        <f>"CNA certification ("&amp;IF(LEN(INDEX('Aides'!$C$4:$C$503,500))=0,"",INDEX('Aides'!$C$4:$C$503,500))&amp;") – "&amp;IF(LEN(INDEX('Aides'!$A$4:$A$503,500))=0,"",INDEX('Aides'!$A$4:$A$503,500))</f>
        <v/>
      </c>
      <c r="E503">
        <f>IF(ISNUMBER(INDEX('Aides'!$I$4:$I$503,500)),TEXT(INDEX('Aides'!$I$4:$I$503,500),"yyyy-mm-dd"),"")</f>
        <v/>
      </c>
      <c r="F503">
        <f>"Certification"</f>
        <v/>
      </c>
      <c r="G503">
        <f>"High"</f>
        <v/>
      </c>
      <c r="H503">
        <f>TRIM(IF(LEN(IF(LEN(INDEX('Aides'!$D$4:$D$503,500))=0,"",INDEX('Aides'!$D$4:$D$503,500)))=0,"","Registry no.: "&amp;IF(LEN(INDEX('Aides'!$D$4:$D$503,500))=0,"",INDEX('Aides'!$D$4:$D$503,500))&amp;". ")&amp;IF(LEN(IF(ISNUMBER(INDEX('Aides'!$F$4:$F$503,500)),TEXT(INDEX('Aides'!$F$4:$F$503,500),"yyyy-mm-dd"),""))=0,"","Registry expiry: "&amp;IF(ISNUMBER(INDEX('Aides'!$F$4:$F$503,500)),TEXT(INDEX('Aides'!$F$4:$F$503,500),"yyyy-mm-dd"),"")&amp;". ")&amp;IF(LEN(IF(ISNUMBER(INDEX('Aides'!$G$4:$G$503,500)),TEXT(INDEX('Aides'!$G$4:$G$503,500),"yyyy-mm-dd"),""))=0,"","Last paid nursing work: "&amp;IF(ISNUMBER(INDEX('Aides'!$G$4:$G$503,500)),TEXT(INDEX('Aides'!$G$4:$G$503,500),"yyyy-mm-dd"),"")&amp;". ")&amp;IF(LEN(IF(ISNUMBER(INDEX('Aides'!$H$4:$H$503,500)),TEXT(INDEX('Aides'!$H$4:$H$503,500),"yyyy-mm-dd"),""))=0,"","24-month cut-off: "&amp;IF(ISNUMBER(INDEX('Aides'!$H$4:$H$503,500)),TEXT(INDEX('Aides'!$H$4:$H$503,500),"yyyy-mm-dd"),"")&amp;". ")&amp;IF(LEN(IF(LEN(INDEX('Aides'!$U$4:$U$503,500))=0,"",INDEX('Aides'!$U$4:$U$503,500)))=0,"","Owner: "&amp;IF(LEN(INDEX('Aides'!$U$4:$U$503,500))=0,"",INDEX('Aides'!$U$4:$U$503,500))&amp;". ")&amp;IF(LEN(IF(LEN(INDEX('Aides'!$X$4:$X$503,500))=0,"",INDEX('Aides'!$X$4:$X$503,500)))=0,"",IF(LEN(INDEX('Aides'!$X$4:$X$503,500))=0,"",INDEX('Aides'!$X$4:$X$503,500))))</f>
        <v/>
      </c>
      <c r="I503">
        <f>IF(LEN(INDEX('Aides'!$W$4:$W$503,500))=0,"",INDEX('Aides'!$W$4:$W$503,500))</f>
        <v/>
      </c>
      <c r="J503">
        <f>IF(LEN(INDEX('Aides'!$V$4:$V$503,500))=0,"",INDEX('Aides'!$V$4:$V$503,500))</f>
        <v/>
      </c>
    </row>
    <row r="504">
      <c r="A504">
        <f>IF(AND(LEN('Aides'!A4)&gt;0,ISNUMBER('Aides'!S4)),1,0)</f>
        <v/>
      </c>
      <c r="B504">
        <f>B503+A504</f>
        <v/>
      </c>
      <c r="C504">
        <f>IF(501&gt;$B$1503,"",MATCH(501-0.5,$B$3:$B$1503,1))</f>
        <v/>
      </c>
      <c r="D504">
        <f>"CPR / First Aid – "&amp;IF(LEN(INDEX('Aides'!$A$4:$A$503,1))=0,"",INDEX('Aides'!$A$4:$A$503,1))</f>
        <v/>
      </c>
      <c r="E504">
        <f>IF(ISNUMBER(INDEX('Aides'!$S$4:$S$503,1)),TEXT(INDEX('Aides'!$S$4:$S$503,1),"yyyy-mm-dd"),"")</f>
        <v/>
      </c>
      <c r="F504">
        <f>"Training"</f>
        <v/>
      </c>
      <c r="G504">
        <f>"Medium"</f>
        <v/>
      </c>
      <c r="H504">
        <f>TRIM(IF(LEN(IF(LEN(INDEX('Aides'!$U$4:$U$503,1))=0,"",INDEX('Aides'!$U$4:$U$503,1)))=0,"","Owner: "&amp;IF(LEN(INDEX('Aides'!$U$4:$U$503,1))=0,"",INDEX('Aides'!$U$4:$U$503,1))&amp;". "))</f>
        <v/>
      </c>
      <c r="I504">
        <f>""</f>
        <v/>
      </c>
      <c r="J504">
        <f>IF(LEN(INDEX('Aides'!$V$4:$V$503,1))=0,"",INDEX('Aides'!$V$4:$V$503,1))</f>
        <v/>
      </c>
    </row>
    <row r="505">
      <c r="A505">
        <f>IF(AND(LEN('Aides'!A5)&gt;0,ISNUMBER('Aides'!S5)),1,0)</f>
        <v/>
      </c>
      <c r="B505">
        <f>B504+A505</f>
        <v/>
      </c>
      <c r="C505">
        <f>IF(502&gt;$B$1503,"",MATCH(502-0.5,$B$3:$B$1503,1))</f>
        <v/>
      </c>
      <c r="D505">
        <f>"CPR / First Aid – "&amp;IF(LEN(INDEX('Aides'!$A$4:$A$503,2))=0,"",INDEX('Aides'!$A$4:$A$503,2))</f>
        <v/>
      </c>
      <c r="E505">
        <f>IF(ISNUMBER(INDEX('Aides'!$S$4:$S$503,2)),TEXT(INDEX('Aides'!$S$4:$S$503,2),"yyyy-mm-dd"),"")</f>
        <v/>
      </c>
      <c r="F505">
        <f>"Training"</f>
        <v/>
      </c>
      <c r="G505">
        <f>"Medium"</f>
        <v/>
      </c>
      <c r="H505">
        <f>TRIM(IF(LEN(IF(LEN(INDEX('Aides'!$U$4:$U$503,2))=0,"",INDEX('Aides'!$U$4:$U$503,2)))=0,"","Owner: "&amp;IF(LEN(INDEX('Aides'!$U$4:$U$503,2))=0,"",INDEX('Aides'!$U$4:$U$503,2))&amp;". "))</f>
        <v/>
      </c>
      <c r="I505">
        <f>""</f>
        <v/>
      </c>
      <c r="J505">
        <f>IF(LEN(INDEX('Aides'!$V$4:$V$503,2))=0,"",INDEX('Aides'!$V$4:$V$503,2))</f>
        <v/>
      </c>
    </row>
    <row r="506">
      <c r="A506">
        <f>IF(AND(LEN('Aides'!A6)&gt;0,ISNUMBER('Aides'!S6)),1,0)</f>
        <v/>
      </c>
      <c r="B506">
        <f>B505+A506</f>
        <v/>
      </c>
      <c r="C506">
        <f>IF(503&gt;$B$1503,"",MATCH(503-0.5,$B$3:$B$1503,1))</f>
        <v/>
      </c>
      <c r="D506">
        <f>"CPR / First Aid – "&amp;IF(LEN(INDEX('Aides'!$A$4:$A$503,3))=0,"",INDEX('Aides'!$A$4:$A$503,3))</f>
        <v/>
      </c>
      <c r="E506">
        <f>IF(ISNUMBER(INDEX('Aides'!$S$4:$S$503,3)),TEXT(INDEX('Aides'!$S$4:$S$503,3),"yyyy-mm-dd"),"")</f>
        <v/>
      </c>
      <c r="F506">
        <f>"Training"</f>
        <v/>
      </c>
      <c r="G506">
        <f>"Medium"</f>
        <v/>
      </c>
      <c r="H506">
        <f>TRIM(IF(LEN(IF(LEN(INDEX('Aides'!$U$4:$U$503,3))=0,"",INDEX('Aides'!$U$4:$U$503,3)))=0,"","Owner: "&amp;IF(LEN(INDEX('Aides'!$U$4:$U$503,3))=0,"",INDEX('Aides'!$U$4:$U$503,3))&amp;". "))</f>
        <v/>
      </c>
      <c r="I506">
        <f>""</f>
        <v/>
      </c>
      <c r="J506">
        <f>IF(LEN(INDEX('Aides'!$V$4:$V$503,3))=0,"",INDEX('Aides'!$V$4:$V$503,3))</f>
        <v/>
      </c>
    </row>
    <row r="507">
      <c r="A507">
        <f>IF(AND(LEN('Aides'!A7)&gt;0,ISNUMBER('Aides'!S7)),1,0)</f>
        <v/>
      </c>
      <c r="B507">
        <f>B506+A507</f>
        <v/>
      </c>
      <c r="C507">
        <f>IF(504&gt;$B$1503,"",MATCH(504-0.5,$B$3:$B$1503,1))</f>
        <v/>
      </c>
      <c r="D507">
        <f>"CPR / First Aid – "&amp;IF(LEN(INDEX('Aides'!$A$4:$A$503,4))=0,"",INDEX('Aides'!$A$4:$A$503,4))</f>
        <v/>
      </c>
      <c r="E507">
        <f>IF(ISNUMBER(INDEX('Aides'!$S$4:$S$503,4)),TEXT(INDEX('Aides'!$S$4:$S$503,4),"yyyy-mm-dd"),"")</f>
        <v/>
      </c>
      <c r="F507">
        <f>"Training"</f>
        <v/>
      </c>
      <c r="G507">
        <f>"Medium"</f>
        <v/>
      </c>
      <c r="H507">
        <f>TRIM(IF(LEN(IF(LEN(INDEX('Aides'!$U$4:$U$503,4))=0,"",INDEX('Aides'!$U$4:$U$503,4)))=0,"","Owner: "&amp;IF(LEN(INDEX('Aides'!$U$4:$U$503,4))=0,"",INDEX('Aides'!$U$4:$U$503,4))&amp;". "))</f>
        <v/>
      </c>
      <c r="I507">
        <f>""</f>
        <v/>
      </c>
      <c r="J507">
        <f>IF(LEN(INDEX('Aides'!$V$4:$V$503,4))=0,"",INDEX('Aides'!$V$4:$V$503,4))</f>
        <v/>
      </c>
    </row>
    <row r="508">
      <c r="A508">
        <f>IF(AND(LEN('Aides'!A8)&gt;0,ISNUMBER('Aides'!S8)),1,0)</f>
        <v/>
      </c>
      <c r="B508">
        <f>B507+A508</f>
        <v/>
      </c>
      <c r="C508">
        <f>IF(505&gt;$B$1503,"",MATCH(505-0.5,$B$3:$B$1503,1))</f>
        <v/>
      </c>
      <c r="D508">
        <f>"CPR / First Aid – "&amp;IF(LEN(INDEX('Aides'!$A$4:$A$503,5))=0,"",INDEX('Aides'!$A$4:$A$503,5))</f>
        <v/>
      </c>
      <c r="E508">
        <f>IF(ISNUMBER(INDEX('Aides'!$S$4:$S$503,5)),TEXT(INDEX('Aides'!$S$4:$S$503,5),"yyyy-mm-dd"),"")</f>
        <v/>
      </c>
      <c r="F508">
        <f>"Training"</f>
        <v/>
      </c>
      <c r="G508">
        <f>"Medium"</f>
        <v/>
      </c>
      <c r="H508">
        <f>TRIM(IF(LEN(IF(LEN(INDEX('Aides'!$U$4:$U$503,5))=0,"",INDEX('Aides'!$U$4:$U$503,5)))=0,"","Owner: "&amp;IF(LEN(INDEX('Aides'!$U$4:$U$503,5))=0,"",INDEX('Aides'!$U$4:$U$503,5))&amp;". "))</f>
        <v/>
      </c>
      <c r="I508">
        <f>""</f>
        <v/>
      </c>
      <c r="J508">
        <f>IF(LEN(INDEX('Aides'!$V$4:$V$503,5))=0,"",INDEX('Aides'!$V$4:$V$503,5))</f>
        <v/>
      </c>
    </row>
    <row r="509">
      <c r="A509">
        <f>IF(AND(LEN('Aides'!A9)&gt;0,ISNUMBER('Aides'!S9)),1,0)</f>
        <v/>
      </c>
      <c r="B509">
        <f>B508+A509</f>
        <v/>
      </c>
      <c r="C509">
        <f>IF(506&gt;$B$1503,"",MATCH(506-0.5,$B$3:$B$1503,1))</f>
        <v/>
      </c>
      <c r="D509">
        <f>"CPR / First Aid – "&amp;IF(LEN(INDEX('Aides'!$A$4:$A$503,6))=0,"",INDEX('Aides'!$A$4:$A$503,6))</f>
        <v/>
      </c>
      <c r="E509">
        <f>IF(ISNUMBER(INDEX('Aides'!$S$4:$S$503,6)),TEXT(INDEX('Aides'!$S$4:$S$503,6),"yyyy-mm-dd"),"")</f>
        <v/>
      </c>
      <c r="F509">
        <f>"Training"</f>
        <v/>
      </c>
      <c r="G509">
        <f>"Medium"</f>
        <v/>
      </c>
      <c r="H509">
        <f>TRIM(IF(LEN(IF(LEN(INDEX('Aides'!$U$4:$U$503,6))=0,"",INDEX('Aides'!$U$4:$U$503,6)))=0,"","Owner: "&amp;IF(LEN(INDEX('Aides'!$U$4:$U$503,6))=0,"",INDEX('Aides'!$U$4:$U$503,6))&amp;". "))</f>
        <v/>
      </c>
      <c r="I509">
        <f>""</f>
        <v/>
      </c>
      <c r="J509">
        <f>IF(LEN(INDEX('Aides'!$V$4:$V$503,6))=0,"",INDEX('Aides'!$V$4:$V$503,6))</f>
        <v/>
      </c>
    </row>
    <row r="510">
      <c r="A510">
        <f>IF(AND(LEN('Aides'!A10)&gt;0,ISNUMBER('Aides'!S10)),1,0)</f>
        <v/>
      </c>
      <c r="B510">
        <f>B509+A510</f>
        <v/>
      </c>
      <c r="C510">
        <f>IF(507&gt;$B$1503,"",MATCH(507-0.5,$B$3:$B$1503,1))</f>
        <v/>
      </c>
      <c r="D510">
        <f>"CPR / First Aid – "&amp;IF(LEN(INDEX('Aides'!$A$4:$A$503,7))=0,"",INDEX('Aides'!$A$4:$A$503,7))</f>
        <v/>
      </c>
      <c r="E510">
        <f>IF(ISNUMBER(INDEX('Aides'!$S$4:$S$503,7)),TEXT(INDEX('Aides'!$S$4:$S$503,7),"yyyy-mm-dd"),"")</f>
        <v/>
      </c>
      <c r="F510">
        <f>"Training"</f>
        <v/>
      </c>
      <c r="G510">
        <f>"Medium"</f>
        <v/>
      </c>
      <c r="H510">
        <f>TRIM(IF(LEN(IF(LEN(INDEX('Aides'!$U$4:$U$503,7))=0,"",INDEX('Aides'!$U$4:$U$503,7)))=0,"","Owner: "&amp;IF(LEN(INDEX('Aides'!$U$4:$U$503,7))=0,"",INDEX('Aides'!$U$4:$U$503,7))&amp;". "))</f>
        <v/>
      </c>
      <c r="I510">
        <f>""</f>
        <v/>
      </c>
      <c r="J510">
        <f>IF(LEN(INDEX('Aides'!$V$4:$V$503,7))=0,"",INDEX('Aides'!$V$4:$V$503,7))</f>
        <v/>
      </c>
    </row>
    <row r="511">
      <c r="A511">
        <f>IF(AND(LEN('Aides'!A11)&gt;0,ISNUMBER('Aides'!S11)),1,0)</f>
        <v/>
      </c>
      <c r="B511">
        <f>B510+A511</f>
        <v/>
      </c>
      <c r="C511">
        <f>IF(508&gt;$B$1503,"",MATCH(508-0.5,$B$3:$B$1503,1))</f>
        <v/>
      </c>
      <c r="D511">
        <f>"CPR / First Aid – "&amp;IF(LEN(INDEX('Aides'!$A$4:$A$503,8))=0,"",INDEX('Aides'!$A$4:$A$503,8))</f>
        <v/>
      </c>
      <c r="E511">
        <f>IF(ISNUMBER(INDEX('Aides'!$S$4:$S$503,8)),TEXT(INDEX('Aides'!$S$4:$S$503,8),"yyyy-mm-dd"),"")</f>
        <v/>
      </c>
      <c r="F511">
        <f>"Training"</f>
        <v/>
      </c>
      <c r="G511">
        <f>"Medium"</f>
        <v/>
      </c>
      <c r="H511">
        <f>TRIM(IF(LEN(IF(LEN(INDEX('Aides'!$U$4:$U$503,8))=0,"",INDEX('Aides'!$U$4:$U$503,8)))=0,"","Owner: "&amp;IF(LEN(INDEX('Aides'!$U$4:$U$503,8))=0,"",INDEX('Aides'!$U$4:$U$503,8))&amp;". "))</f>
        <v/>
      </c>
      <c r="I511">
        <f>""</f>
        <v/>
      </c>
      <c r="J511">
        <f>IF(LEN(INDEX('Aides'!$V$4:$V$503,8))=0,"",INDEX('Aides'!$V$4:$V$503,8))</f>
        <v/>
      </c>
    </row>
    <row r="512">
      <c r="A512">
        <f>IF(AND(LEN('Aides'!A12)&gt;0,ISNUMBER('Aides'!S12)),1,0)</f>
        <v/>
      </c>
      <c r="B512">
        <f>B511+A512</f>
        <v/>
      </c>
      <c r="C512">
        <f>IF(509&gt;$B$1503,"",MATCH(509-0.5,$B$3:$B$1503,1))</f>
        <v/>
      </c>
      <c r="D512">
        <f>"CPR / First Aid – "&amp;IF(LEN(INDEX('Aides'!$A$4:$A$503,9))=0,"",INDEX('Aides'!$A$4:$A$503,9))</f>
        <v/>
      </c>
      <c r="E512">
        <f>IF(ISNUMBER(INDEX('Aides'!$S$4:$S$503,9)),TEXT(INDEX('Aides'!$S$4:$S$503,9),"yyyy-mm-dd"),"")</f>
        <v/>
      </c>
      <c r="F512">
        <f>"Training"</f>
        <v/>
      </c>
      <c r="G512">
        <f>"Medium"</f>
        <v/>
      </c>
      <c r="H512">
        <f>TRIM(IF(LEN(IF(LEN(INDEX('Aides'!$U$4:$U$503,9))=0,"",INDEX('Aides'!$U$4:$U$503,9)))=0,"","Owner: "&amp;IF(LEN(INDEX('Aides'!$U$4:$U$503,9))=0,"",INDEX('Aides'!$U$4:$U$503,9))&amp;". "))</f>
        <v/>
      </c>
      <c r="I512">
        <f>""</f>
        <v/>
      </c>
      <c r="J512">
        <f>IF(LEN(INDEX('Aides'!$V$4:$V$503,9))=0,"",INDEX('Aides'!$V$4:$V$503,9))</f>
        <v/>
      </c>
    </row>
    <row r="513">
      <c r="A513">
        <f>IF(AND(LEN('Aides'!A13)&gt;0,ISNUMBER('Aides'!S13)),1,0)</f>
        <v/>
      </c>
      <c r="B513">
        <f>B512+A513</f>
        <v/>
      </c>
      <c r="C513">
        <f>IF(510&gt;$B$1503,"",MATCH(510-0.5,$B$3:$B$1503,1))</f>
        <v/>
      </c>
      <c r="D513">
        <f>"CPR / First Aid – "&amp;IF(LEN(INDEX('Aides'!$A$4:$A$503,10))=0,"",INDEX('Aides'!$A$4:$A$503,10))</f>
        <v/>
      </c>
      <c r="E513">
        <f>IF(ISNUMBER(INDEX('Aides'!$S$4:$S$503,10)),TEXT(INDEX('Aides'!$S$4:$S$503,10),"yyyy-mm-dd"),"")</f>
        <v/>
      </c>
      <c r="F513">
        <f>"Training"</f>
        <v/>
      </c>
      <c r="G513">
        <f>"Medium"</f>
        <v/>
      </c>
      <c r="H513">
        <f>TRIM(IF(LEN(IF(LEN(INDEX('Aides'!$U$4:$U$503,10))=0,"",INDEX('Aides'!$U$4:$U$503,10)))=0,"","Owner: "&amp;IF(LEN(INDEX('Aides'!$U$4:$U$503,10))=0,"",INDEX('Aides'!$U$4:$U$503,10))&amp;". "))</f>
        <v/>
      </c>
      <c r="I513">
        <f>""</f>
        <v/>
      </c>
      <c r="J513">
        <f>IF(LEN(INDEX('Aides'!$V$4:$V$503,10))=0,"",INDEX('Aides'!$V$4:$V$503,10))</f>
        <v/>
      </c>
    </row>
    <row r="514">
      <c r="A514">
        <f>IF(AND(LEN('Aides'!A14)&gt;0,ISNUMBER('Aides'!S14)),1,0)</f>
        <v/>
      </c>
      <c r="B514">
        <f>B513+A514</f>
        <v/>
      </c>
      <c r="C514">
        <f>IF(511&gt;$B$1503,"",MATCH(511-0.5,$B$3:$B$1503,1))</f>
        <v/>
      </c>
      <c r="D514">
        <f>"CPR / First Aid – "&amp;IF(LEN(INDEX('Aides'!$A$4:$A$503,11))=0,"",INDEX('Aides'!$A$4:$A$503,11))</f>
        <v/>
      </c>
      <c r="E514">
        <f>IF(ISNUMBER(INDEX('Aides'!$S$4:$S$503,11)),TEXT(INDEX('Aides'!$S$4:$S$503,11),"yyyy-mm-dd"),"")</f>
        <v/>
      </c>
      <c r="F514">
        <f>"Training"</f>
        <v/>
      </c>
      <c r="G514">
        <f>"Medium"</f>
        <v/>
      </c>
      <c r="H514">
        <f>TRIM(IF(LEN(IF(LEN(INDEX('Aides'!$U$4:$U$503,11))=0,"",INDEX('Aides'!$U$4:$U$503,11)))=0,"","Owner: "&amp;IF(LEN(INDEX('Aides'!$U$4:$U$503,11))=0,"",INDEX('Aides'!$U$4:$U$503,11))&amp;". "))</f>
        <v/>
      </c>
      <c r="I514">
        <f>""</f>
        <v/>
      </c>
      <c r="J514">
        <f>IF(LEN(INDEX('Aides'!$V$4:$V$503,11))=0,"",INDEX('Aides'!$V$4:$V$503,11))</f>
        <v/>
      </c>
    </row>
    <row r="515">
      <c r="A515">
        <f>IF(AND(LEN('Aides'!A15)&gt;0,ISNUMBER('Aides'!S15)),1,0)</f>
        <v/>
      </c>
      <c r="B515">
        <f>B514+A515</f>
        <v/>
      </c>
      <c r="C515">
        <f>IF(512&gt;$B$1503,"",MATCH(512-0.5,$B$3:$B$1503,1))</f>
        <v/>
      </c>
      <c r="D515">
        <f>"CPR / First Aid – "&amp;IF(LEN(INDEX('Aides'!$A$4:$A$503,12))=0,"",INDEX('Aides'!$A$4:$A$503,12))</f>
        <v/>
      </c>
      <c r="E515">
        <f>IF(ISNUMBER(INDEX('Aides'!$S$4:$S$503,12)),TEXT(INDEX('Aides'!$S$4:$S$503,12),"yyyy-mm-dd"),"")</f>
        <v/>
      </c>
      <c r="F515">
        <f>"Training"</f>
        <v/>
      </c>
      <c r="G515">
        <f>"Medium"</f>
        <v/>
      </c>
      <c r="H515">
        <f>TRIM(IF(LEN(IF(LEN(INDEX('Aides'!$U$4:$U$503,12))=0,"",INDEX('Aides'!$U$4:$U$503,12)))=0,"","Owner: "&amp;IF(LEN(INDEX('Aides'!$U$4:$U$503,12))=0,"",INDEX('Aides'!$U$4:$U$503,12))&amp;". "))</f>
        <v/>
      </c>
      <c r="I515">
        <f>""</f>
        <v/>
      </c>
      <c r="J515">
        <f>IF(LEN(INDEX('Aides'!$V$4:$V$503,12))=0,"",INDEX('Aides'!$V$4:$V$503,12))</f>
        <v/>
      </c>
    </row>
    <row r="516">
      <c r="A516">
        <f>IF(AND(LEN('Aides'!A16)&gt;0,ISNUMBER('Aides'!S16)),1,0)</f>
        <v/>
      </c>
      <c r="B516">
        <f>B515+A516</f>
        <v/>
      </c>
      <c r="C516">
        <f>IF(513&gt;$B$1503,"",MATCH(513-0.5,$B$3:$B$1503,1))</f>
        <v/>
      </c>
      <c r="D516">
        <f>"CPR / First Aid – "&amp;IF(LEN(INDEX('Aides'!$A$4:$A$503,13))=0,"",INDEX('Aides'!$A$4:$A$503,13))</f>
        <v/>
      </c>
      <c r="E516">
        <f>IF(ISNUMBER(INDEX('Aides'!$S$4:$S$503,13)),TEXT(INDEX('Aides'!$S$4:$S$503,13),"yyyy-mm-dd"),"")</f>
        <v/>
      </c>
      <c r="F516">
        <f>"Training"</f>
        <v/>
      </c>
      <c r="G516">
        <f>"Medium"</f>
        <v/>
      </c>
      <c r="H516">
        <f>TRIM(IF(LEN(IF(LEN(INDEX('Aides'!$U$4:$U$503,13))=0,"",INDEX('Aides'!$U$4:$U$503,13)))=0,"","Owner: "&amp;IF(LEN(INDEX('Aides'!$U$4:$U$503,13))=0,"",INDEX('Aides'!$U$4:$U$503,13))&amp;". "))</f>
        <v/>
      </c>
      <c r="I516">
        <f>""</f>
        <v/>
      </c>
      <c r="J516">
        <f>IF(LEN(INDEX('Aides'!$V$4:$V$503,13))=0,"",INDEX('Aides'!$V$4:$V$503,13))</f>
        <v/>
      </c>
    </row>
    <row r="517">
      <c r="A517">
        <f>IF(AND(LEN('Aides'!A17)&gt;0,ISNUMBER('Aides'!S17)),1,0)</f>
        <v/>
      </c>
      <c r="B517">
        <f>B516+A517</f>
        <v/>
      </c>
      <c r="C517">
        <f>IF(514&gt;$B$1503,"",MATCH(514-0.5,$B$3:$B$1503,1))</f>
        <v/>
      </c>
      <c r="D517">
        <f>"CPR / First Aid – "&amp;IF(LEN(INDEX('Aides'!$A$4:$A$503,14))=0,"",INDEX('Aides'!$A$4:$A$503,14))</f>
        <v/>
      </c>
      <c r="E517">
        <f>IF(ISNUMBER(INDEX('Aides'!$S$4:$S$503,14)),TEXT(INDEX('Aides'!$S$4:$S$503,14),"yyyy-mm-dd"),"")</f>
        <v/>
      </c>
      <c r="F517">
        <f>"Training"</f>
        <v/>
      </c>
      <c r="G517">
        <f>"Medium"</f>
        <v/>
      </c>
      <c r="H517">
        <f>TRIM(IF(LEN(IF(LEN(INDEX('Aides'!$U$4:$U$503,14))=0,"",INDEX('Aides'!$U$4:$U$503,14)))=0,"","Owner: "&amp;IF(LEN(INDEX('Aides'!$U$4:$U$503,14))=0,"",INDEX('Aides'!$U$4:$U$503,14))&amp;". "))</f>
        <v/>
      </c>
      <c r="I517">
        <f>""</f>
        <v/>
      </c>
      <c r="J517">
        <f>IF(LEN(INDEX('Aides'!$V$4:$V$503,14))=0,"",INDEX('Aides'!$V$4:$V$503,14))</f>
        <v/>
      </c>
    </row>
    <row r="518">
      <c r="A518">
        <f>IF(AND(LEN('Aides'!A18)&gt;0,ISNUMBER('Aides'!S18)),1,0)</f>
        <v/>
      </c>
      <c r="B518">
        <f>B517+A518</f>
        <v/>
      </c>
      <c r="C518">
        <f>IF(515&gt;$B$1503,"",MATCH(515-0.5,$B$3:$B$1503,1))</f>
        <v/>
      </c>
      <c r="D518">
        <f>"CPR / First Aid – "&amp;IF(LEN(INDEX('Aides'!$A$4:$A$503,15))=0,"",INDEX('Aides'!$A$4:$A$503,15))</f>
        <v/>
      </c>
      <c r="E518">
        <f>IF(ISNUMBER(INDEX('Aides'!$S$4:$S$503,15)),TEXT(INDEX('Aides'!$S$4:$S$503,15),"yyyy-mm-dd"),"")</f>
        <v/>
      </c>
      <c r="F518">
        <f>"Training"</f>
        <v/>
      </c>
      <c r="G518">
        <f>"Medium"</f>
        <v/>
      </c>
      <c r="H518">
        <f>TRIM(IF(LEN(IF(LEN(INDEX('Aides'!$U$4:$U$503,15))=0,"",INDEX('Aides'!$U$4:$U$503,15)))=0,"","Owner: "&amp;IF(LEN(INDEX('Aides'!$U$4:$U$503,15))=0,"",INDEX('Aides'!$U$4:$U$503,15))&amp;". "))</f>
        <v/>
      </c>
      <c r="I518">
        <f>""</f>
        <v/>
      </c>
      <c r="J518">
        <f>IF(LEN(INDEX('Aides'!$V$4:$V$503,15))=0,"",INDEX('Aides'!$V$4:$V$503,15))</f>
        <v/>
      </c>
    </row>
    <row r="519">
      <c r="A519">
        <f>IF(AND(LEN('Aides'!A19)&gt;0,ISNUMBER('Aides'!S19)),1,0)</f>
        <v/>
      </c>
      <c r="B519">
        <f>B518+A519</f>
        <v/>
      </c>
      <c r="C519">
        <f>IF(516&gt;$B$1503,"",MATCH(516-0.5,$B$3:$B$1503,1))</f>
        <v/>
      </c>
      <c r="D519">
        <f>"CPR / First Aid – "&amp;IF(LEN(INDEX('Aides'!$A$4:$A$503,16))=0,"",INDEX('Aides'!$A$4:$A$503,16))</f>
        <v/>
      </c>
      <c r="E519">
        <f>IF(ISNUMBER(INDEX('Aides'!$S$4:$S$503,16)),TEXT(INDEX('Aides'!$S$4:$S$503,16),"yyyy-mm-dd"),"")</f>
        <v/>
      </c>
      <c r="F519">
        <f>"Training"</f>
        <v/>
      </c>
      <c r="G519">
        <f>"Medium"</f>
        <v/>
      </c>
      <c r="H519">
        <f>TRIM(IF(LEN(IF(LEN(INDEX('Aides'!$U$4:$U$503,16))=0,"",INDEX('Aides'!$U$4:$U$503,16)))=0,"","Owner: "&amp;IF(LEN(INDEX('Aides'!$U$4:$U$503,16))=0,"",INDEX('Aides'!$U$4:$U$503,16))&amp;". "))</f>
        <v/>
      </c>
      <c r="I519">
        <f>""</f>
        <v/>
      </c>
      <c r="J519">
        <f>IF(LEN(INDEX('Aides'!$V$4:$V$503,16))=0,"",INDEX('Aides'!$V$4:$V$503,16))</f>
        <v/>
      </c>
    </row>
    <row r="520">
      <c r="A520">
        <f>IF(AND(LEN('Aides'!A20)&gt;0,ISNUMBER('Aides'!S20)),1,0)</f>
        <v/>
      </c>
      <c r="B520">
        <f>B519+A520</f>
        <v/>
      </c>
      <c r="C520">
        <f>IF(517&gt;$B$1503,"",MATCH(517-0.5,$B$3:$B$1503,1))</f>
        <v/>
      </c>
      <c r="D520">
        <f>"CPR / First Aid – "&amp;IF(LEN(INDEX('Aides'!$A$4:$A$503,17))=0,"",INDEX('Aides'!$A$4:$A$503,17))</f>
        <v/>
      </c>
      <c r="E520">
        <f>IF(ISNUMBER(INDEX('Aides'!$S$4:$S$503,17)),TEXT(INDEX('Aides'!$S$4:$S$503,17),"yyyy-mm-dd"),"")</f>
        <v/>
      </c>
      <c r="F520">
        <f>"Training"</f>
        <v/>
      </c>
      <c r="G520">
        <f>"Medium"</f>
        <v/>
      </c>
      <c r="H520">
        <f>TRIM(IF(LEN(IF(LEN(INDEX('Aides'!$U$4:$U$503,17))=0,"",INDEX('Aides'!$U$4:$U$503,17)))=0,"","Owner: "&amp;IF(LEN(INDEX('Aides'!$U$4:$U$503,17))=0,"",INDEX('Aides'!$U$4:$U$503,17))&amp;". "))</f>
        <v/>
      </c>
      <c r="I520">
        <f>""</f>
        <v/>
      </c>
      <c r="J520">
        <f>IF(LEN(INDEX('Aides'!$V$4:$V$503,17))=0,"",INDEX('Aides'!$V$4:$V$503,17))</f>
        <v/>
      </c>
    </row>
    <row r="521">
      <c r="A521">
        <f>IF(AND(LEN('Aides'!A21)&gt;0,ISNUMBER('Aides'!S21)),1,0)</f>
        <v/>
      </c>
      <c r="B521">
        <f>B520+A521</f>
        <v/>
      </c>
      <c r="C521">
        <f>IF(518&gt;$B$1503,"",MATCH(518-0.5,$B$3:$B$1503,1))</f>
        <v/>
      </c>
      <c r="D521">
        <f>"CPR / First Aid – "&amp;IF(LEN(INDEX('Aides'!$A$4:$A$503,18))=0,"",INDEX('Aides'!$A$4:$A$503,18))</f>
        <v/>
      </c>
      <c r="E521">
        <f>IF(ISNUMBER(INDEX('Aides'!$S$4:$S$503,18)),TEXT(INDEX('Aides'!$S$4:$S$503,18),"yyyy-mm-dd"),"")</f>
        <v/>
      </c>
      <c r="F521">
        <f>"Training"</f>
        <v/>
      </c>
      <c r="G521">
        <f>"Medium"</f>
        <v/>
      </c>
      <c r="H521">
        <f>TRIM(IF(LEN(IF(LEN(INDEX('Aides'!$U$4:$U$503,18))=0,"",INDEX('Aides'!$U$4:$U$503,18)))=0,"","Owner: "&amp;IF(LEN(INDEX('Aides'!$U$4:$U$503,18))=0,"",INDEX('Aides'!$U$4:$U$503,18))&amp;". "))</f>
        <v/>
      </c>
      <c r="I521">
        <f>""</f>
        <v/>
      </c>
      <c r="J521">
        <f>IF(LEN(INDEX('Aides'!$V$4:$V$503,18))=0,"",INDEX('Aides'!$V$4:$V$503,18))</f>
        <v/>
      </c>
    </row>
    <row r="522">
      <c r="A522">
        <f>IF(AND(LEN('Aides'!A22)&gt;0,ISNUMBER('Aides'!S22)),1,0)</f>
        <v/>
      </c>
      <c r="B522">
        <f>B521+A522</f>
        <v/>
      </c>
      <c r="C522">
        <f>IF(519&gt;$B$1503,"",MATCH(519-0.5,$B$3:$B$1503,1))</f>
        <v/>
      </c>
      <c r="D522">
        <f>"CPR / First Aid – "&amp;IF(LEN(INDEX('Aides'!$A$4:$A$503,19))=0,"",INDEX('Aides'!$A$4:$A$503,19))</f>
        <v/>
      </c>
      <c r="E522">
        <f>IF(ISNUMBER(INDEX('Aides'!$S$4:$S$503,19)),TEXT(INDEX('Aides'!$S$4:$S$503,19),"yyyy-mm-dd"),"")</f>
        <v/>
      </c>
      <c r="F522">
        <f>"Training"</f>
        <v/>
      </c>
      <c r="G522">
        <f>"Medium"</f>
        <v/>
      </c>
      <c r="H522">
        <f>TRIM(IF(LEN(IF(LEN(INDEX('Aides'!$U$4:$U$503,19))=0,"",INDEX('Aides'!$U$4:$U$503,19)))=0,"","Owner: "&amp;IF(LEN(INDEX('Aides'!$U$4:$U$503,19))=0,"",INDEX('Aides'!$U$4:$U$503,19))&amp;". "))</f>
        <v/>
      </c>
      <c r="I522">
        <f>""</f>
        <v/>
      </c>
      <c r="J522">
        <f>IF(LEN(INDEX('Aides'!$V$4:$V$503,19))=0,"",INDEX('Aides'!$V$4:$V$503,19))</f>
        <v/>
      </c>
    </row>
    <row r="523">
      <c r="A523">
        <f>IF(AND(LEN('Aides'!A23)&gt;0,ISNUMBER('Aides'!S23)),1,0)</f>
        <v/>
      </c>
      <c r="B523">
        <f>B522+A523</f>
        <v/>
      </c>
      <c r="C523">
        <f>IF(520&gt;$B$1503,"",MATCH(520-0.5,$B$3:$B$1503,1))</f>
        <v/>
      </c>
      <c r="D523">
        <f>"CPR / First Aid – "&amp;IF(LEN(INDEX('Aides'!$A$4:$A$503,20))=0,"",INDEX('Aides'!$A$4:$A$503,20))</f>
        <v/>
      </c>
      <c r="E523">
        <f>IF(ISNUMBER(INDEX('Aides'!$S$4:$S$503,20)),TEXT(INDEX('Aides'!$S$4:$S$503,20),"yyyy-mm-dd"),"")</f>
        <v/>
      </c>
      <c r="F523">
        <f>"Training"</f>
        <v/>
      </c>
      <c r="G523">
        <f>"Medium"</f>
        <v/>
      </c>
      <c r="H523">
        <f>TRIM(IF(LEN(IF(LEN(INDEX('Aides'!$U$4:$U$503,20))=0,"",INDEX('Aides'!$U$4:$U$503,20)))=0,"","Owner: "&amp;IF(LEN(INDEX('Aides'!$U$4:$U$503,20))=0,"",INDEX('Aides'!$U$4:$U$503,20))&amp;". "))</f>
        <v/>
      </c>
      <c r="I523">
        <f>""</f>
        <v/>
      </c>
      <c r="J523">
        <f>IF(LEN(INDEX('Aides'!$V$4:$V$503,20))=0,"",INDEX('Aides'!$V$4:$V$503,20))</f>
        <v/>
      </c>
    </row>
    <row r="524">
      <c r="A524">
        <f>IF(AND(LEN('Aides'!A24)&gt;0,ISNUMBER('Aides'!S24)),1,0)</f>
        <v/>
      </c>
      <c r="B524">
        <f>B523+A524</f>
        <v/>
      </c>
      <c r="C524">
        <f>IF(521&gt;$B$1503,"",MATCH(521-0.5,$B$3:$B$1503,1))</f>
        <v/>
      </c>
      <c r="D524">
        <f>"CPR / First Aid – "&amp;IF(LEN(INDEX('Aides'!$A$4:$A$503,21))=0,"",INDEX('Aides'!$A$4:$A$503,21))</f>
        <v/>
      </c>
      <c r="E524">
        <f>IF(ISNUMBER(INDEX('Aides'!$S$4:$S$503,21)),TEXT(INDEX('Aides'!$S$4:$S$503,21),"yyyy-mm-dd"),"")</f>
        <v/>
      </c>
      <c r="F524">
        <f>"Training"</f>
        <v/>
      </c>
      <c r="G524">
        <f>"Medium"</f>
        <v/>
      </c>
      <c r="H524">
        <f>TRIM(IF(LEN(IF(LEN(INDEX('Aides'!$U$4:$U$503,21))=0,"",INDEX('Aides'!$U$4:$U$503,21)))=0,"","Owner: "&amp;IF(LEN(INDEX('Aides'!$U$4:$U$503,21))=0,"",INDEX('Aides'!$U$4:$U$503,21))&amp;". "))</f>
        <v/>
      </c>
      <c r="I524">
        <f>""</f>
        <v/>
      </c>
      <c r="J524">
        <f>IF(LEN(INDEX('Aides'!$V$4:$V$503,21))=0,"",INDEX('Aides'!$V$4:$V$503,21))</f>
        <v/>
      </c>
    </row>
    <row r="525">
      <c r="A525">
        <f>IF(AND(LEN('Aides'!A25)&gt;0,ISNUMBER('Aides'!S25)),1,0)</f>
        <v/>
      </c>
      <c r="B525">
        <f>B524+A525</f>
        <v/>
      </c>
      <c r="C525">
        <f>IF(522&gt;$B$1503,"",MATCH(522-0.5,$B$3:$B$1503,1))</f>
        <v/>
      </c>
      <c r="D525">
        <f>"CPR / First Aid – "&amp;IF(LEN(INDEX('Aides'!$A$4:$A$503,22))=0,"",INDEX('Aides'!$A$4:$A$503,22))</f>
        <v/>
      </c>
      <c r="E525">
        <f>IF(ISNUMBER(INDEX('Aides'!$S$4:$S$503,22)),TEXT(INDEX('Aides'!$S$4:$S$503,22),"yyyy-mm-dd"),"")</f>
        <v/>
      </c>
      <c r="F525">
        <f>"Training"</f>
        <v/>
      </c>
      <c r="G525">
        <f>"Medium"</f>
        <v/>
      </c>
      <c r="H525">
        <f>TRIM(IF(LEN(IF(LEN(INDEX('Aides'!$U$4:$U$503,22))=0,"",INDEX('Aides'!$U$4:$U$503,22)))=0,"","Owner: "&amp;IF(LEN(INDEX('Aides'!$U$4:$U$503,22))=0,"",INDEX('Aides'!$U$4:$U$503,22))&amp;". "))</f>
        <v/>
      </c>
      <c r="I525">
        <f>""</f>
        <v/>
      </c>
      <c r="J525">
        <f>IF(LEN(INDEX('Aides'!$V$4:$V$503,22))=0,"",INDEX('Aides'!$V$4:$V$503,22))</f>
        <v/>
      </c>
    </row>
    <row r="526">
      <c r="A526">
        <f>IF(AND(LEN('Aides'!A26)&gt;0,ISNUMBER('Aides'!S26)),1,0)</f>
        <v/>
      </c>
      <c r="B526">
        <f>B525+A526</f>
        <v/>
      </c>
      <c r="C526">
        <f>IF(523&gt;$B$1503,"",MATCH(523-0.5,$B$3:$B$1503,1))</f>
        <v/>
      </c>
      <c r="D526">
        <f>"CPR / First Aid – "&amp;IF(LEN(INDEX('Aides'!$A$4:$A$503,23))=0,"",INDEX('Aides'!$A$4:$A$503,23))</f>
        <v/>
      </c>
      <c r="E526">
        <f>IF(ISNUMBER(INDEX('Aides'!$S$4:$S$503,23)),TEXT(INDEX('Aides'!$S$4:$S$503,23),"yyyy-mm-dd"),"")</f>
        <v/>
      </c>
      <c r="F526">
        <f>"Training"</f>
        <v/>
      </c>
      <c r="G526">
        <f>"Medium"</f>
        <v/>
      </c>
      <c r="H526">
        <f>TRIM(IF(LEN(IF(LEN(INDEX('Aides'!$U$4:$U$503,23))=0,"",INDEX('Aides'!$U$4:$U$503,23)))=0,"","Owner: "&amp;IF(LEN(INDEX('Aides'!$U$4:$U$503,23))=0,"",INDEX('Aides'!$U$4:$U$503,23))&amp;". "))</f>
        <v/>
      </c>
      <c r="I526">
        <f>""</f>
        <v/>
      </c>
      <c r="J526">
        <f>IF(LEN(INDEX('Aides'!$V$4:$V$503,23))=0,"",INDEX('Aides'!$V$4:$V$503,23))</f>
        <v/>
      </c>
    </row>
    <row r="527">
      <c r="A527">
        <f>IF(AND(LEN('Aides'!A27)&gt;0,ISNUMBER('Aides'!S27)),1,0)</f>
        <v/>
      </c>
      <c r="B527">
        <f>B526+A527</f>
        <v/>
      </c>
      <c r="C527">
        <f>IF(524&gt;$B$1503,"",MATCH(524-0.5,$B$3:$B$1503,1))</f>
        <v/>
      </c>
      <c r="D527">
        <f>"CPR / First Aid – "&amp;IF(LEN(INDEX('Aides'!$A$4:$A$503,24))=0,"",INDEX('Aides'!$A$4:$A$503,24))</f>
        <v/>
      </c>
      <c r="E527">
        <f>IF(ISNUMBER(INDEX('Aides'!$S$4:$S$503,24)),TEXT(INDEX('Aides'!$S$4:$S$503,24),"yyyy-mm-dd"),"")</f>
        <v/>
      </c>
      <c r="F527">
        <f>"Training"</f>
        <v/>
      </c>
      <c r="G527">
        <f>"Medium"</f>
        <v/>
      </c>
      <c r="H527">
        <f>TRIM(IF(LEN(IF(LEN(INDEX('Aides'!$U$4:$U$503,24))=0,"",INDEX('Aides'!$U$4:$U$503,24)))=0,"","Owner: "&amp;IF(LEN(INDEX('Aides'!$U$4:$U$503,24))=0,"",INDEX('Aides'!$U$4:$U$503,24))&amp;". "))</f>
        <v/>
      </c>
      <c r="I527">
        <f>""</f>
        <v/>
      </c>
      <c r="J527">
        <f>IF(LEN(INDEX('Aides'!$V$4:$V$503,24))=0,"",INDEX('Aides'!$V$4:$V$503,24))</f>
        <v/>
      </c>
    </row>
    <row r="528">
      <c r="A528">
        <f>IF(AND(LEN('Aides'!A28)&gt;0,ISNUMBER('Aides'!S28)),1,0)</f>
        <v/>
      </c>
      <c r="B528">
        <f>B527+A528</f>
        <v/>
      </c>
      <c r="C528">
        <f>IF(525&gt;$B$1503,"",MATCH(525-0.5,$B$3:$B$1503,1))</f>
        <v/>
      </c>
      <c r="D528">
        <f>"CPR / First Aid – "&amp;IF(LEN(INDEX('Aides'!$A$4:$A$503,25))=0,"",INDEX('Aides'!$A$4:$A$503,25))</f>
        <v/>
      </c>
      <c r="E528">
        <f>IF(ISNUMBER(INDEX('Aides'!$S$4:$S$503,25)),TEXT(INDEX('Aides'!$S$4:$S$503,25),"yyyy-mm-dd"),"")</f>
        <v/>
      </c>
      <c r="F528">
        <f>"Training"</f>
        <v/>
      </c>
      <c r="G528">
        <f>"Medium"</f>
        <v/>
      </c>
      <c r="H528">
        <f>TRIM(IF(LEN(IF(LEN(INDEX('Aides'!$U$4:$U$503,25))=0,"",INDEX('Aides'!$U$4:$U$503,25)))=0,"","Owner: "&amp;IF(LEN(INDEX('Aides'!$U$4:$U$503,25))=0,"",INDEX('Aides'!$U$4:$U$503,25))&amp;". "))</f>
        <v/>
      </c>
      <c r="I528">
        <f>""</f>
        <v/>
      </c>
      <c r="J528">
        <f>IF(LEN(INDEX('Aides'!$V$4:$V$503,25))=0,"",INDEX('Aides'!$V$4:$V$503,25))</f>
        <v/>
      </c>
    </row>
    <row r="529">
      <c r="A529">
        <f>IF(AND(LEN('Aides'!A29)&gt;0,ISNUMBER('Aides'!S29)),1,0)</f>
        <v/>
      </c>
      <c r="B529">
        <f>B528+A529</f>
        <v/>
      </c>
      <c r="C529">
        <f>IF(526&gt;$B$1503,"",MATCH(526-0.5,$B$3:$B$1503,1))</f>
        <v/>
      </c>
      <c r="D529">
        <f>"CPR / First Aid – "&amp;IF(LEN(INDEX('Aides'!$A$4:$A$503,26))=0,"",INDEX('Aides'!$A$4:$A$503,26))</f>
        <v/>
      </c>
      <c r="E529">
        <f>IF(ISNUMBER(INDEX('Aides'!$S$4:$S$503,26)),TEXT(INDEX('Aides'!$S$4:$S$503,26),"yyyy-mm-dd"),"")</f>
        <v/>
      </c>
      <c r="F529">
        <f>"Training"</f>
        <v/>
      </c>
      <c r="G529">
        <f>"Medium"</f>
        <v/>
      </c>
      <c r="H529">
        <f>TRIM(IF(LEN(IF(LEN(INDEX('Aides'!$U$4:$U$503,26))=0,"",INDEX('Aides'!$U$4:$U$503,26)))=0,"","Owner: "&amp;IF(LEN(INDEX('Aides'!$U$4:$U$503,26))=0,"",INDEX('Aides'!$U$4:$U$503,26))&amp;". "))</f>
        <v/>
      </c>
      <c r="I529">
        <f>""</f>
        <v/>
      </c>
      <c r="J529">
        <f>IF(LEN(INDEX('Aides'!$V$4:$V$503,26))=0,"",INDEX('Aides'!$V$4:$V$503,26))</f>
        <v/>
      </c>
    </row>
    <row r="530">
      <c r="A530">
        <f>IF(AND(LEN('Aides'!A30)&gt;0,ISNUMBER('Aides'!S30)),1,0)</f>
        <v/>
      </c>
      <c r="B530">
        <f>B529+A530</f>
        <v/>
      </c>
      <c r="C530">
        <f>IF(527&gt;$B$1503,"",MATCH(527-0.5,$B$3:$B$1503,1))</f>
        <v/>
      </c>
      <c r="D530">
        <f>"CPR / First Aid – "&amp;IF(LEN(INDEX('Aides'!$A$4:$A$503,27))=0,"",INDEX('Aides'!$A$4:$A$503,27))</f>
        <v/>
      </c>
      <c r="E530">
        <f>IF(ISNUMBER(INDEX('Aides'!$S$4:$S$503,27)),TEXT(INDEX('Aides'!$S$4:$S$503,27),"yyyy-mm-dd"),"")</f>
        <v/>
      </c>
      <c r="F530">
        <f>"Training"</f>
        <v/>
      </c>
      <c r="G530">
        <f>"Medium"</f>
        <v/>
      </c>
      <c r="H530">
        <f>TRIM(IF(LEN(IF(LEN(INDEX('Aides'!$U$4:$U$503,27))=0,"",INDEX('Aides'!$U$4:$U$503,27)))=0,"","Owner: "&amp;IF(LEN(INDEX('Aides'!$U$4:$U$503,27))=0,"",INDEX('Aides'!$U$4:$U$503,27))&amp;". "))</f>
        <v/>
      </c>
      <c r="I530">
        <f>""</f>
        <v/>
      </c>
      <c r="J530">
        <f>IF(LEN(INDEX('Aides'!$V$4:$V$503,27))=0,"",INDEX('Aides'!$V$4:$V$503,27))</f>
        <v/>
      </c>
    </row>
    <row r="531">
      <c r="A531">
        <f>IF(AND(LEN('Aides'!A31)&gt;0,ISNUMBER('Aides'!S31)),1,0)</f>
        <v/>
      </c>
      <c r="B531">
        <f>B530+A531</f>
        <v/>
      </c>
      <c r="C531">
        <f>IF(528&gt;$B$1503,"",MATCH(528-0.5,$B$3:$B$1503,1))</f>
        <v/>
      </c>
      <c r="D531">
        <f>"CPR / First Aid – "&amp;IF(LEN(INDEX('Aides'!$A$4:$A$503,28))=0,"",INDEX('Aides'!$A$4:$A$503,28))</f>
        <v/>
      </c>
      <c r="E531">
        <f>IF(ISNUMBER(INDEX('Aides'!$S$4:$S$503,28)),TEXT(INDEX('Aides'!$S$4:$S$503,28),"yyyy-mm-dd"),"")</f>
        <v/>
      </c>
      <c r="F531">
        <f>"Training"</f>
        <v/>
      </c>
      <c r="G531">
        <f>"Medium"</f>
        <v/>
      </c>
      <c r="H531">
        <f>TRIM(IF(LEN(IF(LEN(INDEX('Aides'!$U$4:$U$503,28))=0,"",INDEX('Aides'!$U$4:$U$503,28)))=0,"","Owner: "&amp;IF(LEN(INDEX('Aides'!$U$4:$U$503,28))=0,"",INDEX('Aides'!$U$4:$U$503,28))&amp;". "))</f>
        <v/>
      </c>
      <c r="I531">
        <f>""</f>
        <v/>
      </c>
      <c r="J531">
        <f>IF(LEN(INDEX('Aides'!$V$4:$V$503,28))=0,"",INDEX('Aides'!$V$4:$V$503,28))</f>
        <v/>
      </c>
    </row>
    <row r="532">
      <c r="A532">
        <f>IF(AND(LEN('Aides'!A32)&gt;0,ISNUMBER('Aides'!S32)),1,0)</f>
        <v/>
      </c>
      <c r="B532">
        <f>B531+A532</f>
        <v/>
      </c>
      <c r="C532">
        <f>IF(529&gt;$B$1503,"",MATCH(529-0.5,$B$3:$B$1503,1))</f>
        <v/>
      </c>
      <c r="D532">
        <f>"CPR / First Aid – "&amp;IF(LEN(INDEX('Aides'!$A$4:$A$503,29))=0,"",INDEX('Aides'!$A$4:$A$503,29))</f>
        <v/>
      </c>
      <c r="E532">
        <f>IF(ISNUMBER(INDEX('Aides'!$S$4:$S$503,29)),TEXT(INDEX('Aides'!$S$4:$S$503,29),"yyyy-mm-dd"),"")</f>
        <v/>
      </c>
      <c r="F532">
        <f>"Training"</f>
        <v/>
      </c>
      <c r="G532">
        <f>"Medium"</f>
        <v/>
      </c>
      <c r="H532">
        <f>TRIM(IF(LEN(IF(LEN(INDEX('Aides'!$U$4:$U$503,29))=0,"",INDEX('Aides'!$U$4:$U$503,29)))=0,"","Owner: "&amp;IF(LEN(INDEX('Aides'!$U$4:$U$503,29))=0,"",INDEX('Aides'!$U$4:$U$503,29))&amp;". "))</f>
        <v/>
      </c>
      <c r="I532">
        <f>""</f>
        <v/>
      </c>
      <c r="J532">
        <f>IF(LEN(INDEX('Aides'!$V$4:$V$503,29))=0,"",INDEX('Aides'!$V$4:$V$503,29))</f>
        <v/>
      </c>
    </row>
    <row r="533">
      <c r="A533">
        <f>IF(AND(LEN('Aides'!A33)&gt;0,ISNUMBER('Aides'!S33)),1,0)</f>
        <v/>
      </c>
      <c r="B533">
        <f>B532+A533</f>
        <v/>
      </c>
      <c r="C533">
        <f>IF(530&gt;$B$1503,"",MATCH(530-0.5,$B$3:$B$1503,1))</f>
        <v/>
      </c>
      <c r="D533">
        <f>"CPR / First Aid – "&amp;IF(LEN(INDEX('Aides'!$A$4:$A$503,30))=0,"",INDEX('Aides'!$A$4:$A$503,30))</f>
        <v/>
      </c>
      <c r="E533">
        <f>IF(ISNUMBER(INDEX('Aides'!$S$4:$S$503,30)),TEXT(INDEX('Aides'!$S$4:$S$503,30),"yyyy-mm-dd"),"")</f>
        <v/>
      </c>
      <c r="F533">
        <f>"Training"</f>
        <v/>
      </c>
      <c r="G533">
        <f>"Medium"</f>
        <v/>
      </c>
      <c r="H533">
        <f>TRIM(IF(LEN(IF(LEN(INDEX('Aides'!$U$4:$U$503,30))=0,"",INDEX('Aides'!$U$4:$U$503,30)))=0,"","Owner: "&amp;IF(LEN(INDEX('Aides'!$U$4:$U$503,30))=0,"",INDEX('Aides'!$U$4:$U$503,30))&amp;". "))</f>
        <v/>
      </c>
      <c r="I533">
        <f>""</f>
        <v/>
      </c>
      <c r="J533">
        <f>IF(LEN(INDEX('Aides'!$V$4:$V$503,30))=0,"",INDEX('Aides'!$V$4:$V$503,30))</f>
        <v/>
      </c>
    </row>
    <row r="534">
      <c r="A534">
        <f>IF(AND(LEN('Aides'!A34)&gt;0,ISNUMBER('Aides'!S34)),1,0)</f>
        <v/>
      </c>
      <c r="B534">
        <f>B533+A534</f>
        <v/>
      </c>
      <c r="C534">
        <f>IF(531&gt;$B$1503,"",MATCH(531-0.5,$B$3:$B$1503,1))</f>
        <v/>
      </c>
      <c r="D534">
        <f>"CPR / First Aid – "&amp;IF(LEN(INDEX('Aides'!$A$4:$A$503,31))=0,"",INDEX('Aides'!$A$4:$A$503,31))</f>
        <v/>
      </c>
      <c r="E534">
        <f>IF(ISNUMBER(INDEX('Aides'!$S$4:$S$503,31)),TEXT(INDEX('Aides'!$S$4:$S$503,31),"yyyy-mm-dd"),"")</f>
        <v/>
      </c>
      <c r="F534">
        <f>"Training"</f>
        <v/>
      </c>
      <c r="G534">
        <f>"Medium"</f>
        <v/>
      </c>
      <c r="H534">
        <f>TRIM(IF(LEN(IF(LEN(INDEX('Aides'!$U$4:$U$503,31))=0,"",INDEX('Aides'!$U$4:$U$503,31)))=0,"","Owner: "&amp;IF(LEN(INDEX('Aides'!$U$4:$U$503,31))=0,"",INDEX('Aides'!$U$4:$U$503,31))&amp;". "))</f>
        <v/>
      </c>
      <c r="I534">
        <f>""</f>
        <v/>
      </c>
      <c r="J534">
        <f>IF(LEN(INDEX('Aides'!$V$4:$V$503,31))=0,"",INDEX('Aides'!$V$4:$V$503,31))</f>
        <v/>
      </c>
    </row>
    <row r="535">
      <c r="A535">
        <f>IF(AND(LEN('Aides'!A35)&gt;0,ISNUMBER('Aides'!S35)),1,0)</f>
        <v/>
      </c>
      <c r="B535">
        <f>B534+A535</f>
        <v/>
      </c>
      <c r="C535">
        <f>IF(532&gt;$B$1503,"",MATCH(532-0.5,$B$3:$B$1503,1))</f>
        <v/>
      </c>
      <c r="D535">
        <f>"CPR / First Aid – "&amp;IF(LEN(INDEX('Aides'!$A$4:$A$503,32))=0,"",INDEX('Aides'!$A$4:$A$503,32))</f>
        <v/>
      </c>
      <c r="E535">
        <f>IF(ISNUMBER(INDEX('Aides'!$S$4:$S$503,32)),TEXT(INDEX('Aides'!$S$4:$S$503,32),"yyyy-mm-dd"),"")</f>
        <v/>
      </c>
      <c r="F535">
        <f>"Training"</f>
        <v/>
      </c>
      <c r="G535">
        <f>"Medium"</f>
        <v/>
      </c>
      <c r="H535">
        <f>TRIM(IF(LEN(IF(LEN(INDEX('Aides'!$U$4:$U$503,32))=0,"",INDEX('Aides'!$U$4:$U$503,32)))=0,"","Owner: "&amp;IF(LEN(INDEX('Aides'!$U$4:$U$503,32))=0,"",INDEX('Aides'!$U$4:$U$503,32))&amp;". "))</f>
        <v/>
      </c>
      <c r="I535">
        <f>""</f>
        <v/>
      </c>
      <c r="J535">
        <f>IF(LEN(INDEX('Aides'!$V$4:$V$503,32))=0,"",INDEX('Aides'!$V$4:$V$503,32))</f>
        <v/>
      </c>
    </row>
    <row r="536">
      <c r="A536">
        <f>IF(AND(LEN('Aides'!A36)&gt;0,ISNUMBER('Aides'!S36)),1,0)</f>
        <v/>
      </c>
      <c r="B536">
        <f>B535+A536</f>
        <v/>
      </c>
      <c r="C536">
        <f>IF(533&gt;$B$1503,"",MATCH(533-0.5,$B$3:$B$1503,1))</f>
        <v/>
      </c>
      <c r="D536">
        <f>"CPR / First Aid – "&amp;IF(LEN(INDEX('Aides'!$A$4:$A$503,33))=0,"",INDEX('Aides'!$A$4:$A$503,33))</f>
        <v/>
      </c>
      <c r="E536">
        <f>IF(ISNUMBER(INDEX('Aides'!$S$4:$S$503,33)),TEXT(INDEX('Aides'!$S$4:$S$503,33),"yyyy-mm-dd"),"")</f>
        <v/>
      </c>
      <c r="F536">
        <f>"Training"</f>
        <v/>
      </c>
      <c r="G536">
        <f>"Medium"</f>
        <v/>
      </c>
      <c r="H536">
        <f>TRIM(IF(LEN(IF(LEN(INDEX('Aides'!$U$4:$U$503,33))=0,"",INDEX('Aides'!$U$4:$U$503,33)))=0,"","Owner: "&amp;IF(LEN(INDEX('Aides'!$U$4:$U$503,33))=0,"",INDEX('Aides'!$U$4:$U$503,33))&amp;". "))</f>
        <v/>
      </c>
      <c r="I536">
        <f>""</f>
        <v/>
      </c>
      <c r="J536">
        <f>IF(LEN(INDEX('Aides'!$V$4:$V$503,33))=0,"",INDEX('Aides'!$V$4:$V$503,33))</f>
        <v/>
      </c>
    </row>
    <row r="537">
      <c r="A537">
        <f>IF(AND(LEN('Aides'!A37)&gt;0,ISNUMBER('Aides'!S37)),1,0)</f>
        <v/>
      </c>
      <c r="B537">
        <f>B536+A537</f>
        <v/>
      </c>
      <c r="C537">
        <f>IF(534&gt;$B$1503,"",MATCH(534-0.5,$B$3:$B$1503,1))</f>
        <v/>
      </c>
      <c r="D537">
        <f>"CPR / First Aid – "&amp;IF(LEN(INDEX('Aides'!$A$4:$A$503,34))=0,"",INDEX('Aides'!$A$4:$A$503,34))</f>
        <v/>
      </c>
      <c r="E537">
        <f>IF(ISNUMBER(INDEX('Aides'!$S$4:$S$503,34)),TEXT(INDEX('Aides'!$S$4:$S$503,34),"yyyy-mm-dd"),"")</f>
        <v/>
      </c>
      <c r="F537">
        <f>"Training"</f>
        <v/>
      </c>
      <c r="G537">
        <f>"Medium"</f>
        <v/>
      </c>
      <c r="H537">
        <f>TRIM(IF(LEN(IF(LEN(INDEX('Aides'!$U$4:$U$503,34))=0,"",INDEX('Aides'!$U$4:$U$503,34)))=0,"","Owner: "&amp;IF(LEN(INDEX('Aides'!$U$4:$U$503,34))=0,"",INDEX('Aides'!$U$4:$U$503,34))&amp;". "))</f>
        <v/>
      </c>
      <c r="I537">
        <f>""</f>
        <v/>
      </c>
      <c r="J537">
        <f>IF(LEN(INDEX('Aides'!$V$4:$V$503,34))=0,"",INDEX('Aides'!$V$4:$V$503,34))</f>
        <v/>
      </c>
    </row>
    <row r="538">
      <c r="A538">
        <f>IF(AND(LEN('Aides'!A38)&gt;0,ISNUMBER('Aides'!S38)),1,0)</f>
        <v/>
      </c>
      <c r="B538">
        <f>B537+A538</f>
        <v/>
      </c>
      <c r="C538">
        <f>IF(535&gt;$B$1503,"",MATCH(535-0.5,$B$3:$B$1503,1))</f>
        <v/>
      </c>
      <c r="D538">
        <f>"CPR / First Aid – "&amp;IF(LEN(INDEX('Aides'!$A$4:$A$503,35))=0,"",INDEX('Aides'!$A$4:$A$503,35))</f>
        <v/>
      </c>
      <c r="E538">
        <f>IF(ISNUMBER(INDEX('Aides'!$S$4:$S$503,35)),TEXT(INDEX('Aides'!$S$4:$S$503,35),"yyyy-mm-dd"),"")</f>
        <v/>
      </c>
      <c r="F538">
        <f>"Training"</f>
        <v/>
      </c>
      <c r="G538">
        <f>"Medium"</f>
        <v/>
      </c>
      <c r="H538">
        <f>TRIM(IF(LEN(IF(LEN(INDEX('Aides'!$U$4:$U$503,35))=0,"",INDEX('Aides'!$U$4:$U$503,35)))=0,"","Owner: "&amp;IF(LEN(INDEX('Aides'!$U$4:$U$503,35))=0,"",INDEX('Aides'!$U$4:$U$503,35))&amp;". "))</f>
        <v/>
      </c>
      <c r="I538">
        <f>""</f>
        <v/>
      </c>
      <c r="J538">
        <f>IF(LEN(INDEX('Aides'!$V$4:$V$503,35))=0,"",INDEX('Aides'!$V$4:$V$503,35))</f>
        <v/>
      </c>
    </row>
    <row r="539">
      <c r="A539">
        <f>IF(AND(LEN('Aides'!A39)&gt;0,ISNUMBER('Aides'!S39)),1,0)</f>
        <v/>
      </c>
      <c r="B539">
        <f>B538+A539</f>
        <v/>
      </c>
      <c r="C539">
        <f>IF(536&gt;$B$1503,"",MATCH(536-0.5,$B$3:$B$1503,1))</f>
        <v/>
      </c>
      <c r="D539">
        <f>"CPR / First Aid – "&amp;IF(LEN(INDEX('Aides'!$A$4:$A$503,36))=0,"",INDEX('Aides'!$A$4:$A$503,36))</f>
        <v/>
      </c>
      <c r="E539">
        <f>IF(ISNUMBER(INDEX('Aides'!$S$4:$S$503,36)),TEXT(INDEX('Aides'!$S$4:$S$503,36),"yyyy-mm-dd"),"")</f>
        <v/>
      </c>
      <c r="F539">
        <f>"Training"</f>
        <v/>
      </c>
      <c r="G539">
        <f>"Medium"</f>
        <v/>
      </c>
      <c r="H539">
        <f>TRIM(IF(LEN(IF(LEN(INDEX('Aides'!$U$4:$U$503,36))=0,"",INDEX('Aides'!$U$4:$U$503,36)))=0,"","Owner: "&amp;IF(LEN(INDEX('Aides'!$U$4:$U$503,36))=0,"",INDEX('Aides'!$U$4:$U$503,36))&amp;". "))</f>
        <v/>
      </c>
      <c r="I539">
        <f>""</f>
        <v/>
      </c>
      <c r="J539">
        <f>IF(LEN(INDEX('Aides'!$V$4:$V$503,36))=0,"",INDEX('Aides'!$V$4:$V$503,36))</f>
        <v/>
      </c>
    </row>
    <row r="540">
      <c r="A540">
        <f>IF(AND(LEN('Aides'!A40)&gt;0,ISNUMBER('Aides'!S40)),1,0)</f>
        <v/>
      </c>
      <c r="B540">
        <f>B539+A540</f>
        <v/>
      </c>
      <c r="C540">
        <f>IF(537&gt;$B$1503,"",MATCH(537-0.5,$B$3:$B$1503,1))</f>
        <v/>
      </c>
      <c r="D540">
        <f>"CPR / First Aid – "&amp;IF(LEN(INDEX('Aides'!$A$4:$A$503,37))=0,"",INDEX('Aides'!$A$4:$A$503,37))</f>
        <v/>
      </c>
      <c r="E540">
        <f>IF(ISNUMBER(INDEX('Aides'!$S$4:$S$503,37)),TEXT(INDEX('Aides'!$S$4:$S$503,37),"yyyy-mm-dd"),"")</f>
        <v/>
      </c>
      <c r="F540">
        <f>"Training"</f>
        <v/>
      </c>
      <c r="G540">
        <f>"Medium"</f>
        <v/>
      </c>
      <c r="H540">
        <f>TRIM(IF(LEN(IF(LEN(INDEX('Aides'!$U$4:$U$503,37))=0,"",INDEX('Aides'!$U$4:$U$503,37)))=0,"","Owner: "&amp;IF(LEN(INDEX('Aides'!$U$4:$U$503,37))=0,"",INDEX('Aides'!$U$4:$U$503,37))&amp;". "))</f>
        <v/>
      </c>
      <c r="I540">
        <f>""</f>
        <v/>
      </c>
      <c r="J540">
        <f>IF(LEN(INDEX('Aides'!$V$4:$V$503,37))=0,"",INDEX('Aides'!$V$4:$V$503,37))</f>
        <v/>
      </c>
    </row>
    <row r="541">
      <c r="A541">
        <f>IF(AND(LEN('Aides'!A41)&gt;0,ISNUMBER('Aides'!S41)),1,0)</f>
        <v/>
      </c>
      <c r="B541">
        <f>B540+A541</f>
        <v/>
      </c>
      <c r="C541">
        <f>IF(538&gt;$B$1503,"",MATCH(538-0.5,$B$3:$B$1503,1))</f>
        <v/>
      </c>
      <c r="D541">
        <f>"CPR / First Aid – "&amp;IF(LEN(INDEX('Aides'!$A$4:$A$503,38))=0,"",INDEX('Aides'!$A$4:$A$503,38))</f>
        <v/>
      </c>
      <c r="E541">
        <f>IF(ISNUMBER(INDEX('Aides'!$S$4:$S$503,38)),TEXT(INDEX('Aides'!$S$4:$S$503,38),"yyyy-mm-dd"),"")</f>
        <v/>
      </c>
      <c r="F541">
        <f>"Training"</f>
        <v/>
      </c>
      <c r="G541">
        <f>"Medium"</f>
        <v/>
      </c>
      <c r="H541">
        <f>TRIM(IF(LEN(IF(LEN(INDEX('Aides'!$U$4:$U$503,38))=0,"",INDEX('Aides'!$U$4:$U$503,38)))=0,"","Owner: "&amp;IF(LEN(INDEX('Aides'!$U$4:$U$503,38))=0,"",INDEX('Aides'!$U$4:$U$503,38))&amp;". "))</f>
        <v/>
      </c>
      <c r="I541">
        <f>""</f>
        <v/>
      </c>
      <c r="J541">
        <f>IF(LEN(INDEX('Aides'!$V$4:$V$503,38))=0,"",INDEX('Aides'!$V$4:$V$503,38))</f>
        <v/>
      </c>
    </row>
    <row r="542">
      <c r="A542">
        <f>IF(AND(LEN('Aides'!A42)&gt;0,ISNUMBER('Aides'!S42)),1,0)</f>
        <v/>
      </c>
      <c r="B542">
        <f>B541+A542</f>
        <v/>
      </c>
      <c r="C542">
        <f>IF(539&gt;$B$1503,"",MATCH(539-0.5,$B$3:$B$1503,1))</f>
        <v/>
      </c>
      <c r="D542">
        <f>"CPR / First Aid – "&amp;IF(LEN(INDEX('Aides'!$A$4:$A$503,39))=0,"",INDEX('Aides'!$A$4:$A$503,39))</f>
        <v/>
      </c>
      <c r="E542">
        <f>IF(ISNUMBER(INDEX('Aides'!$S$4:$S$503,39)),TEXT(INDEX('Aides'!$S$4:$S$503,39),"yyyy-mm-dd"),"")</f>
        <v/>
      </c>
      <c r="F542">
        <f>"Training"</f>
        <v/>
      </c>
      <c r="G542">
        <f>"Medium"</f>
        <v/>
      </c>
      <c r="H542">
        <f>TRIM(IF(LEN(IF(LEN(INDEX('Aides'!$U$4:$U$503,39))=0,"",INDEX('Aides'!$U$4:$U$503,39)))=0,"","Owner: "&amp;IF(LEN(INDEX('Aides'!$U$4:$U$503,39))=0,"",INDEX('Aides'!$U$4:$U$503,39))&amp;". "))</f>
        <v/>
      </c>
      <c r="I542">
        <f>""</f>
        <v/>
      </c>
      <c r="J542">
        <f>IF(LEN(INDEX('Aides'!$V$4:$V$503,39))=0,"",INDEX('Aides'!$V$4:$V$503,39))</f>
        <v/>
      </c>
    </row>
    <row r="543">
      <c r="A543">
        <f>IF(AND(LEN('Aides'!A43)&gt;0,ISNUMBER('Aides'!S43)),1,0)</f>
        <v/>
      </c>
      <c r="B543">
        <f>B542+A543</f>
        <v/>
      </c>
      <c r="C543">
        <f>IF(540&gt;$B$1503,"",MATCH(540-0.5,$B$3:$B$1503,1))</f>
        <v/>
      </c>
      <c r="D543">
        <f>"CPR / First Aid – "&amp;IF(LEN(INDEX('Aides'!$A$4:$A$503,40))=0,"",INDEX('Aides'!$A$4:$A$503,40))</f>
        <v/>
      </c>
      <c r="E543">
        <f>IF(ISNUMBER(INDEX('Aides'!$S$4:$S$503,40)),TEXT(INDEX('Aides'!$S$4:$S$503,40),"yyyy-mm-dd"),"")</f>
        <v/>
      </c>
      <c r="F543">
        <f>"Training"</f>
        <v/>
      </c>
      <c r="G543">
        <f>"Medium"</f>
        <v/>
      </c>
      <c r="H543">
        <f>TRIM(IF(LEN(IF(LEN(INDEX('Aides'!$U$4:$U$503,40))=0,"",INDEX('Aides'!$U$4:$U$503,40)))=0,"","Owner: "&amp;IF(LEN(INDEX('Aides'!$U$4:$U$503,40))=0,"",INDEX('Aides'!$U$4:$U$503,40))&amp;". "))</f>
        <v/>
      </c>
      <c r="I543">
        <f>""</f>
        <v/>
      </c>
      <c r="J543">
        <f>IF(LEN(INDEX('Aides'!$V$4:$V$503,40))=0,"",INDEX('Aides'!$V$4:$V$503,40))</f>
        <v/>
      </c>
    </row>
    <row r="544">
      <c r="A544">
        <f>IF(AND(LEN('Aides'!A44)&gt;0,ISNUMBER('Aides'!S44)),1,0)</f>
        <v/>
      </c>
      <c r="B544">
        <f>B543+A544</f>
        <v/>
      </c>
      <c r="C544">
        <f>IF(541&gt;$B$1503,"",MATCH(541-0.5,$B$3:$B$1503,1))</f>
        <v/>
      </c>
      <c r="D544">
        <f>"CPR / First Aid – "&amp;IF(LEN(INDEX('Aides'!$A$4:$A$503,41))=0,"",INDEX('Aides'!$A$4:$A$503,41))</f>
        <v/>
      </c>
      <c r="E544">
        <f>IF(ISNUMBER(INDEX('Aides'!$S$4:$S$503,41)),TEXT(INDEX('Aides'!$S$4:$S$503,41),"yyyy-mm-dd"),"")</f>
        <v/>
      </c>
      <c r="F544">
        <f>"Training"</f>
        <v/>
      </c>
      <c r="G544">
        <f>"Medium"</f>
        <v/>
      </c>
      <c r="H544">
        <f>TRIM(IF(LEN(IF(LEN(INDEX('Aides'!$U$4:$U$503,41))=0,"",INDEX('Aides'!$U$4:$U$503,41)))=0,"","Owner: "&amp;IF(LEN(INDEX('Aides'!$U$4:$U$503,41))=0,"",INDEX('Aides'!$U$4:$U$503,41))&amp;". "))</f>
        <v/>
      </c>
      <c r="I544">
        <f>""</f>
        <v/>
      </c>
      <c r="J544">
        <f>IF(LEN(INDEX('Aides'!$V$4:$V$503,41))=0,"",INDEX('Aides'!$V$4:$V$503,41))</f>
        <v/>
      </c>
    </row>
    <row r="545">
      <c r="A545">
        <f>IF(AND(LEN('Aides'!A45)&gt;0,ISNUMBER('Aides'!S45)),1,0)</f>
        <v/>
      </c>
      <c r="B545">
        <f>B544+A545</f>
        <v/>
      </c>
      <c r="C545">
        <f>IF(542&gt;$B$1503,"",MATCH(542-0.5,$B$3:$B$1503,1))</f>
        <v/>
      </c>
      <c r="D545">
        <f>"CPR / First Aid – "&amp;IF(LEN(INDEX('Aides'!$A$4:$A$503,42))=0,"",INDEX('Aides'!$A$4:$A$503,42))</f>
        <v/>
      </c>
      <c r="E545">
        <f>IF(ISNUMBER(INDEX('Aides'!$S$4:$S$503,42)),TEXT(INDEX('Aides'!$S$4:$S$503,42),"yyyy-mm-dd"),"")</f>
        <v/>
      </c>
      <c r="F545">
        <f>"Training"</f>
        <v/>
      </c>
      <c r="G545">
        <f>"Medium"</f>
        <v/>
      </c>
      <c r="H545">
        <f>TRIM(IF(LEN(IF(LEN(INDEX('Aides'!$U$4:$U$503,42))=0,"",INDEX('Aides'!$U$4:$U$503,42)))=0,"","Owner: "&amp;IF(LEN(INDEX('Aides'!$U$4:$U$503,42))=0,"",INDEX('Aides'!$U$4:$U$503,42))&amp;". "))</f>
        <v/>
      </c>
      <c r="I545">
        <f>""</f>
        <v/>
      </c>
      <c r="J545">
        <f>IF(LEN(INDEX('Aides'!$V$4:$V$503,42))=0,"",INDEX('Aides'!$V$4:$V$503,42))</f>
        <v/>
      </c>
    </row>
    <row r="546">
      <c r="A546">
        <f>IF(AND(LEN('Aides'!A46)&gt;0,ISNUMBER('Aides'!S46)),1,0)</f>
        <v/>
      </c>
      <c r="B546">
        <f>B545+A546</f>
        <v/>
      </c>
      <c r="C546">
        <f>IF(543&gt;$B$1503,"",MATCH(543-0.5,$B$3:$B$1503,1))</f>
        <v/>
      </c>
      <c r="D546">
        <f>"CPR / First Aid – "&amp;IF(LEN(INDEX('Aides'!$A$4:$A$503,43))=0,"",INDEX('Aides'!$A$4:$A$503,43))</f>
        <v/>
      </c>
      <c r="E546">
        <f>IF(ISNUMBER(INDEX('Aides'!$S$4:$S$503,43)),TEXT(INDEX('Aides'!$S$4:$S$503,43),"yyyy-mm-dd"),"")</f>
        <v/>
      </c>
      <c r="F546">
        <f>"Training"</f>
        <v/>
      </c>
      <c r="G546">
        <f>"Medium"</f>
        <v/>
      </c>
      <c r="H546">
        <f>TRIM(IF(LEN(IF(LEN(INDEX('Aides'!$U$4:$U$503,43))=0,"",INDEX('Aides'!$U$4:$U$503,43)))=0,"","Owner: "&amp;IF(LEN(INDEX('Aides'!$U$4:$U$503,43))=0,"",INDEX('Aides'!$U$4:$U$503,43))&amp;". "))</f>
        <v/>
      </c>
      <c r="I546">
        <f>""</f>
        <v/>
      </c>
      <c r="J546">
        <f>IF(LEN(INDEX('Aides'!$V$4:$V$503,43))=0,"",INDEX('Aides'!$V$4:$V$503,43))</f>
        <v/>
      </c>
    </row>
    <row r="547">
      <c r="A547">
        <f>IF(AND(LEN('Aides'!A47)&gt;0,ISNUMBER('Aides'!S47)),1,0)</f>
        <v/>
      </c>
      <c r="B547">
        <f>B546+A547</f>
        <v/>
      </c>
      <c r="C547">
        <f>IF(544&gt;$B$1503,"",MATCH(544-0.5,$B$3:$B$1503,1))</f>
        <v/>
      </c>
      <c r="D547">
        <f>"CPR / First Aid – "&amp;IF(LEN(INDEX('Aides'!$A$4:$A$503,44))=0,"",INDEX('Aides'!$A$4:$A$503,44))</f>
        <v/>
      </c>
      <c r="E547">
        <f>IF(ISNUMBER(INDEX('Aides'!$S$4:$S$503,44)),TEXT(INDEX('Aides'!$S$4:$S$503,44),"yyyy-mm-dd"),"")</f>
        <v/>
      </c>
      <c r="F547">
        <f>"Training"</f>
        <v/>
      </c>
      <c r="G547">
        <f>"Medium"</f>
        <v/>
      </c>
      <c r="H547">
        <f>TRIM(IF(LEN(IF(LEN(INDEX('Aides'!$U$4:$U$503,44))=0,"",INDEX('Aides'!$U$4:$U$503,44)))=0,"","Owner: "&amp;IF(LEN(INDEX('Aides'!$U$4:$U$503,44))=0,"",INDEX('Aides'!$U$4:$U$503,44))&amp;". "))</f>
        <v/>
      </c>
      <c r="I547">
        <f>""</f>
        <v/>
      </c>
      <c r="J547">
        <f>IF(LEN(INDEX('Aides'!$V$4:$V$503,44))=0,"",INDEX('Aides'!$V$4:$V$503,44))</f>
        <v/>
      </c>
    </row>
    <row r="548">
      <c r="A548">
        <f>IF(AND(LEN('Aides'!A48)&gt;0,ISNUMBER('Aides'!S48)),1,0)</f>
        <v/>
      </c>
      <c r="B548">
        <f>B547+A548</f>
        <v/>
      </c>
      <c r="C548">
        <f>IF(545&gt;$B$1503,"",MATCH(545-0.5,$B$3:$B$1503,1))</f>
        <v/>
      </c>
      <c r="D548">
        <f>"CPR / First Aid – "&amp;IF(LEN(INDEX('Aides'!$A$4:$A$503,45))=0,"",INDEX('Aides'!$A$4:$A$503,45))</f>
        <v/>
      </c>
      <c r="E548">
        <f>IF(ISNUMBER(INDEX('Aides'!$S$4:$S$503,45)),TEXT(INDEX('Aides'!$S$4:$S$503,45),"yyyy-mm-dd"),"")</f>
        <v/>
      </c>
      <c r="F548">
        <f>"Training"</f>
        <v/>
      </c>
      <c r="G548">
        <f>"Medium"</f>
        <v/>
      </c>
      <c r="H548">
        <f>TRIM(IF(LEN(IF(LEN(INDEX('Aides'!$U$4:$U$503,45))=0,"",INDEX('Aides'!$U$4:$U$503,45)))=0,"","Owner: "&amp;IF(LEN(INDEX('Aides'!$U$4:$U$503,45))=0,"",INDEX('Aides'!$U$4:$U$503,45))&amp;". "))</f>
        <v/>
      </c>
      <c r="I548">
        <f>""</f>
        <v/>
      </c>
      <c r="J548">
        <f>IF(LEN(INDEX('Aides'!$V$4:$V$503,45))=0,"",INDEX('Aides'!$V$4:$V$503,45))</f>
        <v/>
      </c>
    </row>
    <row r="549">
      <c r="A549">
        <f>IF(AND(LEN('Aides'!A49)&gt;0,ISNUMBER('Aides'!S49)),1,0)</f>
        <v/>
      </c>
      <c r="B549">
        <f>B548+A549</f>
        <v/>
      </c>
      <c r="C549">
        <f>IF(546&gt;$B$1503,"",MATCH(546-0.5,$B$3:$B$1503,1))</f>
        <v/>
      </c>
      <c r="D549">
        <f>"CPR / First Aid – "&amp;IF(LEN(INDEX('Aides'!$A$4:$A$503,46))=0,"",INDEX('Aides'!$A$4:$A$503,46))</f>
        <v/>
      </c>
      <c r="E549">
        <f>IF(ISNUMBER(INDEX('Aides'!$S$4:$S$503,46)),TEXT(INDEX('Aides'!$S$4:$S$503,46),"yyyy-mm-dd"),"")</f>
        <v/>
      </c>
      <c r="F549">
        <f>"Training"</f>
        <v/>
      </c>
      <c r="G549">
        <f>"Medium"</f>
        <v/>
      </c>
      <c r="H549">
        <f>TRIM(IF(LEN(IF(LEN(INDEX('Aides'!$U$4:$U$503,46))=0,"",INDEX('Aides'!$U$4:$U$503,46)))=0,"","Owner: "&amp;IF(LEN(INDEX('Aides'!$U$4:$U$503,46))=0,"",INDEX('Aides'!$U$4:$U$503,46))&amp;". "))</f>
        <v/>
      </c>
      <c r="I549">
        <f>""</f>
        <v/>
      </c>
      <c r="J549">
        <f>IF(LEN(INDEX('Aides'!$V$4:$V$503,46))=0,"",INDEX('Aides'!$V$4:$V$503,46))</f>
        <v/>
      </c>
    </row>
    <row r="550">
      <c r="A550">
        <f>IF(AND(LEN('Aides'!A50)&gt;0,ISNUMBER('Aides'!S50)),1,0)</f>
        <v/>
      </c>
      <c r="B550">
        <f>B549+A550</f>
        <v/>
      </c>
      <c r="C550">
        <f>IF(547&gt;$B$1503,"",MATCH(547-0.5,$B$3:$B$1503,1))</f>
        <v/>
      </c>
      <c r="D550">
        <f>"CPR / First Aid – "&amp;IF(LEN(INDEX('Aides'!$A$4:$A$503,47))=0,"",INDEX('Aides'!$A$4:$A$503,47))</f>
        <v/>
      </c>
      <c r="E550">
        <f>IF(ISNUMBER(INDEX('Aides'!$S$4:$S$503,47)),TEXT(INDEX('Aides'!$S$4:$S$503,47),"yyyy-mm-dd"),"")</f>
        <v/>
      </c>
      <c r="F550">
        <f>"Training"</f>
        <v/>
      </c>
      <c r="G550">
        <f>"Medium"</f>
        <v/>
      </c>
      <c r="H550">
        <f>TRIM(IF(LEN(IF(LEN(INDEX('Aides'!$U$4:$U$503,47))=0,"",INDEX('Aides'!$U$4:$U$503,47)))=0,"","Owner: "&amp;IF(LEN(INDEX('Aides'!$U$4:$U$503,47))=0,"",INDEX('Aides'!$U$4:$U$503,47))&amp;". "))</f>
        <v/>
      </c>
      <c r="I550">
        <f>""</f>
        <v/>
      </c>
      <c r="J550">
        <f>IF(LEN(INDEX('Aides'!$V$4:$V$503,47))=0,"",INDEX('Aides'!$V$4:$V$503,47))</f>
        <v/>
      </c>
    </row>
    <row r="551">
      <c r="A551">
        <f>IF(AND(LEN('Aides'!A51)&gt;0,ISNUMBER('Aides'!S51)),1,0)</f>
        <v/>
      </c>
      <c r="B551">
        <f>B550+A551</f>
        <v/>
      </c>
      <c r="C551">
        <f>IF(548&gt;$B$1503,"",MATCH(548-0.5,$B$3:$B$1503,1))</f>
        <v/>
      </c>
      <c r="D551">
        <f>"CPR / First Aid – "&amp;IF(LEN(INDEX('Aides'!$A$4:$A$503,48))=0,"",INDEX('Aides'!$A$4:$A$503,48))</f>
        <v/>
      </c>
      <c r="E551">
        <f>IF(ISNUMBER(INDEX('Aides'!$S$4:$S$503,48)),TEXT(INDEX('Aides'!$S$4:$S$503,48),"yyyy-mm-dd"),"")</f>
        <v/>
      </c>
      <c r="F551">
        <f>"Training"</f>
        <v/>
      </c>
      <c r="G551">
        <f>"Medium"</f>
        <v/>
      </c>
      <c r="H551">
        <f>TRIM(IF(LEN(IF(LEN(INDEX('Aides'!$U$4:$U$503,48))=0,"",INDEX('Aides'!$U$4:$U$503,48)))=0,"","Owner: "&amp;IF(LEN(INDEX('Aides'!$U$4:$U$503,48))=0,"",INDEX('Aides'!$U$4:$U$503,48))&amp;". "))</f>
        <v/>
      </c>
      <c r="I551">
        <f>""</f>
        <v/>
      </c>
      <c r="J551">
        <f>IF(LEN(INDEX('Aides'!$V$4:$V$503,48))=0,"",INDEX('Aides'!$V$4:$V$503,48))</f>
        <v/>
      </c>
    </row>
    <row r="552">
      <c r="A552">
        <f>IF(AND(LEN('Aides'!A52)&gt;0,ISNUMBER('Aides'!S52)),1,0)</f>
        <v/>
      </c>
      <c r="B552">
        <f>B551+A552</f>
        <v/>
      </c>
      <c r="C552">
        <f>IF(549&gt;$B$1503,"",MATCH(549-0.5,$B$3:$B$1503,1))</f>
        <v/>
      </c>
      <c r="D552">
        <f>"CPR / First Aid – "&amp;IF(LEN(INDEX('Aides'!$A$4:$A$503,49))=0,"",INDEX('Aides'!$A$4:$A$503,49))</f>
        <v/>
      </c>
      <c r="E552">
        <f>IF(ISNUMBER(INDEX('Aides'!$S$4:$S$503,49)),TEXT(INDEX('Aides'!$S$4:$S$503,49),"yyyy-mm-dd"),"")</f>
        <v/>
      </c>
      <c r="F552">
        <f>"Training"</f>
        <v/>
      </c>
      <c r="G552">
        <f>"Medium"</f>
        <v/>
      </c>
      <c r="H552">
        <f>TRIM(IF(LEN(IF(LEN(INDEX('Aides'!$U$4:$U$503,49))=0,"",INDEX('Aides'!$U$4:$U$503,49)))=0,"","Owner: "&amp;IF(LEN(INDEX('Aides'!$U$4:$U$503,49))=0,"",INDEX('Aides'!$U$4:$U$503,49))&amp;". "))</f>
        <v/>
      </c>
      <c r="I552">
        <f>""</f>
        <v/>
      </c>
      <c r="J552">
        <f>IF(LEN(INDEX('Aides'!$V$4:$V$503,49))=0,"",INDEX('Aides'!$V$4:$V$503,49))</f>
        <v/>
      </c>
    </row>
    <row r="553">
      <c r="A553">
        <f>IF(AND(LEN('Aides'!A53)&gt;0,ISNUMBER('Aides'!S53)),1,0)</f>
        <v/>
      </c>
      <c r="B553">
        <f>B552+A553</f>
        <v/>
      </c>
      <c r="C553">
        <f>IF(550&gt;$B$1503,"",MATCH(550-0.5,$B$3:$B$1503,1))</f>
        <v/>
      </c>
      <c r="D553">
        <f>"CPR / First Aid – "&amp;IF(LEN(INDEX('Aides'!$A$4:$A$503,50))=0,"",INDEX('Aides'!$A$4:$A$503,50))</f>
        <v/>
      </c>
      <c r="E553">
        <f>IF(ISNUMBER(INDEX('Aides'!$S$4:$S$503,50)),TEXT(INDEX('Aides'!$S$4:$S$503,50),"yyyy-mm-dd"),"")</f>
        <v/>
      </c>
      <c r="F553">
        <f>"Training"</f>
        <v/>
      </c>
      <c r="G553">
        <f>"Medium"</f>
        <v/>
      </c>
      <c r="H553">
        <f>TRIM(IF(LEN(IF(LEN(INDEX('Aides'!$U$4:$U$503,50))=0,"",INDEX('Aides'!$U$4:$U$503,50)))=0,"","Owner: "&amp;IF(LEN(INDEX('Aides'!$U$4:$U$503,50))=0,"",INDEX('Aides'!$U$4:$U$503,50))&amp;". "))</f>
        <v/>
      </c>
      <c r="I553">
        <f>""</f>
        <v/>
      </c>
      <c r="J553">
        <f>IF(LEN(INDEX('Aides'!$V$4:$V$503,50))=0,"",INDEX('Aides'!$V$4:$V$503,50))</f>
        <v/>
      </c>
    </row>
    <row r="554">
      <c r="A554">
        <f>IF(AND(LEN('Aides'!A54)&gt;0,ISNUMBER('Aides'!S54)),1,0)</f>
        <v/>
      </c>
      <c r="B554">
        <f>B553+A554</f>
        <v/>
      </c>
      <c r="C554">
        <f>IF(551&gt;$B$1503,"",MATCH(551-0.5,$B$3:$B$1503,1))</f>
        <v/>
      </c>
      <c r="D554">
        <f>"CPR / First Aid – "&amp;IF(LEN(INDEX('Aides'!$A$4:$A$503,51))=0,"",INDEX('Aides'!$A$4:$A$503,51))</f>
        <v/>
      </c>
      <c r="E554">
        <f>IF(ISNUMBER(INDEX('Aides'!$S$4:$S$503,51)),TEXT(INDEX('Aides'!$S$4:$S$503,51),"yyyy-mm-dd"),"")</f>
        <v/>
      </c>
      <c r="F554">
        <f>"Training"</f>
        <v/>
      </c>
      <c r="G554">
        <f>"Medium"</f>
        <v/>
      </c>
      <c r="H554">
        <f>TRIM(IF(LEN(IF(LEN(INDEX('Aides'!$U$4:$U$503,51))=0,"",INDEX('Aides'!$U$4:$U$503,51)))=0,"","Owner: "&amp;IF(LEN(INDEX('Aides'!$U$4:$U$503,51))=0,"",INDEX('Aides'!$U$4:$U$503,51))&amp;". "))</f>
        <v/>
      </c>
      <c r="I554">
        <f>""</f>
        <v/>
      </c>
      <c r="J554">
        <f>IF(LEN(INDEX('Aides'!$V$4:$V$503,51))=0,"",INDEX('Aides'!$V$4:$V$503,51))</f>
        <v/>
      </c>
    </row>
    <row r="555">
      <c r="A555">
        <f>IF(AND(LEN('Aides'!A55)&gt;0,ISNUMBER('Aides'!S55)),1,0)</f>
        <v/>
      </c>
      <c r="B555">
        <f>B554+A555</f>
        <v/>
      </c>
      <c r="C555">
        <f>IF(552&gt;$B$1503,"",MATCH(552-0.5,$B$3:$B$1503,1))</f>
        <v/>
      </c>
      <c r="D555">
        <f>"CPR / First Aid – "&amp;IF(LEN(INDEX('Aides'!$A$4:$A$503,52))=0,"",INDEX('Aides'!$A$4:$A$503,52))</f>
        <v/>
      </c>
      <c r="E555">
        <f>IF(ISNUMBER(INDEX('Aides'!$S$4:$S$503,52)),TEXT(INDEX('Aides'!$S$4:$S$503,52),"yyyy-mm-dd"),"")</f>
        <v/>
      </c>
      <c r="F555">
        <f>"Training"</f>
        <v/>
      </c>
      <c r="G555">
        <f>"Medium"</f>
        <v/>
      </c>
      <c r="H555">
        <f>TRIM(IF(LEN(IF(LEN(INDEX('Aides'!$U$4:$U$503,52))=0,"",INDEX('Aides'!$U$4:$U$503,52)))=0,"","Owner: "&amp;IF(LEN(INDEX('Aides'!$U$4:$U$503,52))=0,"",INDEX('Aides'!$U$4:$U$503,52))&amp;". "))</f>
        <v/>
      </c>
      <c r="I555">
        <f>""</f>
        <v/>
      </c>
      <c r="J555">
        <f>IF(LEN(INDEX('Aides'!$V$4:$V$503,52))=0,"",INDEX('Aides'!$V$4:$V$503,52))</f>
        <v/>
      </c>
    </row>
    <row r="556">
      <c r="A556">
        <f>IF(AND(LEN('Aides'!A56)&gt;0,ISNUMBER('Aides'!S56)),1,0)</f>
        <v/>
      </c>
      <c r="B556">
        <f>B555+A556</f>
        <v/>
      </c>
      <c r="C556">
        <f>IF(553&gt;$B$1503,"",MATCH(553-0.5,$B$3:$B$1503,1))</f>
        <v/>
      </c>
      <c r="D556">
        <f>"CPR / First Aid – "&amp;IF(LEN(INDEX('Aides'!$A$4:$A$503,53))=0,"",INDEX('Aides'!$A$4:$A$503,53))</f>
        <v/>
      </c>
      <c r="E556">
        <f>IF(ISNUMBER(INDEX('Aides'!$S$4:$S$503,53)),TEXT(INDEX('Aides'!$S$4:$S$503,53),"yyyy-mm-dd"),"")</f>
        <v/>
      </c>
      <c r="F556">
        <f>"Training"</f>
        <v/>
      </c>
      <c r="G556">
        <f>"Medium"</f>
        <v/>
      </c>
      <c r="H556">
        <f>TRIM(IF(LEN(IF(LEN(INDEX('Aides'!$U$4:$U$503,53))=0,"",INDEX('Aides'!$U$4:$U$503,53)))=0,"","Owner: "&amp;IF(LEN(INDEX('Aides'!$U$4:$U$503,53))=0,"",INDEX('Aides'!$U$4:$U$503,53))&amp;". "))</f>
        <v/>
      </c>
      <c r="I556">
        <f>""</f>
        <v/>
      </c>
      <c r="J556">
        <f>IF(LEN(INDEX('Aides'!$V$4:$V$503,53))=0,"",INDEX('Aides'!$V$4:$V$503,53))</f>
        <v/>
      </c>
    </row>
    <row r="557">
      <c r="A557">
        <f>IF(AND(LEN('Aides'!A57)&gt;0,ISNUMBER('Aides'!S57)),1,0)</f>
        <v/>
      </c>
      <c r="B557">
        <f>B556+A557</f>
        <v/>
      </c>
      <c r="C557">
        <f>IF(554&gt;$B$1503,"",MATCH(554-0.5,$B$3:$B$1503,1))</f>
        <v/>
      </c>
      <c r="D557">
        <f>"CPR / First Aid – "&amp;IF(LEN(INDEX('Aides'!$A$4:$A$503,54))=0,"",INDEX('Aides'!$A$4:$A$503,54))</f>
        <v/>
      </c>
      <c r="E557">
        <f>IF(ISNUMBER(INDEX('Aides'!$S$4:$S$503,54)),TEXT(INDEX('Aides'!$S$4:$S$503,54),"yyyy-mm-dd"),"")</f>
        <v/>
      </c>
      <c r="F557">
        <f>"Training"</f>
        <v/>
      </c>
      <c r="G557">
        <f>"Medium"</f>
        <v/>
      </c>
      <c r="H557">
        <f>TRIM(IF(LEN(IF(LEN(INDEX('Aides'!$U$4:$U$503,54))=0,"",INDEX('Aides'!$U$4:$U$503,54)))=0,"","Owner: "&amp;IF(LEN(INDEX('Aides'!$U$4:$U$503,54))=0,"",INDEX('Aides'!$U$4:$U$503,54))&amp;". "))</f>
        <v/>
      </c>
      <c r="I557">
        <f>""</f>
        <v/>
      </c>
      <c r="J557">
        <f>IF(LEN(INDEX('Aides'!$V$4:$V$503,54))=0,"",INDEX('Aides'!$V$4:$V$503,54))</f>
        <v/>
      </c>
    </row>
    <row r="558">
      <c r="A558">
        <f>IF(AND(LEN('Aides'!A58)&gt;0,ISNUMBER('Aides'!S58)),1,0)</f>
        <v/>
      </c>
      <c r="B558">
        <f>B557+A558</f>
        <v/>
      </c>
      <c r="C558">
        <f>IF(555&gt;$B$1503,"",MATCH(555-0.5,$B$3:$B$1503,1))</f>
        <v/>
      </c>
      <c r="D558">
        <f>"CPR / First Aid – "&amp;IF(LEN(INDEX('Aides'!$A$4:$A$503,55))=0,"",INDEX('Aides'!$A$4:$A$503,55))</f>
        <v/>
      </c>
      <c r="E558">
        <f>IF(ISNUMBER(INDEX('Aides'!$S$4:$S$503,55)),TEXT(INDEX('Aides'!$S$4:$S$503,55),"yyyy-mm-dd"),"")</f>
        <v/>
      </c>
      <c r="F558">
        <f>"Training"</f>
        <v/>
      </c>
      <c r="G558">
        <f>"Medium"</f>
        <v/>
      </c>
      <c r="H558">
        <f>TRIM(IF(LEN(IF(LEN(INDEX('Aides'!$U$4:$U$503,55))=0,"",INDEX('Aides'!$U$4:$U$503,55)))=0,"","Owner: "&amp;IF(LEN(INDEX('Aides'!$U$4:$U$503,55))=0,"",INDEX('Aides'!$U$4:$U$503,55))&amp;". "))</f>
        <v/>
      </c>
      <c r="I558">
        <f>""</f>
        <v/>
      </c>
      <c r="J558">
        <f>IF(LEN(INDEX('Aides'!$V$4:$V$503,55))=0,"",INDEX('Aides'!$V$4:$V$503,55))</f>
        <v/>
      </c>
    </row>
    <row r="559">
      <c r="A559">
        <f>IF(AND(LEN('Aides'!A59)&gt;0,ISNUMBER('Aides'!S59)),1,0)</f>
        <v/>
      </c>
      <c r="B559">
        <f>B558+A559</f>
        <v/>
      </c>
      <c r="C559">
        <f>IF(556&gt;$B$1503,"",MATCH(556-0.5,$B$3:$B$1503,1))</f>
        <v/>
      </c>
      <c r="D559">
        <f>"CPR / First Aid – "&amp;IF(LEN(INDEX('Aides'!$A$4:$A$503,56))=0,"",INDEX('Aides'!$A$4:$A$503,56))</f>
        <v/>
      </c>
      <c r="E559">
        <f>IF(ISNUMBER(INDEX('Aides'!$S$4:$S$503,56)),TEXT(INDEX('Aides'!$S$4:$S$503,56),"yyyy-mm-dd"),"")</f>
        <v/>
      </c>
      <c r="F559">
        <f>"Training"</f>
        <v/>
      </c>
      <c r="G559">
        <f>"Medium"</f>
        <v/>
      </c>
      <c r="H559">
        <f>TRIM(IF(LEN(IF(LEN(INDEX('Aides'!$U$4:$U$503,56))=0,"",INDEX('Aides'!$U$4:$U$503,56)))=0,"","Owner: "&amp;IF(LEN(INDEX('Aides'!$U$4:$U$503,56))=0,"",INDEX('Aides'!$U$4:$U$503,56))&amp;". "))</f>
        <v/>
      </c>
      <c r="I559">
        <f>""</f>
        <v/>
      </c>
      <c r="J559">
        <f>IF(LEN(INDEX('Aides'!$V$4:$V$503,56))=0,"",INDEX('Aides'!$V$4:$V$503,56))</f>
        <v/>
      </c>
    </row>
    <row r="560">
      <c r="A560">
        <f>IF(AND(LEN('Aides'!A60)&gt;0,ISNUMBER('Aides'!S60)),1,0)</f>
        <v/>
      </c>
      <c r="B560">
        <f>B559+A560</f>
        <v/>
      </c>
      <c r="C560">
        <f>IF(557&gt;$B$1503,"",MATCH(557-0.5,$B$3:$B$1503,1))</f>
        <v/>
      </c>
      <c r="D560">
        <f>"CPR / First Aid – "&amp;IF(LEN(INDEX('Aides'!$A$4:$A$503,57))=0,"",INDEX('Aides'!$A$4:$A$503,57))</f>
        <v/>
      </c>
      <c r="E560">
        <f>IF(ISNUMBER(INDEX('Aides'!$S$4:$S$503,57)),TEXT(INDEX('Aides'!$S$4:$S$503,57),"yyyy-mm-dd"),"")</f>
        <v/>
      </c>
      <c r="F560">
        <f>"Training"</f>
        <v/>
      </c>
      <c r="G560">
        <f>"Medium"</f>
        <v/>
      </c>
      <c r="H560">
        <f>TRIM(IF(LEN(IF(LEN(INDEX('Aides'!$U$4:$U$503,57))=0,"",INDEX('Aides'!$U$4:$U$503,57)))=0,"","Owner: "&amp;IF(LEN(INDEX('Aides'!$U$4:$U$503,57))=0,"",INDEX('Aides'!$U$4:$U$503,57))&amp;". "))</f>
        <v/>
      </c>
      <c r="I560">
        <f>""</f>
        <v/>
      </c>
      <c r="J560">
        <f>IF(LEN(INDEX('Aides'!$V$4:$V$503,57))=0,"",INDEX('Aides'!$V$4:$V$503,57))</f>
        <v/>
      </c>
    </row>
    <row r="561">
      <c r="A561">
        <f>IF(AND(LEN('Aides'!A61)&gt;0,ISNUMBER('Aides'!S61)),1,0)</f>
        <v/>
      </c>
      <c r="B561">
        <f>B560+A561</f>
        <v/>
      </c>
      <c r="C561">
        <f>IF(558&gt;$B$1503,"",MATCH(558-0.5,$B$3:$B$1503,1))</f>
        <v/>
      </c>
      <c r="D561">
        <f>"CPR / First Aid – "&amp;IF(LEN(INDEX('Aides'!$A$4:$A$503,58))=0,"",INDEX('Aides'!$A$4:$A$503,58))</f>
        <v/>
      </c>
      <c r="E561">
        <f>IF(ISNUMBER(INDEX('Aides'!$S$4:$S$503,58)),TEXT(INDEX('Aides'!$S$4:$S$503,58),"yyyy-mm-dd"),"")</f>
        <v/>
      </c>
      <c r="F561">
        <f>"Training"</f>
        <v/>
      </c>
      <c r="G561">
        <f>"Medium"</f>
        <v/>
      </c>
      <c r="H561">
        <f>TRIM(IF(LEN(IF(LEN(INDEX('Aides'!$U$4:$U$503,58))=0,"",INDEX('Aides'!$U$4:$U$503,58)))=0,"","Owner: "&amp;IF(LEN(INDEX('Aides'!$U$4:$U$503,58))=0,"",INDEX('Aides'!$U$4:$U$503,58))&amp;". "))</f>
        <v/>
      </c>
      <c r="I561">
        <f>""</f>
        <v/>
      </c>
      <c r="J561">
        <f>IF(LEN(INDEX('Aides'!$V$4:$V$503,58))=0,"",INDEX('Aides'!$V$4:$V$503,58))</f>
        <v/>
      </c>
    </row>
    <row r="562">
      <c r="A562">
        <f>IF(AND(LEN('Aides'!A62)&gt;0,ISNUMBER('Aides'!S62)),1,0)</f>
        <v/>
      </c>
      <c r="B562">
        <f>B561+A562</f>
        <v/>
      </c>
      <c r="C562">
        <f>IF(559&gt;$B$1503,"",MATCH(559-0.5,$B$3:$B$1503,1))</f>
        <v/>
      </c>
      <c r="D562">
        <f>"CPR / First Aid – "&amp;IF(LEN(INDEX('Aides'!$A$4:$A$503,59))=0,"",INDEX('Aides'!$A$4:$A$503,59))</f>
        <v/>
      </c>
      <c r="E562">
        <f>IF(ISNUMBER(INDEX('Aides'!$S$4:$S$503,59)),TEXT(INDEX('Aides'!$S$4:$S$503,59),"yyyy-mm-dd"),"")</f>
        <v/>
      </c>
      <c r="F562">
        <f>"Training"</f>
        <v/>
      </c>
      <c r="G562">
        <f>"Medium"</f>
        <v/>
      </c>
      <c r="H562">
        <f>TRIM(IF(LEN(IF(LEN(INDEX('Aides'!$U$4:$U$503,59))=0,"",INDEX('Aides'!$U$4:$U$503,59)))=0,"","Owner: "&amp;IF(LEN(INDEX('Aides'!$U$4:$U$503,59))=0,"",INDEX('Aides'!$U$4:$U$503,59))&amp;". "))</f>
        <v/>
      </c>
      <c r="I562">
        <f>""</f>
        <v/>
      </c>
      <c r="J562">
        <f>IF(LEN(INDEX('Aides'!$V$4:$V$503,59))=0,"",INDEX('Aides'!$V$4:$V$503,59))</f>
        <v/>
      </c>
    </row>
    <row r="563">
      <c r="A563">
        <f>IF(AND(LEN('Aides'!A63)&gt;0,ISNUMBER('Aides'!S63)),1,0)</f>
        <v/>
      </c>
      <c r="B563">
        <f>B562+A563</f>
        <v/>
      </c>
      <c r="C563">
        <f>IF(560&gt;$B$1503,"",MATCH(560-0.5,$B$3:$B$1503,1))</f>
        <v/>
      </c>
      <c r="D563">
        <f>"CPR / First Aid – "&amp;IF(LEN(INDEX('Aides'!$A$4:$A$503,60))=0,"",INDEX('Aides'!$A$4:$A$503,60))</f>
        <v/>
      </c>
      <c r="E563">
        <f>IF(ISNUMBER(INDEX('Aides'!$S$4:$S$503,60)),TEXT(INDEX('Aides'!$S$4:$S$503,60),"yyyy-mm-dd"),"")</f>
        <v/>
      </c>
      <c r="F563">
        <f>"Training"</f>
        <v/>
      </c>
      <c r="G563">
        <f>"Medium"</f>
        <v/>
      </c>
      <c r="H563">
        <f>TRIM(IF(LEN(IF(LEN(INDEX('Aides'!$U$4:$U$503,60))=0,"",INDEX('Aides'!$U$4:$U$503,60)))=0,"","Owner: "&amp;IF(LEN(INDEX('Aides'!$U$4:$U$503,60))=0,"",INDEX('Aides'!$U$4:$U$503,60))&amp;". "))</f>
        <v/>
      </c>
      <c r="I563">
        <f>""</f>
        <v/>
      </c>
      <c r="J563">
        <f>IF(LEN(INDEX('Aides'!$V$4:$V$503,60))=0,"",INDEX('Aides'!$V$4:$V$503,60))</f>
        <v/>
      </c>
    </row>
    <row r="564">
      <c r="A564">
        <f>IF(AND(LEN('Aides'!A64)&gt;0,ISNUMBER('Aides'!S64)),1,0)</f>
        <v/>
      </c>
      <c r="B564">
        <f>B563+A564</f>
        <v/>
      </c>
      <c r="C564">
        <f>IF(561&gt;$B$1503,"",MATCH(561-0.5,$B$3:$B$1503,1))</f>
        <v/>
      </c>
      <c r="D564">
        <f>"CPR / First Aid – "&amp;IF(LEN(INDEX('Aides'!$A$4:$A$503,61))=0,"",INDEX('Aides'!$A$4:$A$503,61))</f>
        <v/>
      </c>
      <c r="E564">
        <f>IF(ISNUMBER(INDEX('Aides'!$S$4:$S$503,61)),TEXT(INDEX('Aides'!$S$4:$S$503,61),"yyyy-mm-dd"),"")</f>
        <v/>
      </c>
      <c r="F564">
        <f>"Training"</f>
        <v/>
      </c>
      <c r="G564">
        <f>"Medium"</f>
        <v/>
      </c>
      <c r="H564">
        <f>TRIM(IF(LEN(IF(LEN(INDEX('Aides'!$U$4:$U$503,61))=0,"",INDEX('Aides'!$U$4:$U$503,61)))=0,"","Owner: "&amp;IF(LEN(INDEX('Aides'!$U$4:$U$503,61))=0,"",INDEX('Aides'!$U$4:$U$503,61))&amp;". "))</f>
        <v/>
      </c>
      <c r="I564">
        <f>""</f>
        <v/>
      </c>
      <c r="J564">
        <f>IF(LEN(INDEX('Aides'!$V$4:$V$503,61))=0,"",INDEX('Aides'!$V$4:$V$503,61))</f>
        <v/>
      </c>
    </row>
    <row r="565">
      <c r="A565">
        <f>IF(AND(LEN('Aides'!A65)&gt;0,ISNUMBER('Aides'!S65)),1,0)</f>
        <v/>
      </c>
      <c r="B565">
        <f>B564+A565</f>
        <v/>
      </c>
      <c r="C565">
        <f>IF(562&gt;$B$1503,"",MATCH(562-0.5,$B$3:$B$1503,1))</f>
        <v/>
      </c>
      <c r="D565">
        <f>"CPR / First Aid – "&amp;IF(LEN(INDEX('Aides'!$A$4:$A$503,62))=0,"",INDEX('Aides'!$A$4:$A$503,62))</f>
        <v/>
      </c>
      <c r="E565">
        <f>IF(ISNUMBER(INDEX('Aides'!$S$4:$S$503,62)),TEXT(INDEX('Aides'!$S$4:$S$503,62),"yyyy-mm-dd"),"")</f>
        <v/>
      </c>
      <c r="F565">
        <f>"Training"</f>
        <v/>
      </c>
      <c r="G565">
        <f>"Medium"</f>
        <v/>
      </c>
      <c r="H565">
        <f>TRIM(IF(LEN(IF(LEN(INDEX('Aides'!$U$4:$U$503,62))=0,"",INDEX('Aides'!$U$4:$U$503,62)))=0,"","Owner: "&amp;IF(LEN(INDEX('Aides'!$U$4:$U$503,62))=0,"",INDEX('Aides'!$U$4:$U$503,62))&amp;". "))</f>
        <v/>
      </c>
      <c r="I565">
        <f>""</f>
        <v/>
      </c>
      <c r="J565">
        <f>IF(LEN(INDEX('Aides'!$V$4:$V$503,62))=0,"",INDEX('Aides'!$V$4:$V$503,62))</f>
        <v/>
      </c>
    </row>
    <row r="566">
      <c r="A566">
        <f>IF(AND(LEN('Aides'!A66)&gt;0,ISNUMBER('Aides'!S66)),1,0)</f>
        <v/>
      </c>
      <c r="B566">
        <f>B565+A566</f>
        <v/>
      </c>
      <c r="C566">
        <f>IF(563&gt;$B$1503,"",MATCH(563-0.5,$B$3:$B$1503,1))</f>
        <v/>
      </c>
      <c r="D566">
        <f>"CPR / First Aid – "&amp;IF(LEN(INDEX('Aides'!$A$4:$A$503,63))=0,"",INDEX('Aides'!$A$4:$A$503,63))</f>
        <v/>
      </c>
      <c r="E566">
        <f>IF(ISNUMBER(INDEX('Aides'!$S$4:$S$503,63)),TEXT(INDEX('Aides'!$S$4:$S$503,63),"yyyy-mm-dd"),"")</f>
        <v/>
      </c>
      <c r="F566">
        <f>"Training"</f>
        <v/>
      </c>
      <c r="G566">
        <f>"Medium"</f>
        <v/>
      </c>
      <c r="H566">
        <f>TRIM(IF(LEN(IF(LEN(INDEX('Aides'!$U$4:$U$503,63))=0,"",INDEX('Aides'!$U$4:$U$503,63)))=0,"","Owner: "&amp;IF(LEN(INDEX('Aides'!$U$4:$U$503,63))=0,"",INDEX('Aides'!$U$4:$U$503,63))&amp;". "))</f>
        <v/>
      </c>
      <c r="I566">
        <f>""</f>
        <v/>
      </c>
      <c r="J566">
        <f>IF(LEN(INDEX('Aides'!$V$4:$V$503,63))=0,"",INDEX('Aides'!$V$4:$V$503,63))</f>
        <v/>
      </c>
    </row>
    <row r="567">
      <c r="A567">
        <f>IF(AND(LEN('Aides'!A67)&gt;0,ISNUMBER('Aides'!S67)),1,0)</f>
        <v/>
      </c>
      <c r="B567">
        <f>B566+A567</f>
        <v/>
      </c>
      <c r="C567">
        <f>IF(564&gt;$B$1503,"",MATCH(564-0.5,$B$3:$B$1503,1))</f>
        <v/>
      </c>
      <c r="D567">
        <f>"CPR / First Aid – "&amp;IF(LEN(INDEX('Aides'!$A$4:$A$503,64))=0,"",INDEX('Aides'!$A$4:$A$503,64))</f>
        <v/>
      </c>
      <c r="E567">
        <f>IF(ISNUMBER(INDEX('Aides'!$S$4:$S$503,64)),TEXT(INDEX('Aides'!$S$4:$S$503,64),"yyyy-mm-dd"),"")</f>
        <v/>
      </c>
      <c r="F567">
        <f>"Training"</f>
        <v/>
      </c>
      <c r="G567">
        <f>"Medium"</f>
        <v/>
      </c>
      <c r="H567">
        <f>TRIM(IF(LEN(IF(LEN(INDEX('Aides'!$U$4:$U$503,64))=0,"",INDEX('Aides'!$U$4:$U$503,64)))=0,"","Owner: "&amp;IF(LEN(INDEX('Aides'!$U$4:$U$503,64))=0,"",INDEX('Aides'!$U$4:$U$503,64))&amp;". "))</f>
        <v/>
      </c>
      <c r="I567">
        <f>""</f>
        <v/>
      </c>
      <c r="J567">
        <f>IF(LEN(INDEX('Aides'!$V$4:$V$503,64))=0,"",INDEX('Aides'!$V$4:$V$503,64))</f>
        <v/>
      </c>
    </row>
    <row r="568">
      <c r="A568">
        <f>IF(AND(LEN('Aides'!A68)&gt;0,ISNUMBER('Aides'!S68)),1,0)</f>
        <v/>
      </c>
      <c r="B568">
        <f>B567+A568</f>
        <v/>
      </c>
      <c r="C568">
        <f>IF(565&gt;$B$1503,"",MATCH(565-0.5,$B$3:$B$1503,1))</f>
        <v/>
      </c>
      <c r="D568">
        <f>"CPR / First Aid – "&amp;IF(LEN(INDEX('Aides'!$A$4:$A$503,65))=0,"",INDEX('Aides'!$A$4:$A$503,65))</f>
        <v/>
      </c>
      <c r="E568">
        <f>IF(ISNUMBER(INDEX('Aides'!$S$4:$S$503,65)),TEXT(INDEX('Aides'!$S$4:$S$503,65),"yyyy-mm-dd"),"")</f>
        <v/>
      </c>
      <c r="F568">
        <f>"Training"</f>
        <v/>
      </c>
      <c r="G568">
        <f>"Medium"</f>
        <v/>
      </c>
      <c r="H568">
        <f>TRIM(IF(LEN(IF(LEN(INDEX('Aides'!$U$4:$U$503,65))=0,"",INDEX('Aides'!$U$4:$U$503,65)))=0,"","Owner: "&amp;IF(LEN(INDEX('Aides'!$U$4:$U$503,65))=0,"",INDEX('Aides'!$U$4:$U$503,65))&amp;". "))</f>
        <v/>
      </c>
      <c r="I568">
        <f>""</f>
        <v/>
      </c>
      <c r="J568">
        <f>IF(LEN(INDEX('Aides'!$V$4:$V$503,65))=0,"",INDEX('Aides'!$V$4:$V$503,65))</f>
        <v/>
      </c>
    </row>
    <row r="569">
      <c r="A569">
        <f>IF(AND(LEN('Aides'!A69)&gt;0,ISNUMBER('Aides'!S69)),1,0)</f>
        <v/>
      </c>
      <c r="B569">
        <f>B568+A569</f>
        <v/>
      </c>
      <c r="C569">
        <f>IF(566&gt;$B$1503,"",MATCH(566-0.5,$B$3:$B$1503,1))</f>
        <v/>
      </c>
      <c r="D569">
        <f>"CPR / First Aid – "&amp;IF(LEN(INDEX('Aides'!$A$4:$A$503,66))=0,"",INDEX('Aides'!$A$4:$A$503,66))</f>
        <v/>
      </c>
      <c r="E569">
        <f>IF(ISNUMBER(INDEX('Aides'!$S$4:$S$503,66)),TEXT(INDEX('Aides'!$S$4:$S$503,66),"yyyy-mm-dd"),"")</f>
        <v/>
      </c>
      <c r="F569">
        <f>"Training"</f>
        <v/>
      </c>
      <c r="G569">
        <f>"Medium"</f>
        <v/>
      </c>
      <c r="H569">
        <f>TRIM(IF(LEN(IF(LEN(INDEX('Aides'!$U$4:$U$503,66))=0,"",INDEX('Aides'!$U$4:$U$503,66)))=0,"","Owner: "&amp;IF(LEN(INDEX('Aides'!$U$4:$U$503,66))=0,"",INDEX('Aides'!$U$4:$U$503,66))&amp;". "))</f>
        <v/>
      </c>
      <c r="I569">
        <f>""</f>
        <v/>
      </c>
      <c r="J569">
        <f>IF(LEN(INDEX('Aides'!$V$4:$V$503,66))=0,"",INDEX('Aides'!$V$4:$V$503,66))</f>
        <v/>
      </c>
    </row>
    <row r="570">
      <c r="A570">
        <f>IF(AND(LEN('Aides'!A70)&gt;0,ISNUMBER('Aides'!S70)),1,0)</f>
        <v/>
      </c>
      <c r="B570">
        <f>B569+A570</f>
        <v/>
      </c>
      <c r="C570">
        <f>IF(567&gt;$B$1503,"",MATCH(567-0.5,$B$3:$B$1503,1))</f>
        <v/>
      </c>
      <c r="D570">
        <f>"CPR / First Aid – "&amp;IF(LEN(INDEX('Aides'!$A$4:$A$503,67))=0,"",INDEX('Aides'!$A$4:$A$503,67))</f>
        <v/>
      </c>
      <c r="E570">
        <f>IF(ISNUMBER(INDEX('Aides'!$S$4:$S$503,67)),TEXT(INDEX('Aides'!$S$4:$S$503,67),"yyyy-mm-dd"),"")</f>
        <v/>
      </c>
      <c r="F570">
        <f>"Training"</f>
        <v/>
      </c>
      <c r="G570">
        <f>"Medium"</f>
        <v/>
      </c>
      <c r="H570">
        <f>TRIM(IF(LEN(IF(LEN(INDEX('Aides'!$U$4:$U$503,67))=0,"",INDEX('Aides'!$U$4:$U$503,67)))=0,"","Owner: "&amp;IF(LEN(INDEX('Aides'!$U$4:$U$503,67))=0,"",INDEX('Aides'!$U$4:$U$503,67))&amp;". "))</f>
        <v/>
      </c>
      <c r="I570">
        <f>""</f>
        <v/>
      </c>
      <c r="J570">
        <f>IF(LEN(INDEX('Aides'!$V$4:$V$503,67))=0,"",INDEX('Aides'!$V$4:$V$503,67))</f>
        <v/>
      </c>
    </row>
    <row r="571">
      <c r="A571">
        <f>IF(AND(LEN('Aides'!A71)&gt;0,ISNUMBER('Aides'!S71)),1,0)</f>
        <v/>
      </c>
      <c r="B571">
        <f>B570+A571</f>
        <v/>
      </c>
      <c r="C571">
        <f>IF(568&gt;$B$1503,"",MATCH(568-0.5,$B$3:$B$1503,1))</f>
        <v/>
      </c>
      <c r="D571">
        <f>"CPR / First Aid – "&amp;IF(LEN(INDEX('Aides'!$A$4:$A$503,68))=0,"",INDEX('Aides'!$A$4:$A$503,68))</f>
        <v/>
      </c>
      <c r="E571">
        <f>IF(ISNUMBER(INDEX('Aides'!$S$4:$S$503,68)),TEXT(INDEX('Aides'!$S$4:$S$503,68),"yyyy-mm-dd"),"")</f>
        <v/>
      </c>
      <c r="F571">
        <f>"Training"</f>
        <v/>
      </c>
      <c r="G571">
        <f>"Medium"</f>
        <v/>
      </c>
      <c r="H571">
        <f>TRIM(IF(LEN(IF(LEN(INDEX('Aides'!$U$4:$U$503,68))=0,"",INDEX('Aides'!$U$4:$U$503,68)))=0,"","Owner: "&amp;IF(LEN(INDEX('Aides'!$U$4:$U$503,68))=0,"",INDEX('Aides'!$U$4:$U$503,68))&amp;". "))</f>
        <v/>
      </c>
      <c r="I571">
        <f>""</f>
        <v/>
      </c>
      <c r="J571">
        <f>IF(LEN(INDEX('Aides'!$V$4:$V$503,68))=0,"",INDEX('Aides'!$V$4:$V$503,68))</f>
        <v/>
      </c>
    </row>
    <row r="572">
      <c r="A572">
        <f>IF(AND(LEN('Aides'!A72)&gt;0,ISNUMBER('Aides'!S72)),1,0)</f>
        <v/>
      </c>
      <c r="B572">
        <f>B571+A572</f>
        <v/>
      </c>
      <c r="C572">
        <f>IF(569&gt;$B$1503,"",MATCH(569-0.5,$B$3:$B$1503,1))</f>
        <v/>
      </c>
      <c r="D572">
        <f>"CPR / First Aid – "&amp;IF(LEN(INDEX('Aides'!$A$4:$A$503,69))=0,"",INDEX('Aides'!$A$4:$A$503,69))</f>
        <v/>
      </c>
      <c r="E572">
        <f>IF(ISNUMBER(INDEX('Aides'!$S$4:$S$503,69)),TEXT(INDEX('Aides'!$S$4:$S$503,69),"yyyy-mm-dd"),"")</f>
        <v/>
      </c>
      <c r="F572">
        <f>"Training"</f>
        <v/>
      </c>
      <c r="G572">
        <f>"Medium"</f>
        <v/>
      </c>
      <c r="H572">
        <f>TRIM(IF(LEN(IF(LEN(INDEX('Aides'!$U$4:$U$503,69))=0,"",INDEX('Aides'!$U$4:$U$503,69)))=0,"","Owner: "&amp;IF(LEN(INDEX('Aides'!$U$4:$U$503,69))=0,"",INDEX('Aides'!$U$4:$U$503,69))&amp;". "))</f>
        <v/>
      </c>
      <c r="I572">
        <f>""</f>
        <v/>
      </c>
      <c r="J572">
        <f>IF(LEN(INDEX('Aides'!$V$4:$V$503,69))=0,"",INDEX('Aides'!$V$4:$V$503,69))</f>
        <v/>
      </c>
    </row>
    <row r="573">
      <c r="A573">
        <f>IF(AND(LEN('Aides'!A73)&gt;0,ISNUMBER('Aides'!S73)),1,0)</f>
        <v/>
      </c>
      <c r="B573">
        <f>B572+A573</f>
        <v/>
      </c>
      <c r="C573">
        <f>IF(570&gt;$B$1503,"",MATCH(570-0.5,$B$3:$B$1503,1))</f>
        <v/>
      </c>
      <c r="D573">
        <f>"CPR / First Aid – "&amp;IF(LEN(INDEX('Aides'!$A$4:$A$503,70))=0,"",INDEX('Aides'!$A$4:$A$503,70))</f>
        <v/>
      </c>
      <c r="E573">
        <f>IF(ISNUMBER(INDEX('Aides'!$S$4:$S$503,70)),TEXT(INDEX('Aides'!$S$4:$S$503,70),"yyyy-mm-dd"),"")</f>
        <v/>
      </c>
      <c r="F573">
        <f>"Training"</f>
        <v/>
      </c>
      <c r="G573">
        <f>"Medium"</f>
        <v/>
      </c>
      <c r="H573">
        <f>TRIM(IF(LEN(IF(LEN(INDEX('Aides'!$U$4:$U$503,70))=0,"",INDEX('Aides'!$U$4:$U$503,70)))=0,"","Owner: "&amp;IF(LEN(INDEX('Aides'!$U$4:$U$503,70))=0,"",INDEX('Aides'!$U$4:$U$503,70))&amp;". "))</f>
        <v/>
      </c>
      <c r="I573">
        <f>""</f>
        <v/>
      </c>
      <c r="J573">
        <f>IF(LEN(INDEX('Aides'!$V$4:$V$503,70))=0,"",INDEX('Aides'!$V$4:$V$503,70))</f>
        <v/>
      </c>
    </row>
    <row r="574">
      <c r="A574">
        <f>IF(AND(LEN('Aides'!A74)&gt;0,ISNUMBER('Aides'!S74)),1,0)</f>
        <v/>
      </c>
      <c r="B574">
        <f>B573+A574</f>
        <v/>
      </c>
      <c r="C574">
        <f>IF(571&gt;$B$1503,"",MATCH(571-0.5,$B$3:$B$1503,1))</f>
        <v/>
      </c>
      <c r="D574">
        <f>"CPR / First Aid – "&amp;IF(LEN(INDEX('Aides'!$A$4:$A$503,71))=0,"",INDEX('Aides'!$A$4:$A$503,71))</f>
        <v/>
      </c>
      <c r="E574">
        <f>IF(ISNUMBER(INDEX('Aides'!$S$4:$S$503,71)),TEXT(INDEX('Aides'!$S$4:$S$503,71),"yyyy-mm-dd"),"")</f>
        <v/>
      </c>
      <c r="F574">
        <f>"Training"</f>
        <v/>
      </c>
      <c r="G574">
        <f>"Medium"</f>
        <v/>
      </c>
      <c r="H574">
        <f>TRIM(IF(LEN(IF(LEN(INDEX('Aides'!$U$4:$U$503,71))=0,"",INDEX('Aides'!$U$4:$U$503,71)))=0,"","Owner: "&amp;IF(LEN(INDEX('Aides'!$U$4:$U$503,71))=0,"",INDEX('Aides'!$U$4:$U$503,71))&amp;". "))</f>
        <v/>
      </c>
      <c r="I574">
        <f>""</f>
        <v/>
      </c>
      <c r="J574">
        <f>IF(LEN(INDEX('Aides'!$V$4:$V$503,71))=0,"",INDEX('Aides'!$V$4:$V$503,71))</f>
        <v/>
      </c>
    </row>
    <row r="575">
      <c r="A575">
        <f>IF(AND(LEN('Aides'!A75)&gt;0,ISNUMBER('Aides'!S75)),1,0)</f>
        <v/>
      </c>
      <c r="B575">
        <f>B574+A575</f>
        <v/>
      </c>
      <c r="C575">
        <f>IF(572&gt;$B$1503,"",MATCH(572-0.5,$B$3:$B$1503,1))</f>
        <v/>
      </c>
      <c r="D575">
        <f>"CPR / First Aid – "&amp;IF(LEN(INDEX('Aides'!$A$4:$A$503,72))=0,"",INDEX('Aides'!$A$4:$A$503,72))</f>
        <v/>
      </c>
      <c r="E575">
        <f>IF(ISNUMBER(INDEX('Aides'!$S$4:$S$503,72)),TEXT(INDEX('Aides'!$S$4:$S$503,72),"yyyy-mm-dd"),"")</f>
        <v/>
      </c>
      <c r="F575">
        <f>"Training"</f>
        <v/>
      </c>
      <c r="G575">
        <f>"Medium"</f>
        <v/>
      </c>
      <c r="H575">
        <f>TRIM(IF(LEN(IF(LEN(INDEX('Aides'!$U$4:$U$503,72))=0,"",INDEX('Aides'!$U$4:$U$503,72)))=0,"","Owner: "&amp;IF(LEN(INDEX('Aides'!$U$4:$U$503,72))=0,"",INDEX('Aides'!$U$4:$U$503,72))&amp;". "))</f>
        <v/>
      </c>
      <c r="I575">
        <f>""</f>
        <v/>
      </c>
      <c r="J575">
        <f>IF(LEN(INDEX('Aides'!$V$4:$V$503,72))=0,"",INDEX('Aides'!$V$4:$V$503,72))</f>
        <v/>
      </c>
    </row>
    <row r="576">
      <c r="A576">
        <f>IF(AND(LEN('Aides'!A76)&gt;0,ISNUMBER('Aides'!S76)),1,0)</f>
        <v/>
      </c>
      <c r="B576">
        <f>B575+A576</f>
        <v/>
      </c>
      <c r="C576">
        <f>IF(573&gt;$B$1503,"",MATCH(573-0.5,$B$3:$B$1503,1))</f>
        <v/>
      </c>
      <c r="D576">
        <f>"CPR / First Aid – "&amp;IF(LEN(INDEX('Aides'!$A$4:$A$503,73))=0,"",INDEX('Aides'!$A$4:$A$503,73))</f>
        <v/>
      </c>
      <c r="E576">
        <f>IF(ISNUMBER(INDEX('Aides'!$S$4:$S$503,73)),TEXT(INDEX('Aides'!$S$4:$S$503,73),"yyyy-mm-dd"),"")</f>
        <v/>
      </c>
      <c r="F576">
        <f>"Training"</f>
        <v/>
      </c>
      <c r="G576">
        <f>"Medium"</f>
        <v/>
      </c>
      <c r="H576">
        <f>TRIM(IF(LEN(IF(LEN(INDEX('Aides'!$U$4:$U$503,73))=0,"",INDEX('Aides'!$U$4:$U$503,73)))=0,"","Owner: "&amp;IF(LEN(INDEX('Aides'!$U$4:$U$503,73))=0,"",INDEX('Aides'!$U$4:$U$503,73))&amp;". "))</f>
        <v/>
      </c>
      <c r="I576">
        <f>""</f>
        <v/>
      </c>
      <c r="J576">
        <f>IF(LEN(INDEX('Aides'!$V$4:$V$503,73))=0,"",INDEX('Aides'!$V$4:$V$503,73))</f>
        <v/>
      </c>
    </row>
    <row r="577">
      <c r="A577">
        <f>IF(AND(LEN('Aides'!A77)&gt;0,ISNUMBER('Aides'!S77)),1,0)</f>
        <v/>
      </c>
      <c r="B577">
        <f>B576+A577</f>
        <v/>
      </c>
      <c r="C577">
        <f>IF(574&gt;$B$1503,"",MATCH(574-0.5,$B$3:$B$1503,1))</f>
        <v/>
      </c>
      <c r="D577">
        <f>"CPR / First Aid – "&amp;IF(LEN(INDEX('Aides'!$A$4:$A$503,74))=0,"",INDEX('Aides'!$A$4:$A$503,74))</f>
        <v/>
      </c>
      <c r="E577">
        <f>IF(ISNUMBER(INDEX('Aides'!$S$4:$S$503,74)),TEXT(INDEX('Aides'!$S$4:$S$503,74),"yyyy-mm-dd"),"")</f>
        <v/>
      </c>
      <c r="F577">
        <f>"Training"</f>
        <v/>
      </c>
      <c r="G577">
        <f>"Medium"</f>
        <v/>
      </c>
      <c r="H577">
        <f>TRIM(IF(LEN(IF(LEN(INDEX('Aides'!$U$4:$U$503,74))=0,"",INDEX('Aides'!$U$4:$U$503,74)))=0,"","Owner: "&amp;IF(LEN(INDEX('Aides'!$U$4:$U$503,74))=0,"",INDEX('Aides'!$U$4:$U$503,74))&amp;". "))</f>
        <v/>
      </c>
      <c r="I577">
        <f>""</f>
        <v/>
      </c>
      <c r="J577">
        <f>IF(LEN(INDEX('Aides'!$V$4:$V$503,74))=0,"",INDEX('Aides'!$V$4:$V$503,74))</f>
        <v/>
      </c>
    </row>
    <row r="578">
      <c r="A578">
        <f>IF(AND(LEN('Aides'!A78)&gt;0,ISNUMBER('Aides'!S78)),1,0)</f>
        <v/>
      </c>
      <c r="B578">
        <f>B577+A578</f>
        <v/>
      </c>
      <c r="C578">
        <f>IF(575&gt;$B$1503,"",MATCH(575-0.5,$B$3:$B$1503,1))</f>
        <v/>
      </c>
      <c r="D578">
        <f>"CPR / First Aid – "&amp;IF(LEN(INDEX('Aides'!$A$4:$A$503,75))=0,"",INDEX('Aides'!$A$4:$A$503,75))</f>
        <v/>
      </c>
      <c r="E578">
        <f>IF(ISNUMBER(INDEX('Aides'!$S$4:$S$503,75)),TEXT(INDEX('Aides'!$S$4:$S$503,75),"yyyy-mm-dd"),"")</f>
        <v/>
      </c>
      <c r="F578">
        <f>"Training"</f>
        <v/>
      </c>
      <c r="G578">
        <f>"Medium"</f>
        <v/>
      </c>
      <c r="H578">
        <f>TRIM(IF(LEN(IF(LEN(INDEX('Aides'!$U$4:$U$503,75))=0,"",INDEX('Aides'!$U$4:$U$503,75)))=0,"","Owner: "&amp;IF(LEN(INDEX('Aides'!$U$4:$U$503,75))=0,"",INDEX('Aides'!$U$4:$U$503,75))&amp;". "))</f>
        <v/>
      </c>
      <c r="I578">
        <f>""</f>
        <v/>
      </c>
      <c r="J578">
        <f>IF(LEN(INDEX('Aides'!$V$4:$V$503,75))=0,"",INDEX('Aides'!$V$4:$V$503,75))</f>
        <v/>
      </c>
    </row>
    <row r="579">
      <c r="A579">
        <f>IF(AND(LEN('Aides'!A79)&gt;0,ISNUMBER('Aides'!S79)),1,0)</f>
        <v/>
      </c>
      <c r="B579">
        <f>B578+A579</f>
        <v/>
      </c>
      <c r="C579">
        <f>IF(576&gt;$B$1503,"",MATCH(576-0.5,$B$3:$B$1503,1))</f>
        <v/>
      </c>
      <c r="D579">
        <f>"CPR / First Aid – "&amp;IF(LEN(INDEX('Aides'!$A$4:$A$503,76))=0,"",INDEX('Aides'!$A$4:$A$503,76))</f>
        <v/>
      </c>
      <c r="E579">
        <f>IF(ISNUMBER(INDEX('Aides'!$S$4:$S$503,76)),TEXT(INDEX('Aides'!$S$4:$S$503,76),"yyyy-mm-dd"),"")</f>
        <v/>
      </c>
      <c r="F579">
        <f>"Training"</f>
        <v/>
      </c>
      <c r="G579">
        <f>"Medium"</f>
        <v/>
      </c>
      <c r="H579">
        <f>TRIM(IF(LEN(IF(LEN(INDEX('Aides'!$U$4:$U$503,76))=0,"",INDEX('Aides'!$U$4:$U$503,76)))=0,"","Owner: "&amp;IF(LEN(INDEX('Aides'!$U$4:$U$503,76))=0,"",INDEX('Aides'!$U$4:$U$503,76))&amp;". "))</f>
        <v/>
      </c>
      <c r="I579">
        <f>""</f>
        <v/>
      </c>
      <c r="J579">
        <f>IF(LEN(INDEX('Aides'!$V$4:$V$503,76))=0,"",INDEX('Aides'!$V$4:$V$503,76))</f>
        <v/>
      </c>
    </row>
    <row r="580">
      <c r="A580">
        <f>IF(AND(LEN('Aides'!A80)&gt;0,ISNUMBER('Aides'!S80)),1,0)</f>
        <v/>
      </c>
      <c r="B580">
        <f>B579+A580</f>
        <v/>
      </c>
      <c r="C580">
        <f>IF(577&gt;$B$1503,"",MATCH(577-0.5,$B$3:$B$1503,1))</f>
        <v/>
      </c>
      <c r="D580">
        <f>"CPR / First Aid – "&amp;IF(LEN(INDEX('Aides'!$A$4:$A$503,77))=0,"",INDEX('Aides'!$A$4:$A$503,77))</f>
        <v/>
      </c>
      <c r="E580">
        <f>IF(ISNUMBER(INDEX('Aides'!$S$4:$S$503,77)),TEXT(INDEX('Aides'!$S$4:$S$503,77),"yyyy-mm-dd"),"")</f>
        <v/>
      </c>
      <c r="F580">
        <f>"Training"</f>
        <v/>
      </c>
      <c r="G580">
        <f>"Medium"</f>
        <v/>
      </c>
      <c r="H580">
        <f>TRIM(IF(LEN(IF(LEN(INDEX('Aides'!$U$4:$U$503,77))=0,"",INDEX('Aides'!$U$4:$U$503,77)))=0,"","Owner: "&amp;IF(LEN(INDEX('Aides'!$U$4:$U$503,77))=0,"",INDEX('Aides'!$U$4:$U$503,77))&amp;". "))</f>
        <v/>
      </c>
      <c r="I580">
        <f>""</f>
        <v/>
      </c>
      <c r="J580">
        <f>IF(LEN(INDEX('Aides'!$V$4:$V$503,77))=0,"",INDEX('Aides'!$V$4:$V$503,77))</f>
        <v/>
      </c>
    </row>
    <row r="581">
      <c r="A581">
        <f>IF(AND(LEN('Aides'!A81)&gt;0,ISNUMBER('Aides'!S81)),1,0)</f>
        <v/>
      </c>
      <c r="B581">
        <f>B580+A581</f>
        <v/>
      </c>
      <c r="C581">
        <f>IF(578&gt;$B$1503,"",MATCH(578-0.5,$B$3:$B$1503,1))</f>
        <v/>
      </c>
      <c r="D581">
        <f>"CPR / First Aid – "&amp;IF(LEN(INDEX('Aides'!$A$4:$A$503,78))=0,"",INDEX('Aides'!$A$4:$A$503,78))</f>
        <v/>
      </c>
      <c r="E581">
        <f>IF(ISNUMBER(INDEX('Aides'!$S$4:$S$503,78)),TEXT(INDEX('Aides'!$S$4:$S$503,78),"yyyy-mm-dd"),"")</f>
        <v/>
      </c>
      <c r="F581">
        <f>"Training"</f>
        <v/>
      </c>
      <c r="G581">
        <f>"Medium"</f>
        <v/>
      </c>
      <c r="H581">
        <f>TRIM(IF(LEN(IF(LEN(INDEX('Aides'!$U$4:$U$503,78))=0,"",INDEX('Aides'!$U$4:$U$503,78)))=0,"","Owner: "&amp;IF(LEN(INDEX('Aides'!$U$4:$U$503,78))=0,"",INDEX('Aides'!$U$4:$U$503,78))&amp;". "))</f>
        <v/>
      </c>
      <c r="I581">
        <f>""</f>
        <v/>
      </c>
      <c r="J581">
        <f>IF(LEN(INDEX('Aides'!$V$4:$V$503,78))=0,"",INDEX('Aides'!$V$4:$V$503,78))</f>
        <v/>
      </c>
    </row>
    <row r="582">
      <c r="A582">
        <f>IF(AND(LEN('Aides'!A82)&gt;0,ISNUMBER('Aides'!S82)),1,0)</f>
        <v/>
      </c>
      <c r="B582">
        <f>B581+A582</f>
        <v/>
      </c>
      <c r="C582">
        <f>IF(579&gt;$B$1503,"",MATCH(579-0.5,$B$3:$B$1503,1))</f>
        <v/>
      </c>
      <c r="D582">
        <f>"CPR / First Aid – "&amp;IF(LEN(INDEX('Aides'!$A$4:$A$503,79))=0,"",INDEX('Aides'!$A$4:$A$503,79))</f>
        <v/>
      </c>
      <c r="E582">
        <f>IF(ISNUMBER(INDEX('Aides'!$S$4:$S$503,79)),TEXT(INDEX('Aides'!$S$4:$S$503,79),"yyyy-mm-dd"),"")</f>
        <v/>
      </c>
      <c r="F582">
        <f>"Training"</f>
        <v/>
      </c>
      <c r="G582">
        <f>"Medium"</f>
        <v/>
      </c>
      <c r="H582">
        <f>TRIM(IF(LEN(IF(LEN(INDEX('Aides'!$U$4:$U$503,79))=0,"",INDEX('Aides'!$U$4:$U$503,79)))=0,"","Owner: "&amp;IF(LEN(INDEX('Aides'!$U$4:$U$503,79))=0,"",INDEX('Aides'!$U$4:$U$503,79))&amp;". "))</f>
        <v/>
      </c>
      <c r="I582">
        <f>""</f>
        <v/>
      </c>
      <c r="J582">
        <f>IF(LEN(INDEX('Aides'!$V$4:$V$503,79))=0,"",INDEX('Aides'!$V$4:$V$503,79))</f>
        <v/>
      </c>
    </row>
    <row r="583">
      <c r="A583">
        <f>IF(AND(LEN('Aides'!A83)&gt;0,ISNUMBER('Aides'!S83)),1,0)</f>
        <v/>
      </c>
      <c r="B583">
        <f>B582+A583</f>
        <v/>
      </c>
      <c r="C583">
        <f>IF(580&gt;$B$1503,"",MATCH(580-0.5,$B$3:$B$1503,1))</f>
        <v/>
      </c>
      <c r="D583">
        <f>"CPR / First Aid – "&amp;IF(LEN(INDEX('Aides'!$A$4:$A$503,80))=0,"",INDEX('Aides'!$A$4:$A$503,80))</f>
        <v/>
      </c>
      <c r="E583">
        <f>IF(ISNUMBER(INDEX('Aides'!$S$4:$S$503,80)),TEXT(INDEX('Aides'!$S$4:$S$503,80),"yyyy-mm-dd"),"")</f>
        <v/>
      </c>
      <c r="F583">
        <f>"Training"</f>
        <v/>
      </c>
      <c r="G583">
        <f>"Medium"</f>
        <v/>
      </c>
      <c r="H583">
        <f>TRIM(IF(LEN(IF(LEN(INDEX('Aides'!$U$4:$U$503,80))=0,"",INDEX('Aides'!$U$4:$U$503,80)))=0,"","Owner: "&amp;IF(LEN(INDEX('Aides'!$U$4:$U$503,80))=0,"",INDEX('Aides'!$U$4:$U$503,80))&amp;". "))</f>
        <v/>
      </c>
      <c r="I583">
        <f>""</f>
        <v/>
      </c>
      <c r="J583">
        <f>IF(LEN(INDEX('Aides'!$V$4:$V$503,80))=0,"",INDEX('Aides'!$V$4:$V$503,80))</f>
        <v/>
      </c>
    </row>
    <row r="584">
      <c r="A584">
        <f>IF(AND(LEN('Aides'!A84)&gt;0,ISNUMBER('Aides'!S84)),1,0)</f>
        <v/>
      </c>
      <c r="B584">
        <f>B583+A584</f>
        <v/>
      </c>
      <c r="C584">
        <f>IF(581&gt;$B$1503,"",MATCH(581-0.5,$B$3:$B$1503,1))</f>
        <v/>
      </c>
      <c r="D584">
        <f>"CPR / First Aid – "&amp;IF(LEN(INDEX('Aides'!$A$4:$A$503,81))=0,"",INDEX('Aides'!$A$4:$A$503,81))</f>
        <v/>
      </c>
      <c r="E584">
        <f>IF(ISNUMBER(INDEX('Aides'!$S$4:$S$503,81)),TEXT(INDEX('Aides'!$S$4:$S$503,81),"yyyy-mm-dd"),"")</f>
        <v/>
      </c>
      <c r="F584">
        <f>"Training"</f>
        <v/>
      </c>
      <c r="G584">
        <f>"Medium"</f>
        <v/>
      </c>
      <c r="H584">
        <f>TRIM(IF(LEN(IF(LEN(INDEX('Aides'!$U$4:$U$503,81))=0,"",INDEX('Aides'!$U$4:$U$503,81)))=0,"","Owner: "&amp;IF(LEN(INDEX('Aides'!$U$4:$U$503,81))=0,"",INDEX('Aides'!$U$4:$U$503,81))&amp;". "))</f>
        <v/>
      </c>
      <c r="I584">
        <f>""</f>
        <v/>
      </c>
      <c r="J584">
        <f>IF(LEN(INDEX('Aides'!$V$4:$V$503,81))=0,"",INDEX('Aides'!$V$4:$V$503,81))</f>
        <v/>
      </c>
    </row>
    <row r="585">
      <c r="A585">
        <f>IF(AND(LEN('Aides'!A85)&gt;0,ISNUMBER('Aides'!S85)),1,0)</f>
        <v/>
      </c>
      <c r="B585">
        <f>B584+A585</f>
        <v/>
      </c>
      <c r="C585">
        <f>IF(582&gt;$B$1503,"",MATCH(582-0.5,$B$3:$B$1503,1))</f>
        <v/>
      </c>
      <c r="D585">
        <f>"CPR / First Aid – "&amp;IF(LEN(INDEX('Aides'!$A$4:$A$503,82))=0,"",INDEX('Aides'!$A$4:$A$503,82))</f>
        <v/>
      </c>
      <c r="E585">
        <f>IF(ISNUMBER(INDEX('Aides'!$S$4:$S$503,82)),TEXT(INDEX('Aides'!$S$4:$S$503,82),"yyyy-mm-dd"),"")</f>
        <v/>
      </c>
      <c r="F585">
        <f>"Training"</f>
        <v/>
      </c>
      <c r="G585">
        <f>"Medium"</f>
        <v/>
      </c>
      <c r="H585">
        <f>TRIM(IF(LEN(IF(LEN(INDEX('Aides'!$U$4:$U$503,82))=0,"",INDEX('Aides'!$U$4:$U$503,82)))=0,"","Owner: "&amp;IF(LEN(INDEX('Aides'!$U$4:$U$503,82))=0,"",INDEX('Aides'!$U$4:$U$503,82))&amp;". "))</f>
        <v/>
      </c>
      <c r="I585">
        <f>""</f>
        <v/>
      </c>
      <c r="J585">
        <f>IF(LEN(INDEX('Aides'!$V$4:$V$503,82))=0,"",INDEX('Aides'!$V$4:$V$503,82))</f>
        <v/>
      </c>
    </row>
    <row r="586">
      <c r="A586">
        <f>IF(AND(LEN('Aides'!A86)&gt;0,ISNUMBER('Aides'!S86)),1,0)</f>
        <v/>
      </c>
      <c r="B586">
        <f>B585+A586</f>
        <v/>
      </c>
      <c r="C586">
        <f>IF(583&gt;$B$1503,"",MATCH(583-0.5,$B$3:$B$1503,1))</f>
        <v/>
      </c>
      <c r="D586">
        <f>"CPR / First Aid – "&amp;IF(LEN(INDEX('Aides'!$A$4:$A$503,83))=0,"",INDEX('Aides'!$A$4:$A$503,83))</f>
        <v/>
      </c>
      <c r="E586">
        <f>IF(ISNUMBER(INDEX('Aides'!$S$4:$S$503,83)),TEXT(INDEX('Aides'!$S$4:$S$503,83),"yyyy-mm-dd"),"")</f>
        <v/>
      </c>
      <c r="F586">
        <f>"Training"</f>
        <v/>
      </c>
      <c r="G586">
        <f>"Medium"</f>
        <v/>
      </c>
      <c r="H586">
        <f>TRIM(IF(LEN(IF(LEN(INDEX('Aides'!$U$4:$U$503,83))=0,"",INDEX('Aides'!$U$4:$U$503,83)))=0,"","Owner: "&amp;IF(LEN(INDEX('Aides'!$U$4:$U$503,83))=0,"",INDEX('Aides'!$U$4:$U$503,83))&amp;". "))</f>
        <v/>
      </c>
      <c r="I586">
        <f>""</f>
        <v/>
      </c>
      <c r="J586">
        <f>IF(LEN(INDEX('Aides'!$V$4:$V$503,83))=0,"",INDEX('Aides'!$V$4:$V$503,83))</f>
        <v/>
      </c>
    </row>
    <row r="587">
      <c r="A587">
        <f>IF(AND(LEN('Aides'!A87)&gt;0,ISNUMBER('Aides'!S87)),1,0)</f>
        <v/>
      </c>
      <c r="B587">
        <f>B586+A587</f>
        <v/>
      </c>
      <c r="C587">
        <f>IF(584&gt;$B$1503,"",MATCH(584-0.5,$B$3:$B$1503,1))</f>
        <v/>
      </c>
      <c r="D587">
        <f>"CPR / First Aid – "&amp;IF(LEN(INDEX('Aides'!$A$4:$A$503,84))=0,"",INDEX('Aides'!$A$4:$A$503,84))</f>
        <v/>
      </c>
      <c r="E587">
        <f>IF(ISNUMBER(INDEX('Aides'!$S$4:$S$503,84)),TEXT(INDEX('Aides'!$S$4:$S$503,84),"yyyy-mm-dd"),"")</f>
        <v/>
      </c>
      <c r="F587">
        <f>"Training"</f>
        <v/>
      </c>
      <c r="G587">
        <f>"Medium"</f>
        <v/>
      </c>
      <c r="H587">
        <f>TRIM(IF(LEN(IF(LEN(INDEX('Aides'!$U$4:$U$503,84))=0,"",INDEX('Aides'!$U$4:$U$503,84)))=0,"","Owner: "&amp;IF(LEN(INDEX('Aides'!$U$4:$U$503,84))=0,"",INDEX('Aides'!$U$4:$U$503,84))&amp;". "))</f>
        <v/>
      </c>
      <c r="I587">
        <f>""</f>
        <v/>
      </c>
      <c r="J587">
        <f>IF(LEN(INDEX('Aides'!$V$4:$V$503,84))=0,"",INDEX('Aides'!$V$4:$V$503,84))</f>
        <v/>
      </c>
    </row>
    <row r="588">
      <c r="A588">
        <f>IF(AND(LEN('Aides'!A88)&gt;0,ISNUMBER('Aides'!S88)),1,0)</f>
        <v/>
      </c>
      <c r="B588">
        <f>B587+A588</f>
        <v/>
      </c>
      <c r="C588">
        <f>IF(585&gt;$B$1503,"",MATCH(585-0.5,$B$3:$B$1503,1))</f>
        <v/>
      </c>
      <c r="D588">
        <f>"CPR / First Aid – "&amp;IF(LEN(INDEX('Aides'!$A$4:$A$503,85))=0,"",INDEX('Aides'!$A$4:$A$503,85))</f>
        <v/>
      </c>
      <c r="E588">
        <f>IF(ISNUMBER(INDEX('Aides'!$S$4:$S$503,85)),TEXT(INDEX('Aides'!$S$4:$S$503,85),"yyyy-mm-dd"),"")</f>
        <v/>
      </c>
      <c r="F588">
        <f>"Training"</f>
        <v/>
      </c>
      <c r="G588">
        <f>"Medium"</f>
        <v/>
      </c>
      <c r="H588">
        <f>TRIM(IF(LEN(IF(LEN(INDEX('Aides'!$U$4:$U$503,85))=0,"",INDEX('Aides'!$U$4:$U$503,85)))=0,"","Owner: "&amp;IF(LEN(INDEX('Aides'!$U$4:$U$503,85))=0,"",INDEX('Aides'!$U$4:$U$503,85))&amp;". "))</f>
        <v/>
      </c>
      <c r="I588">
        <f>""</f>
        <v/>
      </c>
      <c r="J588">
        <f>IF(LEN(INDEX('Aides'!$V$4:$V$503,85))=0,"",INDEX('Aides'!$V$4:$V$503,85))</f>
        <v/>
      </c>
    </row>
    <row r="589">
      <c r="A589">
        <f>IF(AND(LEN('Aides'!A89)&gt;0,ISNUMBER('Aides'!S89)),1,0)</f>
        <v/>
      </c>
      <c r="B589">
        <f>B588+A589</f>
        <v/>
      </c>
      <c r="C589">
        <f>IF(586&gt;$B$1503,"",MATCH(586-0.5,$B$3:$B$1503,1))</f>
        <v/>
      </c>
      <c r="D589">
        <f>"CPR / First Aid – "&amp;IF(LEN(INDEX('Aides'!$A$4:$A$503,86))=0,"",INDEX('Aides'!$A$4:$A$503,86))</f>
        <v/>
      </c>
      <c r="E589">
        <f>IF(ISNUMBER(INDEX('Aides'!$S$4:$S$503,86)),TEXT(INDEX('Aides'!$S$4:$S$503,86),"yyyy-mm-dd"),"")</f>
        <v/>
      </c>
      <c r="F589">
        <f>"Training"</f>
        <v/>
      </c>
      <c r="G589">
        <f>"Medium"</f>
        <v/>
      </c>
      <c r="H589">
        <f>TRIM(IF(LEN(IF(LEN(INDEX('Aides'!$U$4:$U$503,86))=0,"",INDEX('Aides'!$U$4:$U$503,86)))=0,"","Owner: "&amp;IF(LEN(INDEX('Aides'!$U$4:$U$503,86))=0,"",INDEX('Aides'!$U$4:$U$503,86))&amp;". "))</f>
        <v/>
      </c>
      <c r="I589">
        <f>""</f>
        <v/>
      </c>
      <c r="J589">
        <f>IF(LEN(INDEX('Aides'!$V$4:$V$503,86))=0,"",INDEX('Aides'!$V$4:$V$503,86))</f>
        <v/>
      </c>
    </row>
    <row r="590">
      <c r="A590">
        <f>IF(AND(LEN('Aides'!A90)&gt;0,ISNUMBER('Aides'!S90)),1,0)</f>
        <v/>
      </c>
      <c r="B590">
        <f>B589+A590</f>
        <v/>
      </c>
      <c r="C590">
        <f>IF(587&gt;$B$1503,"",MATCH(587-0.5,$B$3:$B$1503,1))</f>
        <v/>
      </c>
      <c r="D590">
        <f>"CPR / First Aid – "&amp;IF(LEN(INDEX('Aides'!$A$4:$A$503,87))=0,"",INDEX('Aides'!$A$4:$A$503,87))</f>
        <v/>
      </c>
      <c r="E590">
        <f>IF(ISNUMBER(INDEX('Aides'!$S$4:$S$503,87)),TEXT(INDEX('Aides'!$S$4:$S$503,87),"yyyy-mm-dd"),"")</f>
        <v/>
      </c>
      <c r="F590">
        <f>"Training"</f>
        <v/>
      </c>
      <c r="G590">
        <f>"Medium"</f>
        <v/>
      </c>
      <c r="H590">
        <f>TRIM(IF(LEN(IF(LEN(INDEX('Aides'!$U$4:$U$503,87))=0,"",INDEX('Aides'!$U$4:$U$503,87)))=0,"","Owner: "&amp;IF(LEN(INDEX('Aides'!$U$4:$U$503,87))=0,"",INDEX('Aides'!$U$4:$U$503,87))&amp;". "))</f>
        <v/>
      </c>
      <c r="I590">
        <f>""</f>
        <v/>
      </c>
      <c r="J590">
        <f>IF(LEN(INDEX('Aides'!$V$4:$V$503,87))=0,"",INDEX('Aides'!$V$4:$V$503,87))</f>
        <v/>
      </c>
    </row>
    <row r="591">
      <c r="A591">
        <f>IF(AND(LEN('Aides'!A91)&gt;0,ISNUMBER('Aides'!S91)),1,0)</f>
        <v/>
      </c>
      <c r="B591">
        <f>B590+A591</f>
        <v/>
      </c>
      <c r="C591">
        <f>IF(588&gt;$B$1503,"",MATCH(588-0.5,$B$3:$B$1503,1))</f>
        <v/>
      </c>
      <c r="D591">
        <f>"CPR / First Aid – "&amp;IF(LEN(INDEX('Aides'!$A$4:$A$503,88))=0,"",INDEX('Aides'!$A$4:$A$503,88))</f>
        <v/>
      </c>
      <c r="E591">
        <f>IF(ISNUMBER(INDEX('Aides'!$S$4:$S$503,88)),TEXT(INDEX('Aides'!$S$4:$S$503,88),"yyyy-mm-dd"),"")</f>
        <v/>
      </c>
      <c r="F591">
        <f>"Training"</f>
        <v/>
      </c>
      <c r="G591">
        <f>"Medium"</f>
        <v/>
      </c>
      <c r="H591">
        <f>TRIM(IF(LEN(IF(LEN(INDEX('Aides'!$U$4:$U$503,88))=0,"",INDEX('Aides'!$U$4:$U$503,88)))=0,"","Owner: "&amp;IF(LEN(INDEX('Aides'!$U$4:$U$503,88))=0,"",INDEX('Aides'!$U$4:$U$503,88))&amp;". "))</f>
        <v/>
      </c>
      <c r="I591">
        <f>""</f>
        <v/>
      </c>
      <c r="J591">
        <f>IF(LEN(INDEX('Aides'!$V$4:$V$503,88))=0,"",INDEX('Aides'!$V$4:$V$503,88))</f>
        <v/>
      </c>
    </row>
    <row r="592">
      <c r="A592">
        <f>IF(AND(LEN('Aides'!A92)&gt;0,ISNUMBER('Aides'!S92)),1,0)</f>
        <v/>
      </c>
      <c r="B592">
        <f>B591+A592</f>
        <v/>
      </c>
      <c r="C592">
        <f>IF(589&gt;$B$1503,"",MATCH(589-0.5,$B$3:$B$1503,1))</f>
        <v/>
      </c>
      <c r="D592">
        <f>"CPR / First Aid – "&amp;IF(LEN(INDEX('Aides'!$A$4:$A$503,89))=0,"",INDEX('Aides'!$A$4:$A$503,89))</f>
        <v/>
      </c>
      <c r="E592">
        <f>IF(ISNUMBER(INDEX('Aides'!$S$4:$S$503,89)),TEXT(INDEX('Aides'!$S$4:$S$503,89),"yyyy-mm-dd"),"")</f>
        <v/>
      </c>
      <c r="F592">
        <f>"Training"</f>
        <v/>
      </c>
      <c r="G592">
        <f>"Medium"</f>
        <v/>
      </c>
      <c r="H592">
        <f>TRIM(IF(LEN(IF(LEN(INDEX('Aides'!$U$4:$U$503,89))=0,"",INDEX('Aides'!$U$4:$U$503,89)))=0,"","Owner: "&amp;IF(LEN(INDEX('Aides'!$U$4:$U$503,89))=0,"",INDEX('Aides'!$U$4:$U$503,89))&amp;". "))</f>
        <v/>
      </c>
      <c r="I592">
        <f>""</f>
        <v/>
      </c>
      <c r="J592">
        <f>IF(LEN(INDEX('Aides'!$V$4:$V$503,89))=0,"",INDEX('Aides'!$V$4:$V$503,89))</f>
        <v/>
      </c>
    </row>
    <row r="593">
      <c r="A593">
        <f>IF(AND(LEN('Aides'!A93)&gt;0,ISNUMBER('Aides'!S93)),1,0)</f>
        <v/>
      </c>
      <c r="B593">
        <f>B592+A593</f>
        <v/>
      </c>
      <c r="C593">
        <f>IF(590&gt;$B$1503,"",MATCH(590-0.5,$B$3:$B$1503,1))</f>
        <v/>
      </c>
      <c r="D593">
        <f>"CPR / First Aid – "&amp;IF(LEN(INDEX('Aides'!$A$4:$A$503,90))=0,"",INDEX('Aides'!$A$4:$A$503,90))</f>
        <v/>
      </c>
      <c r="E593">
        <f>IF(ISNUMBER(INDEX('Aides'!$S$4:$S$503,90)),TEXT(INDEX('Aides'!$S$4:$S$503,90),"yyyy-mm-dd"),"")</f>
        <v/>
      </c>
      <c r="F593">
        <f>"Training"</f>
        <v/>
      </c>
      <c r="G593">
        <f>"Medium"</f>
        <v/>
      </c>
      <c r="H593">
        <f>TRIM(IF(LEN(IF(LEN(INDEX('Aides'!$U$4:$U$503,90))=0,"",INDEX('Aides'!$U$4:$U$503,90)))=0,"","Owner: "&amp;IF(LEN(INDEX('Aides'!$U$4:$U$503,90))=0,"",INDEX('Aides'!$U$4:$U$503,90))&amp;". "))</f>
        <v/>
      </c>
      <c r="I593">
        <f>""</f>
        <v/>
      </c>
      <c r="J593">
        <f>IF(LEN(INDEX('Aides'!$V$4:$V$503,90))=0,"",INDEX('Aides'!$V$4:$V$503,90))</f>
        <v/>
      </c>
    </row>
    <row r="594">
      <c r="A594">
        <f>IF(AND(LEN('Aides'!A94)&gt;0,ISNUMBER('Aides'!S94)),1,0)</f>
        <v/>
      </c>
      <c r="B594">
        <f>B593+A594</f>
        <v/>
      </c>
      <c r="C594">
        <f>IF(591&gt;$B$1503,"",MATCH(591-0.5,$B$3:$B$1503,1))</f>
        <v/>
      </c>
      <c r="D594">
        <f>"CPR / First Aid – "&amp;IF(LEN(INDEX('Aides'!$A$4:$A$503,91))=0,"",INDEX('Aides'!$A$4:$A$503,91))</f>
        <v/>
      </c>
      <c r="E594">
        <f>IF(ISNUMBER(INDEX('Aides'!$S$4:$S$503,91)),TEXT(INDEX('Aides'!$S$4:$S$503,91),"yyyy-mm-dd"),"")</f>
        <v/>
      </c>
      <c r="F594">
        <f>"Training"</f>
        <v/>
      </c>
      <c r="G594">
        <f>"Medium"</f>
        <v/>
      </c>
      <c r="H594">
        <f>TRIM(IF(LEN(IF(LEN(INDEX('Aides'!$U$4:$U$503,91))=0,"",INDEX('Aides'!$U$4:$U$503,91)))=0,"","Owner: "&amp;IF(LEN(INDEX('Aides'!$U$4:$U$503,91))=0,"",INDEX('Aides'!$U$4:$U$503,91))&amp;". "))</f>
        <v/>
      </c>
      <c r="I594">
        <f>""</f>
        <v/>
      </c>
      <c r="J594">
        <f>IF(LEN(INDEX('Aides'!$V$4:$V$503,91))=0,"",INDEX('Aides'!$V$4:$V$503,91))</f>
        <v/>
      </c>
    </row>
    <row r="595">
      <c r="A595">
        <f>IF(AND(LEN('Aides'!A95)&gt;0,ISNUMBER('Aides'!S95)),1,0)</f>
        <v/>
      </c>
      <c r="B595">
        <f>B594+A595</f>
        <v/>
      </c>
      <c r="C595">
        <f>IF(592&gt;$B$1503,"",MATCH(592-0.5,$B$3:$B$1503,1))</f>
        <v/>
      </c>
      <c r="D595">
        <f>"CPR / First Aid – "&amp;IF(LEN(INDEX('Aides'!$A$4:$A$503,92))=0,"",INDEX('Aides'!$A$4:$A$503,92))</f>
        <v/>
      </c>
      <c r="E595">
        <f>IF(ISNUMBER(INDEX('Aides'!$S$4:$S$503,92)),TEXT(INDEX('Aides'!$S$4:$S$503,92),"yyyy-mm-dd"),"")</f>
        <v/>
      </c>
      <c r="F595">
        <f>"Training"</f>
        <v/>
      </c>
      <c r="G595">
        <f>"Medium"</f>
        <v/>
      </c>
      <c r="H595">
        <f>TRIM(IF(LEN(IF(LEN(INDEX('Aides'!$U$4:$U$503,92))=0,"",INDEX('Aides'!$U$4:$U$503,92)))=0,"","Owner: "&amp;IF(LEN(INDEX('Aides'!$U$4:$U$503,92))=0,"",INDEX('Aides'!$U$4:$U$503,92))&amp;". "))</f>
        <v/>
      </c>
      <c r="I595">
        <f>""</f>
        <v/>
      </c>
      <c r="J595">
        <f>IF(LEN(INDEX('Aides'!$V$4:$V$503,92))=0,"",INDEX('Aides'!$V$4:$V$503,92))</f>
        <v/>
      </c>
    </row>
    <row r="596">
      <c r="A596">
        <f>IF(AND(LEN('Aides'!A96)&gt;0,ISNUMBER('Aides'!S96)),1,0)</f>
        <v/>
      </c>
      <c r="B596">
        <f>B595+A596</f>
        <v/>
      </c>
      <c r="C596">
        <f>IF(593&gt;$B$1503,"",MATCH(593-0.5,$B$3:$B$1503,1))</f>
        <v/>
      </c>
      <c r="D596">
        <f>"CPR / First Aid – "&amp;IF(LEN(INDEX('Aides'!$A$4:$A$503,93))=0,"",INDEX('Aides'!$A$4:$A$503,93))</f>
        <v/>
      </c>
      <c r="E596">
        <f>IF(ISNUMBER(INDEX('Aides'!$S$4:$S$503,93)),TEXT(INDEX('Aides'!$S$4:$S$503,93),"yyyy-mm-dd"),"")</f>
        <v/>
      </c>
      <c r="F596">
        <f>"Training"</f>
        <v/>
      </c>
      <c r="G596">
        <f>"Medium"</f>
        <v/>
      </c>
      <c r="H596">
        <f>TRIM(IF(LEN(IF(LEN(INDEX('Aides'!$U$4:$U$503,93))=0,"",INDEX('Aides'!$U$4:$U$503,93)))=0,"","Owner: "&amp;IF(LEN(INDEX('Aides'!$U$4:$U$503,93))=0,"",INDEX('Aides'!$U$4:$U$503,93))&amp;". "))</f>
        <v/>
      </c>
      <c r="I596">
        <f>""</f>
        <v/>
      </c>
      <c r="J596">
        <f>IF(LEN(INDEX('Aides'!$V$4:$V$503,93))=0,"",INDEX('Aides'!$V$4:$V$503,93))</f>
        <v/>
      </c>
    </row>
    <row r="597">
      <c r="A597">
        <f>IF(AND(LEN('Aides'!A97)&gt;0,ISNUMBER('Aides'!S97)),1,0)</f>
        <v/>
      </c>
      <c r="B597">
        <f>B596+A597</f>
        <v/>
      </c>
      <c r="C597">
        <f>IF(594&gt;$B$1503,"",MATCH(594-0.5,$B$3:$B$1503,1))</f>
        <v/>
      </c>
      <c r="D597">
        <f>"CPR / First Aid – "&amp;IF(LEN(INDEX('Aides'!$A$4:$A$503,94))=0,"",INDEX('Aides'!$A$4:$A$503,94))</f>
        <v/>
      </c>
      <c r="E597">
        <f>IF(ISNUMBER(INDEX('Aides'!$S$4:$S$503,94)),TEXT(INDEX('Aides'!$S$4:$S$503,94),"yyyy-mm-dd"),"")</f>
        <v/>
      </c>
      <c r="F597">
        <f>"Training"</f>
        <v/>
      </c>
      <c r="G597">
        <f>"Medium"</f>
        <v/>
      </c>
      <c r="H597">
        <f>TRIM(IF(LEN(IF(LEN(INDEX('Aides'!$U$4:$U$503,94))=0,"",INDEX('Aides'!$U$4:$U$503,94)))=0,"","Owner: "&amp;IF(LEN(INDEX('Aides'!$U$4:$U$503,94))=0,"",INDEX('Aides'!$U$4:$U$503,94))&amp;". "))</f>
        <v/>
      </c>
      <c r="I597">
        <f>""</f>
        <v/>
      </c>
      <c r="J597">
        <f>IF(LEN(INDEX('Aides'!$V$4:$V$503,94))=0,"",INDEX('Aides'!$V$4:$V$503,94))</f>
        <v/>
      </c>
    </row>
    <row r="598">
      <c r="A598">
        <f>IF(AND(LEN('Aides'!A98)&gt;0,ISNUMBER('Aides'!S98)),1,0)</f>
        <v/>
      </c>
      <c r="B598">
        <f>B597+A598</f>
        <v/>
      </c>
      <c r="C598">
        <f>IF(595&gt;$B$1503,"",MATCH(595-0.5,$B$3:$B$1503,1))</f>
        <v/>
      </c>
      <c r="D598">
        <f>"CPR / First Aid – "&amp;IF(LEN(INDEX('Aides'!$A$4:$A$503,95))=0,"",INDEX('Aides'!$A$4:$A$503,95))</f>
        <v/>
      </c>
      <c r="E598">
        <f>IF(ISNUMBER(INDEX('Aides'!$S$4:$S$503,95)),TEXT(INDEX('Aides'!$S$4:$S$503,95),"yyyy-mm-dd"),"")</f>
        <v/>
      </c>
      <c r="F598">
        <f>"Training"</f>
        <v/>
      </c>
      <c r="G598">
        <f>"Medium"</f>
        <v/>
      </c>
      <c r="H598">
        <f>TRIM(IF(LEN(IF(LEN(INDEX('Aides'!$U$4:$U$503,95))=0,"",INDEX('Aides'!$U$4:$U$503,95)))=0,"","Owner: "&amp;IF(LEN(INDEX('Aides'!$U$4:$U$503,95))=0,"",INDEX('Aides'!$U$4:$U$503,95))&amp;". "))</f>
        <v/>
      </c>
      <c r="I598">
        <f>""</f>
        <v/>
      </c>
      <c r="J598">
        <f>IF(LEN(INDEX('Aides'!$V$4:$V$503,95))=0,"",INDEX('Aides'!$V$4:$V$503,95))</f>
        <v/>
      </c>
    </row>
    <row r="599">
      <c r="A599">
        <f>IF(AND(LEN('Aides'!A99)&gt;0,ISNUMBER('Aides'!S99)),1,0)</f>
        <v/>
      </c>
      <c r="B599">
        <f>B598+A599</f>
        <v/>
      </c>
      <c r="C599">
        <f>IF(596&gt;$B$1503,"",MATCH(596-0.5,$B$3:$B$1503,1))</f>
        <v/>
      </c>
      <c r="D599">
        <f>"CPR / First Aid – "&amp;IF(LEN(INDEX('Aides'!$A$4:$A$503,96))=0,"",INDEX('Aides'!$A$4:$A$503,96))</f>
        <v/>
      </c>
      <c r="E599">
        <f>IF(ISNUMBER(INDEX('Aides'!$S$4:$S$503,96)),TEXT(INDEX('Aides'!$S$4:$S$503,96),"yyyy-mm-dd"),"")</f>
        <v/>
      </c>
      <c r="F599">
        <f>"Training"</f>
        <v/>
      </c>
      <c r="G599">
        <f>"Medium"</f>
        <v/>
      </c>
      <c r="H599">
        <f>TRIM(IF(LEN(IF(LEN(INDEX('Aides'!$U$4:$U$503,96))=0,"",INDEX('Aides'!$U$4:$U$503,96)))=0,"","Owner: "&amp;IF(LEN(INDEX('Aides'!$U$4:$U$503,96))=0,"",INDEX('Aides'!$U$4:$U$503,96))&amp;". "))</f>
        <v/>
      </c>
      <c r="I599">
        <f>""</f>
        <v/>
      </c>
      <c r="J599">
        <f>IF(LEN(INDEX('Aides'!$V$4:$V$503,96))=0,"",INDEX('Aides'!$V$4:$V$503,96))</f>
        <v/>
      </c>
    </row>
    <row r="600">
      <c r="A600">
        <f>IF(AND(LEN('Aides'!A100)&gt;0,ISNUMBER('Aides'!S100)),1,0)</f>
        <v/>
      </c>
      <c r="B600">
        <f>B599+A600</f>
        <v/>
      </c>
      <c r="C600">
        <f>IF(597&gt;$B$1503,"",MATCH(597-0.5,$B$3:$B$1503,1))</f>
        <v/>
      </c>
      <c r="D600">
        <f>"CPR / First Aid – "&amp;IF(LEN(INDEX('Aides'!$A$4:$A$503,97))=0,"",INDEX('Aides'!$A$4:$A$503,97))</f>
        <v/>
      </c>
      <c r="E600">
        <f>IF(ISNUMBER(INDEX('Aides'!$S$4:$S$503,97)),TEXT(INDEX('Aides'!$S$4:$S$503,97),"yyyy-mm-dd"),"")</f>
        <v/>
      </c>
      <c r="F600">
        <f>"Training"</f>
        <v/>
      </c>
      <c r="G600">
        <f>"Medium"</f>
        <v/>
      </c>
      <c r="H600">
        <f>TRIM(IF(LEN(IF(LEN(INDEX('Aides'!$U$4:$U$503,97))=0,"",INDEX('Aides'!$U$4:$U$503,97)))=0,"","Owner: "&amp;IF(LEN(INDEX('Aides'!$U$4:$U$503,97))=0,"",INDEX('Aides'!$U$4:$U$503,97))&amp;". "))</f>
        <v/>
      </c>
      <c r="I600">
        <f>""</f>
        <v/>
      </c>
      <c r="J600">
        <f>IF(LEN(INDEX('Aides'!$V$4:$V$503,97))=0,"",INDEX('Aides'!$V$4:$V$503,97))</f>
        <v/>
      </c>
    </row>
    <row r="601">
      <c r="A601">
        <f>IF(AND(LEN('Aides'!A101)&gt;0,ISNUMBER('Aides'!S101)),1,0)</f>
        <v/>
      </c>
      <c r="B601">
        <f>B600+A601</f>
        <v/>
      </c>
      <c r="C601">
        <f>IF(598&gt;$B$1503,"",MATCH(598-0.5,$B$3:$B$1503,1))</f>
        <v/>
      </c>
      <c r="D601">
        <f>"CPR / First Aid – "&amp;IF(LEN(INDEX('Aides'!$A$4:$A$503,98))=0,"",INDEX('Aides'!$A$4:$A$503,98))</f>
        <v/>
      </c>
      <c r="E601">
        <f>IF(ISNUMBER(INDEX('Aides'!$S$4:$S$503,98)),TEXT(INDEX('Aides'!$S$4:$S$503,98),"yyyy-mm-dd"),"")</f>
        <v/>
      </c>
      <c r="F601">
        <f>"Training"</f>
        <v/>
      </c>
      <c r="G601">
        <f>"Medium"</f>
        <v/>
      </c>
      <c r="H601">
        <f>TRIM(IF(LEN(IF(LEN(INDEX('Aides'!$U$4:$U$503,98))=0,"",INDEX('Aides'!$U$4:$U$503,98)))=0,"","Owner: "&amp;IF(LEN(INDEX('Aides'!$U$4:$U$503,98))=0,"",INDEX('Aides'!$U$4:$U$503,98))&amp;". "))</f>
        <v/>
      </c>
      <c r="I601">
        <f>""</f>
        <v/>
      </c>
      <c r="J601">
        <f>IF(LEN(INDEX('Aides'!$V$4:$V$503,98))=0,"",INDEX('Aides'!$V$4:$V$503,98))</f>
        <v/>
      </c>
    </row>
    <row r="602">
      <c r="A602">
        <f>IF(AND(LEN('Aides'!A102)&gt;0,ISNUMBER('Aides'!S102)),1,0)</f>
        <v/>
      </c>
      <c r="B602">
        <f>B601+A602</f>
        <v/>
      </c>
      <c r="C602">
        <f>IF(599&gt;$B$1503,"",MATCH(599-0.5,$B$3:$B$1503,1))</f>
        <v/>
      </c>
      <c r="D602">
        <f>"CPR / First Aid – "&amp;IF(LEN(INDEX('Aides'!$A$4:$A$503,99))=0,"",INDEX('Aides'!$A$4:$A$503,99))</f>
        <v/>
      </c>
      <c r="E602">
        <f>IF(ISNUMBER(INDEX('Aides'!$S$4:$S$503,99)),TEXT(INDEX('Aides'!$S$4:$S$503,99),"yyyy-mm-dd"),"")</f>
        <v/>
      </c>
      <c r="F602">
        <f>"Training"</f>
        <v/>
      </c>
      <c r="G602">
        <f>"Medium"</f>
        <v/>
      </c>
      <c r="H602">
        <f>TRIM(IF(LEN(IF(LEN(INDEX('Aides'!$U$4:$U$503,99))=0,"",INDEX('Aides'!$U$4:$U$503,99)))=0,"","Owner: "&amp;IF(LEN(INDEX('Aides'!$U$4:$U$503,99))=0,"",INDEX('Aides'!$U$4:$U$503,99))&amp;". "))</f>
        <v/>
      </c>
      <c r="I602">
        <f>""</f>
        <v/>
      </c>
      <c r="J602">
        <f>IF(LEN(INDEX('Aides'!$V$4:$V$503,99))=0,"",INDEX('Aides'!$V$4:$V$503,99))</f>
        <v/>
      </c>
    </row>
    <row r="603">
      <c r="A603">
        <f>IF(AND(LEN('Aides'!A103)&gt;0,ISNUMBER('Aides'!S103)),1,0)</f>
        <v/>
      </c>
      <c r="B603">
        <f>B602+A603</f>
        <v/>
      </c>
      <c r="C603">
        <f>IF(600&gt;$B$1503,"",MATCH(600-0.5,$B$3:$B$1503,1))</f>
        <v/>
      </c>
      <c r="D603">
        <f>"CPR / First Aid – "&amp;IF(LEN(INDEX('Aides'!$A$4:$A$503,100))=0,"",INDEX('Aides'!$A$4:$A$503,100))</f>
        <v/>
      </c>
      <c r="E603">
        <f>IF(ISNUMBER(INDEX('Aides'!$S$4:$S$503,100)),TEXT(INDEX('Aides'!$S$4:$S$503,100),"yyyy-mm-dd"),"")</f>
        <v/>
      </c>
      <c r="F603">
        <f>"Training"</f>
        <v/>
      </c>
      <c r="G603">
        <f>"Medium"</f>
        <v/>
      </c>
      <c r="H603">
        <f>TRIM(IF(LEN(IF(LEN(INDEX('Aides'!$U$4:$U$503,100))=0,"",INDEX('Aides'!$U$4:$U$503,100)))=0,"","Owner: "&amp;IF(LEN(INDEX('Aides'!$U$4:$U$503,100))=0,"",INDEX('Aides'!$U$4:$U$503,100))&amp;". "))</f>
        <v/>
      </c>
      <c r="I603">
        <f>""</f>
        <v/>
      </c>
      <c r="J603">
        <f>IF(LEN(INDEX('Aides'!$V$4:$V$503,100))=0,"",INDEX('Aides'!$V$4:$V$503,100))</f>
        <v/>
      </c>
    </row>
    <row r="604">
      <c r="A604">
        <f>IF(AND(LEN('Aides'!A104)&gt;0,ISNUMBER('Aides'!S104)),1,0)</f>
        <v/>
      </c>
      <c r="B604">
        <f>B603+A604</f>
        <v/>
      </c>
      <c r="C604">
        <f>IF(601&gt;$B$1503,"",MATCH(601-0.5,$B$3:$B$1503,1))</f>
        <v/>
      </c>
      <c r="D604">
        <f>"CPR / First Aid – "&amp;IF(LEN(INDEX('Aides'!$A$4:$A$503,101))=0,"",INDEX('Aides'!$A$4:$A$503,101))</f>
        <v/>
      </c>
      <c r="E604">
        <f>IF(ISNUMBER(INDEX('Aides'!$S$4:$S$503,101)),TEXT(INDEX('Aides'!$S$4:$S$503,101),"yyyy-mm-dd"),"")</f>
        <v/>
      </c>
      <c r="F604">
        <f>"Training"</f>
        <v/>
      </c>
      <c r="G604">
        <f>"Medium"</f>
        <v/>
      </c>
      <c r="H604">
        <f>TRIM(IF(LEN(IF(LEN(INDEX('Aides'!$U$4:$U$503,101))=0,"",INDEX('Aides'!$U$4:$U$503,101)))=0,"","Owner: "&amp;IF(LEN(INDEX('Aides'!$U$4:$U$503,101))=0,"",INDEX('Aides'!$U$4:$U$503,101))&amp;". "))</f>
        <v/>
      </c>
      <c r="I604">
        <f>""</f>
        <v/>
      </c>
      <c r="J604">
        <f>IF(LEN(INDEX('Aides'!$V$4:$V$503,101))=0,"",INDEX('Aides'!$V$4:$V$503,101))</f>
        <v/>
      </c>
    </row>
    <row r="605">
      <c r="A605">
        <f>IF(AND(LEN('Aides'!A105)&gt;0,ISNUMBER('Aides'!S105)),1,0)</f>
        <v/>
      </c>
      <c r="B605">
        <f>B604+A605</f>
        <v/>
      </c>
      <c r="C605">
        <f>IF(602&gt;$B$1503,"",MATCH(602-0.5,$B$3:$B$1503,1))</f>
        <v/>
      </c>
      <c r="D605">
        <f>"CPR / First Aid – "&amp;IF(LEN(INDEX('Aides'!$A$4:$A$503,102))=0,"",INDEX('Aides'!$A$4:$A$503,102))</f>
        <v/>
      </c>
      <c r="E605">
        <f>IF(ISNUMBER(INDEX('Aides'!$S$4:$S$503,102)),TEXT(INDEX('Aides'!$S$4:$S$503,102),"yyyy-mm-dd"),"")</f>
        <v/>
      </c>
      <c r="F605">
        <f>"Training"</f>
        <v/>
      </c>
      <c r="G605">
        <f>"Medium"</f>
        <v/>
      </c>
      <c r="H605">
        <f>TRIM(IF(LEN(IF(LEN(INDEX('Aides'!$U$4:$U$503,102))=0,"",INDEX('Aides'!$U$4:$U$503,102)))=0,"","Owner: "&amp;IF(LEN(INDEX('Aides'!$U$4:$U$503,102))=0,"",INDEX('Aides'!$U$4:$U$503,102))&amp;". "))</f>
        <v/>
      </c>
      <c r="I605">
        <f>""</f>
        <v/>
      </c>
      <c r="J605">
        <f>IF(LEN(INDEX('Aides'!$V$4:$V$503,102))=0,"",INDEX('Aides'!$V$4:$V$503,102))</f>
        <v/>
      </c>
    </row>
    <row r="606">
      <c r="A606">
        <f>IF(AND(LEN('Aides'!A106)&gt;0,ISNUMBER('Aides'!S106)),1,0)</f>
        <v/>
      </c>
      <c r="B606">
        <f>B605+A606</f>
        <v/>
      </c>
      <c r="C606">
        <f>IF(603&gt;$B$1503,"",MATCH(603-0.5,$B$3:$B$1503,1))</f>
        <v/>
      </c>
      <c r="D606">
        <f>"CPR / First Aid – "&amp;IF(LEN(INDEX('Aides'!$A$4:$A$503,103))=0,"",INDEX('Aides'!$A$4:$A$503,103))</f>
        <v/>
      </c>
      <c r="E606">
        <f>IF(ISNUMBER(INDEX('Aides'!$S$4:$S$503,103)),TEXT(INDEX('Aides'!$S$4:$S$503,103),"yyyy-mm-dd"),"")</f>
        <v/>
      </c>
      <c r="F606">
        <f>"Training"</f>
        <v/>
      </c>
      <c r="G606">
        <f>"Medium"</f>
        <v/>
      </c>
      <c r="H606">
        <f>TRIM(IF(LEN(IF(LEN(INDEX('Aides'!$U$4:$U$503,103))=0,"",INDEX('Aides'!$U$4:$U$503,103)))=0,"","Owner: "&amp;IF(LEN(INDEX('Aides'!$U$4:$U$503,103))=0,"",INDEX('Aides'!$U$4:$U$503,103))&amp;". "))</f>
        <v/>
      </c>
      <c r="I606">
        <f>""</f>
        <v/>
      </c>
      <c r="J606">
        <f>IF(LEN(INDEX('Aides'!$V$4:$V$503,103))=0,"",INDEX('Aides'!$V$4:$V$503,103))</f>
        <v/>
      </c>
    </row>
    <row r="607">
      <c r="A607">
        <f>IF(AND(LEN('Aides'!A107)&gt;0,ISNUMBER('Aides'!S107)),1,0)</f>
        <v/>
      </c>
      <c r="B607">
        <f>B606+A607</f>
        <v/>
      </c>
      <c r="C607">
        <f>IF(604&gt;$B$1503,"",MATCH(604-0.5,$B$3:$B$1503,1))</f>
        <v/>
      </c>
      <c r="D607">
        <f>"CPR / First Aid – "&amp;IF(LEN(INDEX('Aides'!$A$4:$A$503,104))=0,"",INDEX('Aides'!$A$4:$A$503,104))</f>
        <v/>
      </c>
      <c r="E607">
        <f>IF(ISNUMBER(INDEX('Aides'!$S$4:$S$503,104)),TEXT(INDEX('Aides'!$S$4:$S$503,104),"yyyy-mm-dd"),"")</f>
        <v/>
      </c>
      <c r="F607">
        <f>"Training"</f>
        <v/>
      </c>
      <c r="G607">
        <f>"Medium"</f>
        <v/>
      </c>
      <c r="H607">
        <f>TRIM(IF(LEN(IF(LEN(INDEX('Aides'!$U$4:$U$503,104))=0,"",INDEX('Aides'!$U$4:$U$503,104)))=0,"","Owner: "&amp;IF(LEN(INDEX('Aides'!$U$4:$U$503,104))=0,"",INDEX('Aides'!$U$4:$U$503,104))&amp;". "))</f>
        <v/>
      </c>
      <c r="I607">
        <f>""</f>
        <v/>
      </c>
      <c r="J607">
        <f>IF(LEN(INDEX('Aides'!$V$4:$V$503,104))=0,"",INDEX('Aides'!$V$4:$V$503,104))</f>
        <v/>
      </c>
    </row>
    <row r="608">
      <c r="A608">
        <f>IF(AND(LEN('Aides'!A108)&gt;0,ISNUMBER('Aides'!S108)),1,0)</f>
        <v/>
      </c>
      <c r="B608">
        <f>B607+A608</f>
        <v/>
      </c>
      <c r="C608">
        <f>IF(605&gt;$B$1503,"",MATCH(605-0.5,$B$3:$B$1503,1))</f>
        <v/>
      </c>
      <c r="D608">
        <f>"CPR / First Aid – "&amp;IF(LEN(INDEX('Aides'!$A$4:$A$503,105))=0,"",INDEX('Aides'!$A$4:$A$503,105))</f>
        <v/>
      </c>
      <c r="E608">
        <f>IF(ISNUMBER(INDEX('Aides'!$S$4:$S$503,105)),TEXT(INDEX('Aides'!$S$4:$S$503,105),"yyyy-mm-dd"),"")</f>
        <v/>
      </c>
      <c r="F608">
        <f>"Training"</f>
        <v/>
      </c>
      <c r="G608">
        <f>"Medium"</f>
        <v/>
      </c>
      <c r="H608">
        <f>TRIM(IF(LEN(IF(LEN(INDEX('Aides'!$U$4:$U$503,105))=0,"",INDEX('Aides'!$U$4:$U$503,105)))=0,"","Owner: "&amp;IF(LEN(INDEX('Aides'!$U$4:$U$503,105))=0,"",INDEX('Aides'!$U$4:$U$503,105))&amp;". "))</f>
        <v/>
      </c>
      <c r="I608">
        <f>""</f>
        <v/>
      </c>
      <c r="J608">
        <f>IF(LEN(INDEX('Aides'!$V$4:$V$503,105))=0,"",INDEX('Aides'!$V$4:$V$503,105))</f>
        <v/>
      </c>
    </row>
    <row r="609">
      <c r="A609">
        <f>IF(AND(LEN('Aides'!A109)&gt;0,ISNUMBER('Aides'!S109)),1,0)</f>
        <v/>
      </c>
      <c r="B609">
        <f>B608+A609</f>
        <v/>
      </c>
      <c r="C609">
        <f>IF(606&gt;$B$1503,"",MATCH(606-0.5,$B$3:$B$1503,1))</f>
        <v/>
      </c>
      <c r="D609">
        <f>"CPR / First Aid – "&amp;IF(LEN(INDEX('Aides'!$A$4:$A$503,106))=0,"",INDEX('Aides'!$A$4:$A$503,106))</f>
        <v/>
      </c>
      <c r="E609">
        <f>IF(ISNUMBER(INDEX('Aides'!$S$4:$S$503,106)),TEXT(INDEX('Aides'!$S$4:$S$503,106),"yyyy-mm-dd"),"")</f>
        <v/>
      </c>
      <c r="F609">
        <f>"Training"</f>
        <v/>
      </c>
      <c r="G609">
        <f>"Medium"</f>
        <v/>
      </c>
      <c r="H609">
        <f>TRIM(IF(LEN(IF(LEN(INDEX('Aides'!$U$4:$U$503,106))=0,"",INDEX('Aides'!$U$4:$U$503,106)))=0,"","Owner: "&amp;IF(LEN(INDEX('Aides'!$U$4:$U$503,106))=0,"",INDEX('Aides'!$U$4:$U$503,106))&amp;". "))</f>
        <v/>
      </c>
      <c r="I609">
        <f>""</f>
        <v/>
      </c>
      <c r="J609">
        <f>IF(LEN(INDEX('Aides'!$V$4:$V$503,106))=0,"",INDEX('Aides'!$V$4:$V$503,106))</f>
        <v/>
      </c>
    </row>
    <row r="610">
      <c r="A610">
        <f>IF(AND(LEN('Aides'!A110)&gt;0,ISNUMBER('Aides'!S110)),1,0)</f>
        <v/>
      </c>
      <c r="B610">
        <f>B609+A610</f>
        <v/>
      </c>
      <c r="C610">
        <f>IF(607&gt;$B$1503,"",MATCH(607-0.5,$B$3:$B$1503,1))</f>
        <v/>
      </c>
      <c r="D610">
        <f>"CPR / First Aid – "&amp;IF(LEN(INDEX('Aides'!$A$4:$A$503,107))=0,"",INDEX('Aides'!$A$4:$A$503,107))</f>
        <v/>
      </c>
      <c r="E610">
        <f>IF(ISNUMBER(INDEX('Aides'!$S$4:$S$503,107)),TEXT(INDEX('Aides'!$S$4:$S$503,107),"yyyy-mm-dd"),"")</f>
        <v/>
      </c>
      <c r="F610">
        <f>"Training"</f>
        <v/>
      </c>
      <c r="G610">
        <f>"Medium"</f>
        <v/>
      </c>
      <c r="H610">
        <f>TRIM(IF(LEN(IF(LEN(INDEX('Aides'!$U$4:$U$503,107))=0,"",INDEX('Aides'!$U$4:$U$503,107)))=0,"","Owner: "&amp;IF(LEN(INDEX('Aides'!$U$4:$U$503,107))=0,"",INDEX('Aides'!$U$4:$U$503,107))&amp;". "))</f>
        <v/>
      </c>
      <c r="I610">
        <f>""</f>
        <v/>
      </c>
      <c r="J610">
        <f>IF(LEN(INDEX('Aides'!$V$4:$V$503,107))=0,"",INDEX('Aides'!$V$4:$V$503,107))</f>
        <v/>
      </c>
    </row>
    <row r="611">
      <c r="A611">
        <f>IF(AND(LEN('Aides'!A111)&gt;0,ISNUMBER('Aides'!S111)),1,0)</f>
        <v/>
      </c>
      <c r="B611">
        <f>B610+A611</f>
        <v/>
      </c>
      <c r="C611">
        <f>IF(608&gt;$B$1503,"",MATCH(608-0.5,$B$3:$B$1503,1))</f>
        <v/>
      </c>
      <c r="D611">
        <f>"CPR / First Aid – "&amp;IF(LEN(INDEX('Aides'!$A$4:$A$503,108))=0,"",INDEX('Aides'!$A$4:$A$503,108))</f>
        <v/>
      </c>
      <c r="E611">
        <f>IF(ISNUMBER(INDEX('Aides'!$S$4:$S$503,108)),TEXT(INDEX('Aides'!$S$4:$S$503,108),"yyyy-mm-dd"),"")</f>
        <v/>
      </c>
      <c r="F611">
        <f>"Training"</f>
        <v/>
      </c>
      <c r="G611">
        <f>"Medium"</f>
        <v/>
      </c>
      <c r="H611">
        <f>TRIM(IF(LEN(IF(LEN(INDEX('Aides'!$U$4:$U$503,108))=0,"",INDEX('Aides'!$U$4:$U$503,108)))=0,"","Owner: "&amp;IF(LEN(INDEX('Aides'!$U$4:$U$503,108))=0,"",INDEX('Aides'!$U$4:$U$503,108))&amp;". "))</f>
        <v/>
      </c>
      <c r="I611">
        <f>""</f>
        <v/>
      </c>
      <c r="J611">
        <f>IF(LEN(INDEX('Aides'!$V$4:$V$503,108))=0,"",INDEX('Aides'!$V$4:$V$503,108))</f>
        <v/>
      </c>
    </row>
    <row r="612">
      <c r="A612">
        <f>IF(AND(LEN('Aides'!A112)&gt;0,ISNUMBER('Aides'!S112)),1,0)</f>
        <v/>
      </c>
      <c r="B612">
        <f>B611+A612</f>
        <v/>
      </c>
      <c r="C612">
        <f>IF(609&gt;$B$1503,"",MATCH(609-0.5,$B$3:$B$1503,1))</f>
        <v/>
      </c>
      <c r="D612">
        <f>"CPR / First Aid – "&amp;IF(LEN(INDEX('Aides'!$A$4:$A$503,109))=0,"",INDEX('Aides'!$A$4:$A$503,109))</f>
        <v/>
      </c>
      <c r="E612">
        <f>IF(ISNUMBER(INDEX('Aides'!$S$4:$S$503,109)),TEXT(INDEX('Aides'!$S$4:$S$503,109),"yyyy-mm-dd"),"")</f>
        <v/>
      </c>
      <c r="F612">
        <f>"Training"</f>
        <v/>
      </c>
      <c r="G612">
        <f>"Medium"</f>
        <v/>
      </c>
      <c r="H612">
        <f>TRIM(IF(LEN(IF(LEN(INDEX('Aides'!$U$4:$U$503,109))=0,"",INDEX('Aides'!$U$4:$U$503,109)))=0,"","Owner: "&amp;IF(LEN(INDEX('Aides'!$U$4:$U$503,109))=0,"",INDEX('Aides'!$U$4:$U$503,109))&amp;". "))</f>
        <v/>
      </c>
      <c r="I612">
        <f>""</f>
        <v/>
      </c>
      <c r="J612">
        <f>IF(LEN(INDEX('Aides'!$V$4:$V$503,109))=0,"",INDEX('Aides'!$V$4:$V$503,109))</f>
        <v/>
      </c>
    </row>
    <row r="613">
      <c r="A613">
        <f>IF(AND(LEN('Aides'!A113)&gt;0,ISNUMBER('Aides'!S113)),1,0)</f>
        <v/>
      </c>
      <c r="B613">
        <f>B612+A613</f>
        <v/>
      </c>
      <c r="C613">
        <f>IF(610&gt;$B$1503,"",MATCH(610-0.5,$B$3:$B$1503,1))</f>
        <v/>
      </c>
      <c r="D613">
        <f>"CPR / First Aid – "&amp;IF(LEN(INDEX('Aides'!$A$4:$A$503,110))=0,"",INDEX('Aides'!$A$4:$A$503,110))</f>
        <v/>
      </c>
      <c r="E613">
        <f>IF(ISNUMBER(INDEX('Aides'!$S$4:$S$503,110)),TEXT(INDEX('Aides'!$S$4:$S$503,110),"yyyy-mm-dd"),"")</f>
        <v/>
      </c>
      <c r="F613">
        <f>"Training"</f>
        <v/>
      </c>
      <c r="G613">
        <f>"Medium"</f>
        <v/>
      </c>
      <c r="H613">
        <f>TRIM(IF(LEN(IF(LEN(INDEX('Aides'!$U$4:$U$503,110))=0,"",INDEX('Aides'!$U$4:$U$503,110)))=0,"","Owner: "&amp;IF(LEN(INDEX('Aides'!$U$4:$U$503,110))=0,"",INDEX('Aides'!$U$4:$U$503,110))&amp;". "))</f>
        <v/>
      </c>
      <c r="I613">
        <f>""</f>
        <v/>
      </c>
      <c r="J613">
        <f>IF(LEN(INDEX('Aides'!$V$4:$V$503,110))=0,"",INDEX('Aides'!$V$4:$V$503,110))</f>
        <v/>
      </c>
    </row>
    <row r="614">
      <c r="A614">
        <f>IF(AND(LEN('Aides'!A114)&gt;0,ISNUMBER('Aides'!S114)),1,0)</f>
        <v/>
      </c>
      <c r="B614">
        <f>B613+A614</f>
        <v/>
      </c>
      <c r="C614">
        <f>IF(611&gt;$B$1503,"",MATCH(611-0.5,$B$3:$B$1503,1))</f>
        <v/>
      </c>
      <c r="D614">
        <f>"CPR / First Aid – "&amp;IF(LEN(INDEX('Aides'!$A$4:$A$503,111))=0,"",INDEX('Aides'!$A$4:$A$503,111))</f>
        <v/>
      </c>
      <c r="E614">
        <f>IF(ISNUMBER(INDEX('Aides'!$S$4:$S$503,111)),TEXT(INDEX('Aides'!$S$4:$S$503,111),"yyyy-mm-dd"),"")</f>
        <v/>
      </c>
      <c r="F614">
        <f>"Training"</f>
        <v/>
      </c>
      <c r="G614">
        <f>"Medium"</f>
        <v/>
      </c>
      <c r="H614">
        <f>TRIM(IF(LEN(IF(LEN(INDEX('Aides'!$U$4:$U$503,111))=0,"",INDEX('Aides'!$U$4:$U$503,111)))=0,"","Owner: "&amp;IF(LEN(INDEX('Aides'!$U$4:$U$503,111))=0,"",INDEX('Aides'!$U$4:$U$503,111))&amp;". "))</f>
        <v/>
      </c>
      <c r="I614">
        <f>""</f>
        <v/>
      </c>
      <c r="J614">
        <f>IF(LEN(INDEX('Aides'!$V$4:$V$503,111))=0,"",INDEX('Aides'!$V$4:$V$503,111))</f>
        <v/>
      </c>
    </row>
    <row r="615">
      <c r="A615">
        <f>IF(AND(LEN('Aides'!A115)&gt;0,ISNUMBER('Aides'!S115)),1,0)</f>
        <v/>
      </c>
      <c r="B615">
        <f>B614+A615</f>
        <v/>
      </c>
      <c r="C615">
        <f>IF(612&gt;$B$1503,"",MATCH(612-0.5,$B$3:$B$1503,1))</f>
        <v/>
      </c>
      <c r="D615">
        <f>"CPR / First Aid – "&amp;IF(LEN(INDEX('Aides'!$A$4:$A$503,112))=0,"",INDEX('Aides'!$A$4:$A$503,112))</f>
        <v/>
      </c>
      <c r="E615">
        <f>IF(ISNUMBER(INDEX('Aides'!$S$4:$S$503,112)),TEXT(INDEX('Aides'!$S$4:$S$503,112),"yyyy-mm-dd"),"")</f>
        <v/>
      </c>
      <c r="F615">
        <f>"Training"</f>
        <v/>
      </c>
      <c r="G615">
        <f>"Medium"</f>
        <v/>
      </c>
      <c r="H615">
        <f>TRIM(IF(LEN(IF(LEN(INDEX('Aides'!$U$4:$U$503,112))=0,"",INDEX('Aides'!$U$4:$U$503,112)))=0,"","Owner: "&amp;IF(LEN(INDEX('Aides'!$U$4:$U$503,112))=0,"",INDEX('Aides'!$U$4:$U$503,112))&amp;". "))</f>
        <v/>
      </c>
      <c r="I615">
        <f>""</f>
        <v/>
      </c>
      <c r="J615">
        <f>IF(LEN(INDEX('Aides'!$V$4:$V$503,112))=0,"",INDEX('Aides'!$V$4:$V$503,112))</f>
        <v/>
      </c>
    </row>
    <row r="616">
      <c r="A616">
        <f>IF(AND(LEN('Aides'!A116)&gt;0,ISNUMBER('Aides'!S116)),1,0)</f>
        <v/>
      </c>
      <c r="B616">
        <f>B615+A616</f>
        <v/>
      </c>
      <c r="C616">
        <f>IF(613&gt;$B$1503,"",MATCH(613-0.5,$B$3:$B$1503,1))</f>
        <v/>
      </c>
      <c r="D616">
        <f>"CPR / First Aid – "&amp;IF(LEN(INDEX('Aides'!$A$4:$A$503,113))=0,"",INDEX('Aides'!$A$4:$A$503,113))</f>
        <v/>
      </c>
      <c r="E616">
        <f>IF(ISNUMBER(INDEX('Aides'!$S$4:$S$503,113)),TEXT(INDEX('Aides'!$S$4:$S$503,113),"yyyy-mm-dd"),"")</f>
        <v/>
      </c>
      <c r="F616">
        <f>"Training"</f>
        <v/>
      </c>
      <c r="G616">
        <f>"Medium"</f>
        <v/>
      </c>
      <c r="H616">
        <f>TRIM(IF(LEN(IF(LEN(INDEX('Aides'!$U$4:$U$503,113))=0,"",INDEX('Aides'!$U$4:$U$503,113)))=0,"","Owner: "&amp;IF(LEN(INDEX('Aides'!$U$4:$U$503,113))=0,"",INDEX('Aides'!$U$4:$U$503,113))&amp;". "))</f>
        <v/>
      </c>
      <c r="I616">
        <f>""</f>
        <v/>
      </c>
      <c r="J616">
        <f>IF(LEN(INDEX('Aides'!$V$4:$V$503,113))=0,"",INDEX('Aides'!$V$4:$V$503,113))</f>
        <v/>
      </c>
    </row>
    <row r="617">
      <c r="A617">
        <f>IF(AND(LEN('Aides'!A117)&gt;0,ISNUMBER('Aides'!S117)),1,0)</f>
        <v/>
      </c>
      <c r="B617">
        <f>B616+A617</f>
        <v/>
      </c>
      <c r="C617">
        <f>IF(614&gt;$B$1503,"",MATCH(614-0.5,$B$3:$B$1503,1))</f>
        <v/>
      </c>
      <c r="D617">
        <f>"CPR / First Aid – "&amp;IF(LEN(INDEX('Aides'!$A$4:$A$503,114))=0,"",INDEX('Aides'!$A$4:$A$503,114))</f>
        <v/>
      </c>
      <c r="E617">
        <f>IF(ISNUMBER(INDEX('Aides'!$S$4:$S$503,114)),TEXT(INDEX('Aides'!$S$4:$S$503,114),"yyyy-mm-dd"),"")</f>
        <v/>
      </c>
      <c r="F617">
        <f>"Training"</f>
        <v/>
      </c>
      <c r="G617">
        <f>"Medium"</f>
        <v/>
      </c>
      <c r="H617">
        <f>TRIM(IF(LEN(IF(LEN(INDEX('Aides'!$U$4:$U$503,114))=0,"",INDEX('Aides'!$U$4:$U$503,114)))=0,"","Owner: "&amp;IF(LEN(INDEX('Aides'!$U$4:$U$503,114))=0,"",INDEX('Aides'!$U$4:$U$503,114))&amp;". "))</f>
        <v/>
      </c>
      <c r="I617">
        <f>""</f>
        <v/>
      </c>
      <c r="J617">
        <f>IF(LEN(INDEX('Aides'!$V$4:$V$503,114))=0,"",INDEX('Aides'!$V$4:$V$503,114))</f>
        <v/>
      </c>
    </row>
    <row r="618">
      <c r="A618">
        <f>IF(AND(LEN('Aides'!A118)&gt;0,ISNUMBER('Aides'!S118)),1,0)</f>
        <v/>
      </c>
      <c r="B618">
        <f>B617+A618</f>
        <v/>
      </c>
      <c r="C618">
        <f>IF(615&gt;$B$1503,"",MATCH(615-0.5,$B$3:$B$1503,1))</f>
        <v/>
      </c>
      <c r="D618">
        <f>"CPR / First Aid – "&amp;IF(LEN(INDEX('Aides'!$A$4:$A$503,115))=0,"",INDEX('Aides'!$A$4:$A$503,115))</f>
        <v/>
      </c>
      <c r="E618">
        <f>IF(ISNUMBER(INDEX('Aides'!$S$4:$S$503,115)),TEXT(INDEX('Aides'!$S$4:$S$503,115),"yyyy-mm-dd"),"")</f>
        <v/>
      </c>
      <c r="F618">
        <f>"Training"</f>
        <v/>
      </c>
      <c r="G618">
        <f>"Medium"</f>
        <v/>
      </c>
      <c r="H618">
        <f>TRIM(IF(LEN(IF(LEN(INDEX('Aides'!$U$4:$U$503,115))=0,"",INDEX('Aides'!$U$4:$U$503,115)))=0,"","Owner: "&amp;IF(LEN(INDEX('Aides'!$U$4:$U$503,115))=0,"",INDEX('Aides'!$U$4:$U$503,115))&amp;". "))</f>
        <v/>
      </c>
      <c r="I618">
        <f>""</f>
        <v/>
      </c>
      <c r="J618">
        <f>IF(LEN(INDEX('Aides'!$V$4:$V$503,115))=0,"",INDEX('Aides'!$V$4:$V$503,115))</f>
        <v/>
      </c>
    </row>
    <row r="619">
      <c r="A619">
        <f>IF(AND(LEN('Aides'!A119)&gt;0,ISNUMBER('Aides'!S119)),1,0)</f>
        <v/>
      </c>
      <c r="B619">
        <f>B618+A619</f>
        <v/>
      </c>
      <c r="C619">
        <f>IF(616&gt;$B$1503,"",MATCH(616-0.5,$B$3:$B$1503,1))</f>
        <v/>
      </c>
      <c r="D619">
        <f>"CPR / First Aid – "&amp;IF(LEN(INDEX('Aides'!$A$4:$A$503,116))=0,"",INDEX('Aides'!$A$4:$A$503,116))</f>
        <v/>
      </c>
      <c r="E619">
        <f>IF(ISNUMBER(INDEX('Aides'!$S$4:$S$503,116)),TEXT(INDEX('Aides'!$S$4:$S$503,116),"yyyy-mm-dd"),"")</f>
        <v/>
      </c>
      <c r="F619">
        <f>"Training"</f>
        <v/>
      </c>
      <c r="G619">
        <f>"Medium"</f>
        <v/>
      </c>
      <c r="H619">
        <f>TRIM(IF(LEN(IF(LEN(INDEX('Aides'!$U$4:$U$503,116))=0,"",INDEX('Aides'!$U$4:$U$503,116)))=0,"","Owner: "&amp;IF(LEN(INDEX('Aides'!$U$4:$U$503,116))=0,"",INDEX('Aides'!$U$4:$U$503,116))&amp;". "))</f>
        <v/>
      </c>
      <c r="I619">
        <f>""</f>
        <v/>
      </c>
      <c r="J619">
        <f>IF(LEN(INDEX('Aides'!$V$4:$V$503,116))=0,"",INDEX('Aides'!$V$4:$V$503,116))</f>
        <v/>
      </c>
    </row>
    <row r="620">
      <c r="A620">
        <f>IF(AND(LEN('Aides'!A120)&gt;0,ISNUMBER('Aides'!S120)),1,0)</f>
        <v/>
      </c>
      <c r="B620">
        <f>B619+A620</f>
        <v/>
      </c>
      <c r="C620">
        <f>IF(617&gt;$B$1503,"",MATCH(617-0.5,$B$3:$B$1503,1))</f>
        <v/>
      </c>
      <c r="D620">
        <f>"CPR / First Aid – "&amp;IF(LEN(INDEX('Aides'!$A$4:$A$503,117))=0,"",INDEX('Aides'!$A$4:$A$503,117))</f>
        <v/>
      </c>
      <c r="E620">
        <f>IF(ISNUMBER(INDEX('Aides'!$S$4:$S$503,117)),TEXT(INDEX('Aides'!$S$4:$S$503,117),"yyyy-mm-dd"),"")</f>
        <v/>
      </c>
      <c r="F620">
        <f>"Training"</f>
        <v/>
      </c>
      <c r="G620">
        <f>"Medium"</f>
        <v/>
      </c>
      <c r="H620">
        <f>TRIM(IF(LEN(IF(LEN(INDEX('Aides'!$U$4:$U$503,117))=0,"",INDEX('Aides'!$U$4:$U$503,117)))=0,"","Owner: "&amp;IF(LEN(INDEX('Aides'!$U$4:$U$503,117))=0,"",INDEX('Aides'!$U$4:$U$503,117))&amp;". "))</f>
        <v/>
      </c>
      <c r="I620">
        <f>""</f>
        <v/>
      </c>
      <c r="J620">
        <f>IF(LEN(INDEX('Aides'!$V$4:$V$503,117))=0,"",INDEX('Aides'!$V$4:$V$503,117))</f>
        <v/>
      </c>
    </row>
    <row r="621">
      <c r="A621">
        <f>IF(AND(LEN('Aides'!A121)&gt;0,ISNUMBER('Aides'!S121)),1,0)</f>
        <v/>
      </c>
      <c r="B621">
        <f>B620+A621</f>
        <v/>
      </c>
      <c r="C621">
        <f>IF(618&gt;$B$1503,"",MATCH(618-0.5,$B$3:$B$1503,1))</f>
        <v/>
      </c>
      <c r="D621">
        <f>"CPR / First Aid – "&amp;IF(LEN(INDEX('Aides'!$A$4:$A$503,118))=0,"",INDEX('Aides'!$A$4:$A$503,118))</f>
        <v/>
      </c>
      <c r="E621">
        <f>IF(ISNUMBER(INDEX('Aides'!$S$4:$S$503,118)),TEXT(INDEX('Aides'!$S$4:$S$503,118),"yyyy-mm-dd"),"")</f>
        <v/>
      </c>
      <c r="F621">
        <f>"Training"</f>
        <v/>
      </c>
      <c r="G621">
        <f>"Medium"</f>
        <v/>
      </c>
      <c r="H621">
        <f>TRIM(IF(LEN(IF(LEN(INDEX('Aides'!$U$4:$U$503,118))=0,"",INDEX('Aides'!$U$4:$U$503,118)))=0,"","Owner: "&amp;IF(LEN(INDEX('Aides'!$U$4:$U$503,118))=0,"",INDEX('Aides'!$U$4:$U$503,118))&amp;". "))</f>
        <v/>
      </c>
      <c r="I621">
        <f>""</f>
        <v/>
      </c>
      <c r="J621">
        <f>IF(LEN(INDEX('Aides'!$V$4:$V$503,118))=0,"",INDEX('Aides'!$V$4:$V$503,118))</f>
        <v/>
      </c>
    </row>
    <row r="622">
      <c r="A622">
        <f>IF(AND(LEN('Aides'!A122)&gt;0,ISNUMBER('Aides'!S122)),1,0)</f>
        <v/>
      </c>
      <c r="B622">
        <f>B621+A622</f>
        <v/>
      </c>
      <c r="C622">
        <f>IF(619&gt;$B$1503,"",MATCH(619-0.5,$B$3:$B$1503,1))</f>
        <v/>
      </c>
      <c r="D622">
        <f>"CPR / First Aid – "&amp;IF(LEN(INDEX('Aides'!$A$4:$A$503,119))=0,"",INDEX('Aides'!$A$4:$A$503,119))</f>
        <v/>
      </c>
      <c r="E622">
        <f>IF(ISNUMBER(INDEX('Aides'!$S$4:$S$503,119)),TEXT(INDEX('Aides'!$S$4:$S$503,119),"yyyy-mm-dd"),"")</f>
        <v/>
      </c>
      <c r="F622">
        <f>"Training"</f>
        <v/>
      </c>
      <c r="G622">
        <f>"Medium"</f>
        <v/>
      </c>
      <c r="H622">
        <f>TRIM(IF(LEN(IF(LEN(INDEX('Aides'!$U$4:$U$503,119))=0,"",INDEX('Aides'!$U$4:$U$503,119)))=0,"","Owner: "&amp;IF(LEN(INDEX('Aides'!$U$4:$U$503,119))=0,"",INDEX('Aides'!$U$4:$U$503,119))&amp;". "))</f>
        <v/>
      </c>
      <c r="I622">
        <f>""</f>
        <v/>
      </c>
      <c r="J622">
        <f>IF(LEN(INDEX('Aides'!$V$4:$V$503,119))=0,"",INDEX('Aides'!$V$4:$V$503,119))</f>
        <v/>
      </c>
    </row>
    <row r="623">
      <c r="A623">
        <f>IF(AND(LEN('Aides'!A123)&gt;0,ISNUMBER('Aides'!S123)),1,0)</f>
        <v/>
      </c>
      <c r="B623">
        <f>B622+A623</f>
        <v/>
      </c>
      <c r="C623">
        <f>IF(620&gt;$B$1503,"",MATCH(620-0.5,$B$3:$B$1503,1))</f>
        <v/>
      </c>
      <c r="D623">
        <f>"CPR / First Aid – "&amp;IF(LEN(INDEX('Aides'!$A$4:$A$503,120))=0,"",INDEX('Aides'!$A$4:$A$503,120))</f>
        <v/>
      </c>
      <c r="E623">
        <f>IF(ISNUMBER(INDEX('Aides'!$S$4:$S$503,120)),TEXT(INDEX('Aides'!$S$4:$S$503,120),"yyyy-mm-dd"),"")</f>
        <v/>
      </c>
      <c r="F623">
        <f>"Training"</f>
        <v/>
      </c>
      <c r="G623">
        <f>"Medium"</f>
        <v/>
      </c>
      <c r="H623">
        <f>TRIM(IF(LEN(IF(LEN(INDEX('Aides'!$U$4:$U$503,120))=0,"",INDEX('Aides'!$U$4:$U$503,120)))=0,"","Owner: "&amp;IF(LEN(INDEX('Aides'!$U$4:$U$503,120))=0,"",INDEX('Aides'!$U$4:$U$503,120))&amp;". "))</f>
        <v/>
      </c>
      <c r="I623">
        <f>""</f>
        <v/>
      </c>
      <c r="J623">
        <f>IF(LEN(INDEX('Aides'!$V$4:$V$503,120))=0,"",INDEX('Aides'!$V$4:$V$503,120))</f>
        <v/>
      </c>
    </row>
    <row r="624">
      <c r="A624">
        <f>IF(AND(LEN('Aides'!A124)&gt;0,ISNUMBER('Aides'!S124)),1,0)</f>
        <v/>
      </c>
      <c r="B624">
        <f>B623+A624</f>
        <v/>
      </c>
      <c r="C624">
        <f>IF(621&gt;$B$1503,"",MATCH(621-0.5,$B$3:$B$1503,1))</f>
        <v/>
      </c>
      <c r="D624">
        <f>"CPR / First Aid – "&amp;IF(LEN(INDEX('Aides'!$A$4:$A$503,121))=0,"",INDEX('Aides'!$A$4:$A$503,121))</f>
        <v/>
      </c>
      <c r="E624">
        <f>IF(ISNUMBER(INDEX('Aides'!$S$4:$S$503,121)),TEXT(INDEX('Aides'!$S$4:$S$503,121),"yyyy-mm-dd"),"")</f>
        <v/>
      </c>
      <c r="F624">
        <f>"Training"</f>
        <v/>
      </c>
      <c r="G624">
        <f>"Medium"</f>
        <v/>
      </c>
      <c r="H624">
        <f>TRIM(IF(LEN(IF(LEN(INDEX('Aides'!$U$4:$U$503,121))=0,"",INDEX('Aides'!$U$4:$U$503,121)))=0,"","Owner: "&amp;IF(LEN(INDEX('Aides'!$U$4:$U$503,121))=0,"",INDEX('Aides'!$U$4:$U$503,121))&amp;". "))</f>
        <v/>
      </c>
      <c r="I624">
        <f>""</f>
        <v/>
      </c>
      <c r="J624">
        <f>IF(LEN(INDEX('Aides'!$V$4:$V$503,121))=0,"",INDEX('Aides'!$V$4:$V$503,121))</f>
        <v/>
      </c>
    </row>
    <row r="625">
      <c r="A625">
        <f>IF(AND(LEN('Aides'!A125)&gt;0,ISNUMBER('Aides'!S125)),1,0)</f>
        <v/>
      </c>
      <c r="B625">
        <f>B624+A625</f>
        <v/>
      </c>
      <c r="C625">
        <f>IF(622&gt;$B$1503,"",MATCH(622-0.5,$B$3:$B$1503,1))</f>
        <v/>
      </c>
      <c r="D625">
        <f>"CPR / First Aid – "&amp;IF(LEN(INDEX('Aides'!$A$4:$A$503,122))=0,"",INDEX('Aides'!$A$4:$A$503,122))</f>
        <v/>
      </c>
      <c r="E625">
        <f>IF(ISNUMBER(INDEX('Aides'!$S$4:$S$503,122)),TEXT(INDEX('Aides'!$S$4:$S$503,122),"yyyy-mm-dd"),"")</f>
        <v/>
      </c>
      <c r="F625">
        <f>"Training"</f>
        <v/>
      </c>
      <c r="G625">
        <f>"Medium"</f>
        <v/>
      </c>
      <c r="H625">
        <f>TRIM(IF(LEN(IF(LEN(INDEX('Aides'!$U$4:$U$503,122))=0,"",INDEX('Aides'!$U$4:$U$503,122)))=0,"","Owner: "&amp;IF(LEN(INDEX('Aides'!$U$4:$U$503,122))=0,"",INDEX('Aides'!$U$4:$U$503,122))&amp;". "))</f>
        <v/>
      </c>
      <c r="I625">
        <f>""</f>
        <v/>
      </c>
      <c r="J625">
        <f>IF(LEN(INDEX('Aides'!$V$4:$V$503,122))=0,"",INDEX('Aides'!$V$4:$V$503,122))</f>
        <v/>
      </c>
    </row>
    <row r="626">
      <c r="A626">
        <f>IF(AND(LEN('Aides'!A126)&gt;0,ISNUMBER('Aides'!S126)),1,0)</f>
        <v/>
      </c>
      <c r="B626">
        <f>B625+A626</f>
        <v/>
      </c>
      <c r="C626">
        <f>IF(623&gt;$B$1503,"",MATCH(623-0.5,$B$3:$B$1503,1))</f>
        <v/>
      </c>
      <c r="D626">
        <f>"CPR / First Aid – "&amp;IF(LEN(INDEX('Aides'!$A$4:$A$503,123))=0,"",INDEX('Aides'!$A$4:$A$503,123))</f>
        <v/>
      </c>
      <c r="E626">
        <f>IF(ISNUMBER(INDEX('Aides'!$S$4:$S$503,123)),TEXT(INDEX('Aides'!$S$4:$S$503,123),"yyyy-mm-dd"),"")</f>
        <v/>
      </c>
      <c r="F626">
        <f>"Training"</f>
        <v/>
      </c>
      <c r="G626">
        <f>"Medium"</f>
        <v/>
      </c>
      <c r="H626">
        <f>TRIM(IF(LEN(IF(LEN(INDEX('Aides'!$U$4:$U$503,123))=0,"",INDEX('Aides'!$U$4:$U$503,123)))=0,"","Owner: "&amp;IF(LEN(INDEX('Aides'!$U$4:$U$503,123))=0,"",INDEX('Aides'!$U$4:$U$503,123))&amp;". "))</f>
        <v/>
      </c>
      <c r="I626">
        <f>""</f>
        <v/>
      </c>
      <c r="J626">
        <f>IF(LEN(INDEX('Aides'!$V$4:$V$503,123))=0,"",INDEX('Aides'!$V$4:$V$503,123))</f>
        <v/>
      </c>
    </row>
    <row r="627">
      <c r="A627">
        <f>IF(AND(LEN('Aides'!A127)&gt;0,ISNUMBER('Aides'!S127)),1,0)</f>
        <v/>
      </c>
      <c r="B627">
        <f>B626+A627</f>
        <v/>
      </c>
      <c r="C627">
        <f>IF(624&gt;$B$1503,"",MATCH(624-0.5,$B$3:$B$1503,1))</f>
        <v/>
      </c>
      <c r="D627">
        <f>"CPR / First Aid – "&amp;IF(LEN(INDEX('Aides'!$A$4:$A$503,124))=0,"",INDEX('Aides'!$A$4:$A$503,124))</f>
        <v/>
      </c>
      <c r="E627">
        <f>IF(ISNUMBER(INDEX('Aides'!$S$4:$S$503,124)),TEXT(INDEX('Aides'!$S$4:$S$503,124),"yyyy-mm-dd"),"")</f>
        <v/>
      </c>
      <c r="F627">
        <f>"Training"</f>
        <v/>
      </c>
      <c r="G627">
        <f>"Medium"</f>
        <v/>
      </c>
      <c r="H627">
        <f>TRIM(IF(LEN(IF(LEN(INDEX('Aides'!$U$4:$U$503,124))=0,"",INDEX('Aides'!$U$4:$U$503,124)))=0,"","Owner: "&amp;IF(LEN(INDEX('Aides'!$U$4:$U$503,124))=0,"",INDEX('Aides'!$U$4:$U$503,124))&amp;". "))</f>
        <v/>
      </c>
      <c r="I627">
        <f>""</f>
        <v/>
      </c>
      <c r="J627">
        <f>IF(LEN(INDEX('Aides'!$V$4:$V$503,124))=0,"",INDEX('Aides'!$V$4:$V$503,124))</f>
        <v/>
      </c>
    </row>
    <row r="628">
      <c r="A628">
        <f>IF(AND(LEN('Aides'!A128)&gt;0,ISNUMBER('Aides'!S128)),1,0)</f>
        <v/>
      </c>
      <c r="B628">
        <f>B627+A628</f>
        <v/>
      </c>
      <c r="C628">
        <f>IF(625&gt;$B$1503,"",MATCH(625-0.5,$B$3:$B$1503,1))</f>
        <v/>
      </c>
      <c r="D628">
        <f>"CPR / First Aid – "&amp;IF(LEN(INDEX('Aides'!$A$4:$A$503,125))=0,"",INDEX('Aides'!$A$4:$A$503,125))</f>
        <v/>
      </c>
      <c r="E628">
        <f>IF(ISNUMBER(INDEX('Aides'!$S$4:$S$503,125)),TEXT(INDEX('Aides'!$S$4:$S$503,125),"yyyy-mm-dd"),"")</f>
        <v/>
      </c>
      <c r="F628">
        <f>"Training"</f>
        <v/>
      </c>
      <c r="G628">
        <f>"Medium"</f>
        <v/>
      </c>
      <c r="H628">
        <f>TRIM(IF(LEN(IF(LEN(INDEX('Aides'!$U$4:$U$503,125))=0,"",INDEX('Aides'!$U$4:$U$503,125)))=0,"","Owner: "&amp;IF(LEN(INDEX('Aides'!$U$4:$U$503,125))=0,"",INDEX('Aides'!$U$4:$U$503,125))&amp;". "))</f>
        <v/>
      </c>
      <c r="I628">
        <f>""</f>
        <v/>
      </c>
      <c r="J628">
        <f>IF(LEN(INDEX('Aides'!$V$4:$V$503,125))=0,"",INDEX('Aides'!$V$4:$V$503,125))</f>
        <v/>
      </c>
    </row>
    <row r="629">
      <c r="A629">
        <f>IF(AND(LEN('Aides'!A129)&gt;0,ISNUMBER('Aides'!S129)),1,0)</f>
        <v/>
      </c>
      <c r="B629">
        <f>B628+A629</f>
        <v/>
      </c>
      <c r="C629">
        <f>IF(626&gt;$B$1503,"",MATCH(626-0.5,$B$3:$B$1503,1))</f>
        <v/>
      </c>
      <c r="D629">
        <f>"CPR / First Aid – "&amp;IF(LEN(INDEX('Aides'!$A$4:$A$503,126))=0,"",INDEX('Aides'!$A$4:$A$503,126))</f>
        <v/>
      </c>
      <c r="E629">
        <f>IF(ISNUMBER(INDEX('Aides'!$S$4:$S$503,126)),TEXT(INDEX('Aides'!$S$4:$S$503,126),"yyyy-mm-dd"),"")</f>
        <v/>
      </c>
      <c r="F629">
        <f>"Training"</f>
        <v/>
      </c>
      <c r="G629">
        <f>"Medium"</f>
        <v/>
      </c>
      <c r="H629">
        <f>TRIM(IF(LEN(IF(LEN(INDEX('Aides'!$U$4:$U$503,126))=0,"",INDEX('Aides'!$U$4:$U$503,126)))=0,"","Owner: "&amp;IF(LEN(INDEX('Aides'!$U$4:$U$503,126))=0,"",INDEX('Aides'!$U$4:$U$503,126))&amp;". "))</f>
        <v/>
      </c>
      <c r="I629">
        <f>""</f>
        <v/>
      </c>
      <c r="J629">
        <f>IF(LEN(INDEX('Aides'!$V$4:$V$503,126))=0,"",INDEX('Aides'!$V$4:$V$503,126))</f>
        <v/>
      </c>
    </row>
    <row r="630">
      <c r="A630">
        <f>IF(AND(LEN('Aides'!A130)&gt;0,ISNUMBER('Aides'!S130)),1,0)</f>
        <v/>
      </c>
      <c r="B630">
        <f>B629+A630</f>
        <v/>
      </c>
      <c r="C630">
        <f>IF(627&gt;$B$1503,"",MATCH(627-0.5,$B$3:$B$1503,1))</f>
        <v/>
      </c>
      <c r="D630">
        <f>"CPR / First Aid – "&amp;IF(LEN(INDEX('Aides'!$A$4:$A$503,127))=0,"",INDEX('Aides'!$A$4:$A$503,127))</f>
        <v/>
      </c>
      <c r="E630">
        <f>IF(ISNUMBER(INDEX('Aides'!$S$4:$S$503,127)),TEXT(INDEX('Aides'!$S$4:$S$503,127),"yyyy-mm-dd"),"")</f>
        <v/>
      </c>
      <c r="F630">
        <f>"Training"</f>
        <v/>
      </c>
      <c r="G630">
        <f>"Medium"</f>
        <v/>
      </c>
      <c r="H630">
        <f>TRIM(IF(LEN(IF(LEN(INDEX('Aides'!$U$4:$U$503,127))=0,"",INDEX('Aides'!$U$4:$U$503,127)))=0,"","Owner: "&amp;IF(LEN(INDEX('Aides'!$U$4:$U$503,127))=0,"",INDEX('Aides'!$U$4:$U$503,127))&amp;". "))</f>
        <v/>
      </c>
      <c r="I630">
        <f>""</f>
        <v/>
      </c>
      <c r="J630">
        <f>IF(LEN(INDEX('Aides'!$V$4:$V$503,127))=0,"",INDEX('Aides'!$V$4:$V$503,127))</f>
        <v/>
      </c>
    </row>
    <row r="631">
      <c r="A631">
        <f>IF(AND(LEN('Aides'!A131)&gt;0,ISNUMBER('Aides'!S131)),1,0)</f>
        <v/>
      </c>
      <c r="B631">
        <f>B630+A631</f>
        <v/>
      </c>
      <c r="C631">
        <f>IF(628&gt;$B$1503,"",MATCH(628-0.5,$B$3:$B$1503,1))</f>
        <v/>
      </c>
      <c r="D631">
        <f>"CPR / First Aid – "&amp;IF(LEN(INDEX('Aides'!$A$4:$A$503,128))=0,"",INDEX('Aides'!$A$4:$A$503,128))</f>
        <v/>
      </c>
      <c r="E631">
        <f>IF(ISNUMBER(INDEX('Aides'!$S$4:$S$503,128)),TEXT(INDEX('Aides'!$S$4:$S$503,128),"yyyy-mm-dd"),"")</f>
        <v/>
      </c>
      <c r="F631">
        <f>"Training"</f>
        <v/>
      </c>
      <c r="G631">
        <f>"Medium"</f>
        <v/>
      </c>
      <c r="H631">
        <f>TRIM(IF(LEN(IF(LEN(INDEX('Aides'!$U$4:$U$503,128))=0,"",INDEX('Aides'!$U$4:$U$503,128)))=0,"","Owner: "&amp;IF(LEN(INDEX('Aides'!$U$4:$U$503,128))=0,"",INDEX('Aides'!$U$4:$U$503,128))&amp;". "))</f>
        <v/>
      </c>
      <c r="I631">
        <f>""</f>
        <v/>
      </c>
      <c r="J631">
        <f>IF(LEN(INDEX('Aides'!$V$4:$V$503,128))=0,"",INDEX('Aides'!$V$4:$V$503,128))</f>
        <v/>
      </c>
    </row>
    <row r="632">
      <c r="A632">
        <f>IF(AND(LEN('Aides'!A132)&gt;0,ISNUMBER('Aides'!S132)),1,0)</f>
        <v/>
      </c>
      <c r="B632">
        <f>B631+A632</f>
        <v/>
      </c>
      <c r="C632">
        <f>IF(629&gt;$B$1503,"",MATCH(629-0.5,$B$3:$B$1503,1))</f>
        <v/>
      </c>
      <c r="D632">
        <f>"CPR / First Aid – "&amp;IF(LEN(INDEX('Aides'!$A$4:$A$503,129))=0,"",INDEX('Aides'!$A$4:$A$503,129))</f>
        <v/>
      </c>
      <c r="E632">
        <f>IF(ISNUMBER(INDEX('Aides'!$S$4:$S$503,129)),TEXT(INDEX('Aides'!$S$4:$S$503,129),"yyyy-mm-dd"),"")</f>
        <v/>
      </c>
      <c r="F632">
        <f>"Training"</f>
        <v/>
      </c>
      <c r="G632">
        <f>"Medium"</f>
        <v/>
      </c>
      <c r="H632">
        <f>TRIM(IF(LEN(IF(LEN(INDEX('Aides'!$U$4:$U$503,129))=0,"",INDEX('Aides'!$U$4:$U$503,129)))=0,"","Owner: "&amp;IF(LEN(INDEX('Aides'!$U$4:$U$503,129))=0,"",INDEX('Aides'!$U$4:$U$503,129))&amp;". "))</f>
        <v/>
      </c>
      <c r="I632">
        <f>""</f>
        <v/>
      </c>
      <c r="J632">
        <f>IF(LEN(INDEX('Aides'!$V$4:$V$503,129))=0,"",INDEX('Aides'!$V$4:$V$503,129))</f>
        <v/>
      </c>
    </row>
    <row r="633">
      <c r="A633">
        <f>IF(AND(LEN('Aides'!A133)&gt;0,ISNUMBER('Aides'!S133)),1,0)</f>
        <v/>
      </c>
      <c r="B633">
        <f>B632+A633</f>
        <v/>
      </c>
      <c r="C633">
        <f>IF(630&gt;$B$1503,"",MATCH(630-0.5,$B$3:$B$1503,1))</f>
        <v/>
      </c>
      <c r="D633">
        <f>"CPR / First Aid – "&amp;IF(LEN(INDEX('Aides'!$A$4:$A$503,130))=0,"",INDEX('Aides'!$A$4:$A$503,130))</f>
        <v/>
      </c>
      <c r="E633">
        <f>IF(ISNUMBER(INDEX('Aides'!$S$4:$S$503,130)),TEXT(INDEX('Aides'!$S$4:$S$503,130),"yyyy-mm-dd"),"")</f>
        <v/>
      </c>
      <c r="F633">
        <f>"Training"</f>
        <v/>
      </c>
      <c r="G633">
        <f>"Medium"</f>
        <v/>
      </c>
      <c r="H633">
        <f>TRIM(IF(LEN(IF(LEN(INDEX('Aides'!$U$4:$U$503,130))=0,"",INDEX('Aides'!$U$4:$U$503,130)))=0,"","Owner: "&amp;IF(LEN(INDEX('Aides'!$U$4:$U$503,130))=0,"",INDEX('Aides'!$U$4:$U$503,130))&amp;". "))</f>
        <v/>
      </c>
      <c r="I633">
        <f>""</f>
        <v/>
      </c>
      <c r="J633">
        <f>IF(LEN(INDEX('Aides'!$V$4:$V$503,130))=0,"",INDEX('Aides'!$V$4:$V$503,130))</f>
        <v/>
      </c>
    </row>
    <row r="634">
      <c r="A634">
        <f>IF(AND(LEN('Aides'!A134)&gt;0,ISNUMBER('Aides'!S134)),1,0)</f>
        <v/>
      </c>
      <c r="B634">
        <f>B633+A634</f>
        <v/>
      </c>
      <c r="C634">
        <f>IF(631&gt;$B$1503,"",MATCH(631-0.5,$B$3:$B$1503,1))</f>
        <v/>
      </c>
      <c r="D634">
        <f>"CPR / First Aid – "&amp;IF(LEN(INDEX('Aides'!$A$4:$A$503,131))=0,"",INDEX('Aides'!$A$4:$A$503,131))</f>
        <v/>
      </c>
      <c r="E634">
        <f>IF(ISNUMBER(INDEX('Aides'!$S$4:$S$503,131)),TEXT(INDEX('Aides'!$S$4:$S$503,131),"yyyy-mm-dd"),"")</f>
        <v/>
      </c>
      <c r="F634">
        <f>"Training"</f>
        <v/>
      </c>
      <c r="G634">
        <f>"Medium"</f>
        <v/>
      </c>
      <c r="H634">
        <f>TRIM(IF(LEN(IF(LEN(INDEX('Aides'!$U$4:$U$503,131))=0,"",INDEX('Aides'!$U$4:$U$503,131)))=0,"","Owner: "&amp;IF(LEN(INDEX('Aides'!$U$4:$U$503,131))=0,"",INDEX('Aides'!$U$4:$U$503,131))&amp;". "))</f>
        <v/>
      </c>
      <c r="I634">
        <f>""</f>
        <v/>
      </c>
      <c r="J634">
        <f>IF(LEN(INDEX('Aides'!$V$4:$V$503,131))=0,"",INDEX('Aides'!$V$4:$V$503,131))</f>
        <v/>
      </c>
    </row>
    <row r="635">
      <c r="A635">
        <f>IF(AND(LEN('Aides'!A135)&gt;0,ISNUMBER('Aides'!S135)),1,0)</f>
        <v/>
      </c>
      <c r="B635">
        <f>B634+A635</f>
        <v/>
      </c>
      <c r="C635">
        <f>IF(632&gt;$B$1503,"",MATCH(632-0.5,$B$3:$B$1503,1))</f>
        <v/>
      </c>
      <c r="D635">
        <f>"CPR / First Aid – "&amp;IF(LEN(INDEX('Aides'!$A$4:$A$503,132))=0,"",INDEX('Aides'!$A$4:$A$503,132))</f>
        <v/>
      </c>
      <c r="E635">
        <f>IF(ISNUMBER(INDEX('Aides'!$S$4:$S$503,132)),TEXT(INDEX('Aides'!$S$4:$S$503,132),"yyyy-mm-dd"),"")</f>
        <v/>
      </c>
      <c r="F635">
        <f>"Training"</f>
        <v/>
      </c>
      <c r="G635">
        <f>"Medium"</f>
        <v/>
      </c>
      <c r="H635">
        <f>TRIM(IF(LEN(IF(LEN(INDEX('Aides'!$U$4:$U$503,132))=0,"",INDEX('Aides'!$U$4:$U$503,132)))=0,"","Owner: "&amp;IF(LEN(INDEX('Aides'!$U$4:$U$503,132))=0,"",INDEX('Aides'!$U$4:$U$503,132))&amp;". "))</f>
        <v/>
      </c>
      <c r="I635">
        <f>""</f>
        <v/>
      </c>
      <c r="J635">
        <f>IF(LEN(INDEX('Aides'!$V$4:$V$503,132))=0,"",INDEX('Aides'!$V$4:$V$503,132))</f>
        <v/>
      </c>
    </row>
    <row r="636">
      <c r="A636">
        <f>IF(AND(LEN('Aides'!A136)&gt;0,ISNUMBER('Aides'!S136)),1,0)</f>
        <v/>
      </c>
      <c r="B636">
        <f>B635+A636</f>
        <v/>
      </c>
      <c r="C636">
        <f>IF(633&gt;$B$1503,"",MATCH(633-0.5,$B$3:$B$1503,1))</f>
        <v/>
      </c>
      <c r="D636">
        <f>"CPR / First Aid – "&amp;IF(LEN(INDEX('Aides'!$A$4:$A$503,133))=0,"",INDEX('Aides'!$A$4:$A$503,133))</f>
        <v/>
      </c>
      <c r="E636">
        <f>IF(ISNUMBER(INDEX('Aides'!$S$4:$S$503,133)),TEXT(INDEX('Aides'!$S$4:$S$503,133),"yyyy-mm-dd"),"")</f>
        <v/>
      </c>
      <c r="F636">
        <f>"Training"</f>
        <v/>
      </c>
      <c r="G636">
        <f>"Medium"</f>
        <v/>
      </c>
      <c r="H636">
        <f>TRIM(IF(LEN(IF(LEN(INDEX('Aides'!$U$4:$U$503,133))=0,"",INDEX('Aides'!$U$4:$U$503,133)))=0,"","Owner: "&amp;IF(LEN(INDEX('Aides'!$U$4:$U$503,133))=0,"",INDEX('Aides'!$U$4:$U$503,133))&amp;". "))</f>
        <v/>
      </c>
      <c r="I636">
        <f>""</f>
        <v/>
      </c>
      <c r="J636">
        <f>IF(LEN(INDEX('Aides'!$V$4:$V$503,133))=0,"",INDEX('Aides'!$V$4:$V$503,133))</f>
        <v/>
      </c>
    </row>
    <row r="637">
      <c r="A637">
        <f>IF(AND(LEN('Aides'!A137)&gt;0,ISNUMBER('Aides'!S137)),1,0)</f>
        <v/>
      </c>
      <c r="B637">
        <f>B636+A637</f>
        <v/>
      </c>
      <c r="C637">
        <f>IF(634&gt;$B$1503,"",MATCH(634-0.5,$B$3:$B$1503,1))</f>
        <v/>
      </c>
      <c r="D637">
        <f>"CPR / First Aid – "&amp;IF(LEN(INDEX('Aides'!$A$4:$A$503,134))=0,"",INDEX('Aides'!$A$4:$A$503,134))</f>
        <v/>
      </c>
      <c r="E637">
        <f>IF(ISNUMBER(INDEX('Aides'!$S$4:$S$503,134)),TEXT(INDEX('Aides'!$S$4:$S$503,134),"yyyy-mm-dd"),"")</f>
        <v/>
      </c>
      <c r="F637">
        <f>"Training"</f>
        <v/>
      </c>
      <c r="G637">
        <f>"Medium"</f>
        <v/>
      </c>
      <c r="H637">
        <f>TRIM(IF(LEN(IF(LEN(INDEX('Aides'!$U$4:$U$503,134))=0,"",INDEX('Aides'!$U$4:$U$503,134)))=0,"","Owner: "&amp;IF(LEN(INDEX('Aides'!$U$4:$U$503,134))=0,"",INDEX('Aides'!$U$4:$U$503,134))&amp;". "))</f>
        <v/>
      </c>
      <c r="I637">
        <f>""</f>
        <v/>
      </c>
      <c r="J637">
        <f>IF(LEN(INDEX('Aides'!$V$4:$V$503,134))=0,"",INDEX('Aides'!$V$4:$V$503,134))</f>
        <v/>
      </c>
    </row>
    <row r="638">
      <c r="A638">
        <f>IF(AND(LEN('Aides'!A138)&gt;0,ISNUMBER('Aides'!S138)),1,0)</f>
        <v/>
      </c>
      <c r="B638">
        <f>B637+A638</f>
        <v/>
      </c>
      <c r="C638">
        <f>IF(635&gt;$B$1503,"",MATCH(635-0.5,$B$3:$B$1503,1))</f>
        <v/>
      </c>
      <c r="D638">
        <f>"CPR / First Aid – "&amp;IF(LEN(INDEX('Aides'!$A$4:$A$503,135))=0,"",INDEX('Aides'!$A$4:$A$503,135))</f>
        <v/>
      </c>
      <c r="E638">
        <f>IF(ISNUMBER(INDEX('Aides'!$S$4:$S$503,135)),TEXT(INDEX('Aides'!$S$4:$S$503,135),"yyyy-mm-dd"),"")</f>
        <v/>
      </c>
      <c r="F638">
        <f>"Training"</f>
        <v/>
      </c>
      <c r="G638">
        <f>"Medium"</f>
        <v/>
      </c>
      <c r="H638">
        <f>TRIM(IF(LEN(IF(LEN(INDEX('Aides'!$U$4:$U$503,135))=0,"",INDEX('Aides'!$U$4:$U$503,135)))=0,"","Owner: "&amp;IF(LEN(INDEX('Aides'!$U$4:$U$503,135))=0,"",INDEX('Aides'!$U$4:$U$503,135))&amp;". "))</f>
        <v/>
      </c>
      <c r="I638">
        <f>""</f>
        <v/>
      </c>
      <c r="J638">
        <f>IF(LEN(INDEX('Aides'!$V$4:$V$503,135))=0,"",INDEX('Aides'!$V$4:$V$503,135))</f>
        <v/>
      </c>
    </row>
    <row r="639">
      <c r="A639">
        <f>IF(AND(LEN('Aides'!A139)&gt;0,ISNUMBER('Aides'!S139)),1,0)</f>
        <v/>
      </c>
      <c r="B639">
        <f>B638+A639</f>
        <v/>
      </c>
      <c r="C639">
        <f>IF(636&gt;$B$1503,"",MATCH(636-0.5,$B$3:$B$1503,1))</f>
        <v/>
      </c>
      <c r="D639">
        <f>"CPR / First Aid – "&amp;IF(LEN(INDEX('Aides'!$A$4:$A$503,136))=0,"",INDEX('Aides'!$A$4:$A$503,136))</f>
        <v/>
      </c>
      <c r="E639">
        <f>IF(ISNUMBER(INDEX('Aides'!$S$4:$S$503,136)),TEXT(INDEX('Aides'!$S$4:$S$503,136),"yyyy-mm-dd"),"")</f>
        <v/>
      </c>
      <c r="F639">
        <f>"Training"</f>
        <v/>
      </c>
      <c r="G639">
        <f>"Medium"</f>
        <v/>
      </c>
      <c r="H639">
        <f>TRIM(IF(LEN(IF(LEN(INDEX('Aides'!$U$4:$U$503,136))=0,"",INDEX('Aides'!$U$4:$U$503,136)))=0,"","Owner: "&amp;IF(LEN(INDEX('Aides'!$U$4:$U$503,136))=0,"",INDEX('Aides'!$U$4:$U$503,136))&amp;". "))</f>
        <v/>
      </c>
      <c r="I639">
        <f>""</f>
        <v/>
      </c>
      <c r="J639">
        <f>IF(LEN(INDEX('Aides'!$V$4:$V$503,136))=0,"",INDEX('Aides'!$V$4:$V$503,136))</f>
        <v/>
      </c>
    </row>
    <row r="640">
      <c r="A640">
        <f>IF(AND(LEN('Aides'!A140)&gt;0,ISNUMBER('Aides'!S140)),1,0)</f>
        <v/>
      </c>
      <c r="B640">
        <f>B639+A640</f>
        <v/>
      </c>
      <c r="C640">
        <f>IF(637&gt;$B$1503,"",MATCH(637-0.5,$B$3:$B$1503,1))</f>
        <v/>
      </c>
      <c r="D640">
        <f>"CPR / First Aid – "&amp;IF(LEN(INDEX('Aides'!$A$4:$A$503,137))=0,"",INDEX('Aides'!$A$4:$A$503,137))</f>
        <v/>
      </c>
      <c r="E640">
        <f>IF(ISNUMBER(INDEX('Aides'!$S$4:$S$503,137)),TEXT(INDEX('Aides'!$S$4:$S$503,137),"yyyy-mm-dd"),"")</f>
        <v/>
      </c>
      <c r="F640">
        <f>"Training"</f>
        <v/>
      </c>
      <c r="G640">
        <f>"Medium"</f>
        <v/>
      </c>
      <c r="H640">
        <f>TRIM(IF(LEN(IF(LEN(INDEX('Aides'!$U$4:$U$503,137))=0,"",INDEX('Aides'!$U$4:$U$503,137)))=0,"","Owner: "&amp;IF(LEN(INDEX('Aides'!$U$4:$U$503,137))=0,"",INDEX('Aides'!$U$4:$U$503,137))&amp;". "))</f>
        <v/>
      </c>
      <c r="I640">
        <f>""</f>
        <v/>
      </c>
      <c r="J640">
        <f>IF(LEN(INDEX('Aides'!$V$4:$V$503,137))=0,"",INDEX('Aides'!$V$4:$V$503,137))</f>
        <v/>
      </c>
    </row>
    <row r="641">
      <c r="A641">
        <f>IF(AND(LEN('Aides'!A141)&gt;0,ISNUMBER('Aides'!S141)),1,0)</f>
        <v/>
      </c>
      <c r="B641">
        <f>B640+A641</f>
        <v/>
      </c>
      <c r="C641">
        <f>IF(638&gt;$B$1503,"",MATCH(638-0.5,$B$3:$B$1503,1))</f>
        <v/>
      </c>
      <c r="D641">
        <f>"CPR / First Aid – "&amp;IF(LEN(INDEX('Aides'!$A$4:$A$503,138))=0,"",INDEX('Aides'!$A$4:$A$503,138))</f>
        <v/>
      </c>
      <c r="E641">
        <f>IF(ISNUMBER(INDEX('Aides'!$S$4:$S$503,138)),TEXT(INDEX('Aides'!$S$4:$S$503,138),"yyyy-mm-dd"),"")</f>
        <v/>
      </c>
      <c r="F641">
        <f>"Training"</f>
        <v/>
      </c>
      <c r="G641">
        <f>"Medium"</f>
        <v/>
      </c>
      <c r="H641">
        <f>TRIM(IF(LEN(IF(LEN(INDEX('Aides'!$U$4:$U$503,138))=0,"",INDEX('Aides'!$U$4:$U$503,138)))=0,"","Owner: "&amp;IF(LEN(INDEX('Aides'!$U$4:$U$503,138))=0,"",INDEX('Aides'!$U$4:$U$503,138))&amp;". "))</f>
        <v/>
      </c>
      <c r="I641">
        <f>""</f>
        <v/>
      </c>
      <c r="J641">
        <f>IF(LEN(INDEX('Aides'!$V$4:$V$503,138))=0,"",INDEX('Aides'!$V$4:$V$503,138))</f>
        <v/>
      </c>
    </row>
    <row r="642">
      <c r="A642">
        <f>IF(AND(LEN('Aides'!A142)&gt;0,ISNUMBER('Aides'!S142)),1,0)</f>
        <v/>
      </c>
      <c r="B642">
        <f>B641+A642</f>
        <v/>
      </c>
      <c r="C642">
        <f>IF(639&gt;$B$1503,"",MATCH(639-0.5,$B$3:$B$1503,1))</f>
        <v/>
      </c>
      <c r="D642">
        <f>"CPR / First Aid – "&amp;IF(LEN(INDEX('Aides'!$A$4:$A$503,139))=0,"",INDEX('Aides'!$A$4:$A$503,139))</f>
        <v/>
      </c>
      <c r="E642">
        <f>IF(ISNUMBER(INDEX('Aides'!$S$4:$S$503,139)),TEXT(INDEX('Aides'!$S$4:$S$503,139),"yyyy-mm-dd"),"")</f>
        <v/>
      </c>
      <c r="F642">
        <f>"Training"</f>
        <v/>
      </c>
      <c r="G642">
        <f>"Medium"</f>
        <v/>
      </c>
      <c r="H642">
        <f>TRIM(IF(LEN(IF(LEN(INDEX('Aides'!$U$4:$U$503,139))=0,"",INDEX('Aides'!$U$4:$U$503,139)))=0,"","Owner: "&amp;IF(LEN(INDEX('Aides'!$U$4:$U$503,139))=0,"",INDEX('Aides'!$U$4:$U$503,139))&amp;". "))</f>
        <v/>
      </c>
      <c r="I642">
        <f>""</f>
        <v/>
      </c>
      <c r="J642">
        <f>IF(LEN(INDEX('Aides'!$V$4:$V$503,139))=0,"",INDEX('Aides'!$V$4:$V$503,139))</f>
        <v/>
      </c>
    </row>
    <row r="643">
      <c r="A643">
        <f>IF(AND(LEN('Aides'!A143)&gt;0,ISNUMBER('Aides'!S143)),1,0)</f>
        <v/>
      </c>
      <c r="B643">
        <f>B642+A643</f>
        <v/>
      </c>
      <c r="C643">
        <f>IF(640&gt;$B$1503,"",MATCH(640-0.5,$B$3:$B$1503,1))</f>
        <v/>
      </c>
      <c r="D643">
        <f>"CPR / First Aid – "&amp;IF(LEN(INDEX('Aides'!$A$4:$A$503,140))=0,"",INDEX('Aides'!$A$4:$A$503,140))</f>
        <v/>
      </c>
      <c r="E643">
        <f>IF(ISNUMBER(INDEX('Aides'!$S$4:$S$503,140)),TEXT(INDEX('Aides'!$S$4:$S$503,140),"yyyy-mm-dd"),"")</f>
        <v/>
      </c>
      <c r="F643">
        <f>"Training"</f>
        <v/>
      </c>
      <c r="G643">
        <f>"Medium"</f>
        <v/>
      </c>
      <c r="H643">
        <f>TRIM(IF(LEN(IF(LEN(INDEX('Aides'!$U$4:$U$503,140))=0,"",INDEX('Aides'!$U$4:$U$503,140)))=0,"","Owner: "&amp;IF(LEN(INDEX('Aides'!$U$4:$U$503,140))=0,"",INDEX('Aides'!$U$4:$U$503,140))&amp;". "))</f>
        <v/>
      </c>
      <c r="I643">
        <f>""</f>
        <v/>
      </c>
      <c r="J643">
        <f>IF(LEN(INDEX('Aides'!$V$4:$V$503,140))=0,"",INDEX('Aides'!$V$4:$V$503,140))</f>
        <v/>
      </c>
    </row>
    <row r="644">
      <c r="A644">
        <f>IF(AND(LEN('Aides'!A144)&gt;0,ISNUMBER('Aides'!S144)),1,0)</f>
        <v/>
      </c>
      <c r="B644">
        <f>B643+A644</f>
        <v/>
      </c>
      <c r="C644">
        <f>IF(641&gt;$B$1503,"",MATCH(641-0.5,$B$3:$B$1503,1))</f>
        <v/>
      </c>
      <c r="D644">
        <f>"CPR / First Aid – "&amp;IF(LEN(INDEX('Aides'!$A$4:$A$503,141))=0,"",INDEX('Aides'!$A$4:$A$503,141))</f>
        <v/>
      </c>
      <c r="E644">
        <f>IF(ISNUMBER(INDEX('Aides'!$S$4:$S$503,141)),TEXT(INDEX('Aides'!$S$4:$S$503,141),"yyyy-mm-dd"),"")</f>
        <v/>
      </c>
      <c r="F644">
        <f>"Training"</f>
        <v/>
      </c>
      <c r="G644">
        <f>"Medium"</f>
        <v/>
      </c>
      <c r="H644">
        <f>TRIM(IF(LEN(IF(LEN(INDEX('Aides'!$U$4:$U$503,141))=0,"",INDEX('Aides'!$U$4:$U$503,141)))=0,"","Owner: "&amp;IF(LEN(INDEX('Aides'!$U$4:$U$503,141))=0,"",INDEX('Aides'!$U$4:$U$503,141))&amp;". "))</f>
        <v/>
      </c>
      <c r="I644">
        <f>""</f>
        <v/>
      </c>
      <c r="J644">
        <f>IF(LEN(INDEX('Aides'!$V$4:$V$503,141))=0,"",INDEX('Aides'!$V$4:$V$503,141))</f>
        <v/>
      </c>
    </row>
    <row r="645">
      <c r="A645">
        <f>IF(AND(LEN('Aides'!A145)&gt;0,ISNUMBER('Aides'!S145)),1,0)</f>
        <v/>
      </c>
      <c r="B645">
        <f>B644+A645</f>
        <v/>
      </c>
      <c r="C645">
        <f>IF(642&gt;$B$1503,"",MATCH(642-0.5,$B$3:$B$1503,1))</f>
        <v/>
      </c>
      <c r="D645">
        <f>"CPR / First Aid – "&amp;IF(LEN(INDEX('Aides'!$A$4:$A$503,142))=0,"",INDEX('Aides'!$A$4:$A$503,142))</f>
        <v/>
      </c>
      <c r="E645">
        <f>IF(ISNUMBER(INDEX('Aides'!$S$4:$S$503,142)),TEXT(INDEX('Aides'!$S$4:$S$503,142),"yyyy-mm-dd"),"")</f>
        <v/>
      </c>
      <c r="F645">
        <f>"Training"</f>
        <v/>
      </c>
      <c r="G645">
        <f>"Medium"</f>
        <v/>
      </c>
      <c r="H645">
        <f>TRIM(IF(LEN(IF(LEN(INDEX('Aides'!$U$4:$U$503,142))=0,"",INDEX('Aides'!$U$4:$U$503,142)))=0,"","Owner: "&amp;IF(LEN(INDEX('Aides'!$U$4:$U$503,142))=0,"",INDEX('Aides'!$U$4:$U$503,142))&amp;". "))</f>
        <v/>
      </c>
      <c r="I645">
        <f>""</f>
        <v/>
      </c>
      <c r="J645">
        <f>IF(LEN(INDEX('Aides'!$V$4:$V$503,142))=0,"",INDEX('Aides'!$V$4:$V$503,142))</f>
        <v/>
      </c>
    </row>
    <row r="646">
      <c r="A646">
        <f>IF(AND(LEN('Aides'!A146)&gt;0,ISNUMBER('Aides'!S146)),1,0)</f>
        <v/>
      </c>
      <c r="B646">
        <f>B645+A646</f>
        <v/>
      </c>
      <c r="C646">
        <f>IF(643&gt;$B$1503,"",MATCH(643-0.5,$B$3:$B$1503,1))</f>
        <v/>
      </c>
      <c r="D646">
        <f>"CPR / First Aid – "&amp;IF(LEN(INDEX('Aides'!$A$4:$A$503,143))=0,"",INDEX('Aides'!$A$4:$A$503,143))</f>
        <v/>
      </c>
      <c r="E646">
        <f>IF(ISNUMBER(INDEX('Aides'!$S$4:$S$503,143)),TEXT(INDEX('Aides'!$S$4:$S$503,143),"yyyy-mm-dd"),"")</f>
        <v/>
      </c>
      <c r="F646">
        <f>"Training"</f>
        <v/>
      </c>
      <c r="G646">
        <f>"Medium"</f>
        <v/>
      </c>
      <c r="H646">
        <f>TRIM(IF(LEN(IF(LEN(INDEX('Aides'!$U$4:$U$503,143))=0,"",INDEX('Aides'!$U$4:$U$503,143)))=0,"","Owner: "&amp;IF(LEN(INDEX('Aides'!$U$4:$U$503,143))=0,"",INDEX('Aides'!$U$4:$U$503,143))&amp;". "))</f>
        <v/>
      </c>
      <c r="I646">
        <f>""</f>
        <v/>
      </c>
      <c r="J646">
        <f>IF(LEN(INDEX('Aides'!$V$4:$V$503,143))=0,"",INDEX('Aides'!$V$4:$V$503,143))</f>
        <v/>
      </c>
    </row>
    <row r="647">
      <c r="A647">
        <f>IF(AND(LEN('Aides'!A147)&gt;0,ISNUMBER('Aides'!S147)),1,0)</f>
        <v/>
      </c>
      <c r="B647">
        <f>B646+A647</f>
        <v/>
      </c>
      <c r="C647">
        <f>IF(644&gt;$B$1503,"",MATCH(644-0.5,$B$3:$B$1503,1))</f>
        <v/>
      </c>
      <c r="D647">
        <f>"CPR / First Aid – "&amp;IF(LEN(INDEX('Aides'!$A$4:$A$503,144))=0,"",INDEX('Aides'!$A$4:$A$503,144))</f>
        <v/>
      </c>
      <c r="E647">
        <f>IF(ISNUMBER(INDEX('Aides'!$S$4:$S$503,144)),TEXT(INDEX('Aides'!$S$4:$S$503,144),"yyyy-mm-dd"),"")</f>
        <v/>
      </c>
      <c r="F647">
        <f>"Training"</f>
        <v/>
      </c>
      <c r="G647">
        <f>"Medium"</f>
        <v/>
      </c>
      <c r="H647">
        <f>TRIM(IF(LEN(IF(LEN(INDEX('Aides'!$U$4:$U$503,144))=0,"",INDEX('Aides'!$U$4:$U$503,144)))=0,"","Owner: "&amp;IF(LEN(INDEX('Aides'!$U$4:$U$503,144))=0,"",INDEX('Aides'!$U$4:$U$503,144))&amp;". "))</f>
        <v/>
      </c>
      <c r="I647">
        <f>""</f>
        <v/>
      </c>
      <c r="J647">
        <f>IF(LEN(INDEX('Aides'!$V$4:$V$503,144))=0,"",INDEX('Aides'!$V$4:$V$503,144))</f>
        <v/>
      </c>
    </row>
    <row r="648">
      <c r="A648">
        <f>IF(AND(LEN('Aides'!A148)&gt;0,ISNUMBER('Aides'!S148)),1,0)</f>
        <v/>
      </c>
      <c r="B648">
        <f>B647+A648</f>
        <v/>
      </c>
      <c r="C648">
        <f>IF(645&gt;$B$1503,"",MATCH(645-0.5,$B$3:$B$1503,1))</f>
        <v/>
      </c>
      <c r="D648">
        <f>"CPR / First Aid – "&amp;IF(LEN(INDEX('Aides'!$A$4:$A$503,145))=0,"",INDEX('Aides'!$A$4:$A$503,145))</f>
        <v/>
      </c>
      <c r="E648">
        <f>IF(ISNUMBER(INDEX('Aides'!$S$4:$S$503,145)),TEXT(INDEX('Aides'!$S$4:$S$503,145),"yyyy-mm-dd"),"")</f>
        <v/>
      </c>
      <c r="F648">
        <f>"Training"</f>
        <v/>
      </c>
      <c r="G648">
        <f>"Medium"</f>
        <v/>
      </c>
      <c r="H648">
        <f>TRIM(IF(LEN(IF(LEN(INDEX('Aides'!$U$4:$U$503,145))=0,"",INDEX('Aides'!$U$4:$U$503,145)))=0,"","Owner: "&amp;IF(LEN(INDEX('Aides'!$U$4:$U$503,145))=0,"",INDEX('Aides'!$U$4:$U$503,145))&amp;". "))</f>
        <v/>
      </c>
      <c r="I648">
        <f>""</f>
        <v/>
      </c>
      <c r="J648">
        <f>IF(LEN(INDEX('Aides'!$V$4:$V$503,145))=0,"",INDEX('Aides'!$V$4:$V$503,145))</f>
        <v/>
      </c>
    </row>
    <row r="649">
      <c r="A649">
        <f>IF(AND(LEN('Aides'!A149)&gt;0,ISNUMBER('Aides'!S149)),1,0)</f>
        <v/>
      </c>
      <c r="B649">
        <f>B648+A649</f>
        <v/>
      </c>
      <c r="C649">
        <f>IF(646&gt;$B$1503,"",MATCH(646-0.5,$B$3:$B$1503,1))</f>
        <v/>
      </c>
      <c r="D649">
        <f>"CPR / First Aid – "&amp;IF(LEN(INDEX('Aides'!$A$4:$A$503,146))=0,"",INDEX('Aides'!$A$4:$A$503,146))</f>
        <v/>
      </c>
      <c r="E649">
        <f>IF(ISNUMBER(INDEX('Aides'!$S$4:$S$503,146)),TEXT(INDEX('Aides'!$S$4:$S$503,146),"yyyy-mm-dd"),"")</f>
        <v/>
      </c>
      <c r="F649">
        <f>"Training"</f>
        <v/>
      </c>
      <c r="G649">
        <f>"Medium"</f>
        <v/>
      </c>
      <c r="H649">
        <f>TRIM(IF(LEN(IF(LEN(INDEX('Aides'!$U$4:$U$503,146))=0,"",INDEX('Aides'!$U$4:$U$503,146)))=0,"","Owner: "&amp;IF(LEN(INDEX('Aides'!$U$4:$U$503,146))=0,"",INDEX('Aides'!$U$4:$U$503,146))&amp;". "))</f>
        <v/>
      </c>
      <c r="I649">
        <f>""</f>
        <v/>
      </c>
      <c r="J649">
        <f>IF(LEN(INDEX('Aides'!$V$4:$V$503,146))=0,"",INDEX('Aides'!$V$4:$V$503,146))</f>
        <v/>
      </c>
    </row>
    <row r="650">
      <c r="A650">
        <f>IF(AND(LEN('Aides'!A150)&gt;0,ISNUMBER('Aides'!S150)),1,0)</f>
        <v/>
      </c>
      <c r="B650">
        <f>B649+A650</f>
        <v/>
      </c>
      <c r="C650">
        <f>IF(647&gt;$B$1503,"",MATCH(647-0.5,$B$3:$B$1503,1))</f>
        <v/>
      </c>
      <c r="D650">
        <f>"CPR / First Aid – "&amp;IF(LEN(INDEX('Aides'!$A$4:$A$503,147))=0,"",INDEX('Aides'!$A$4:$A$503,147))</f>
        <v/>
      </c>
      <c r="E650">
        <f>IF(ISNUMBER(INDEX('Aides'!$S$4:$S$503,147)),TEXT(INDEX('Aides'!$S$4:$S$503,147),"yyyy-mm-dd"),"")</f>
        <v/>
      </c>
      <c r="F650">
        <f>"Training"</f>
        <v/>
      </c>
      <c r="G650">
        <f>"Medium"</f>
        <v/>
      </c>
      <c r="H650">
        <f>TRIM(IF(LEN(IF(LEN(INDEX('Aides'!$U$4:$U$503,147))=0,"",INDEX('Aides'!$U$4:$U$503,147)))=0,"","Owner: "&amp;IF(LEN(INDEX('Aides'!$U$4:$U$503,147))=0,"",INDEX('Aides'!$U$4:$U$503,147))&amp;". "))</f>
        <v/>
      </c>
      <c r="I650">
        <f>""</f>
        <v/>
      </c>
      <c r="J650">
        <f>IF(LEN(INDEX('Aides'!$V$4:$V$503,147))=0,"",INDEX('Aides'!$V$4:$V$503,147))</f>
        <v/>
      </c>
    </row>
    <row r="651">
      <c r="A651">
        <f>IF(AND(LEN('Aides'!A151)&gt;0,ISNUMBER('Aides'!S151)),1,0)</f>
        <v/>
      </c>
      <c r="B651">
        <f>B650+A651</f>
        <v/>
      </c>
      <c r="C651">
        <f>IF(648&gt;$B$1503,"",MATCH(648-0.5,$B$3:$B$1503,1))</f>
        <v/>
      </c>
      <c r="D651">
        <f>"CPR / First Aid – "&amp;IF(LEN(INDEX('Aides'!$A$4:$A$503,148))=0,"",INDEX('Aides'!$A$4:$A$503,148))</f>
        <v/>
      </c>
      <c r="E651">
        <f>IF(ISNUMBER(INDEX('Aides'!$S$4:$S$503,148)),TEXT(INDEX('Aides'!$S$4:$S$503,148),"yyyy-mm-dd"),"")</f>
        <v/>
      </c>
      <c r="F651">
        <f>"Training"</f>
        <v/>
      </c>
      <c r="G651">
        <f>"Medium"</f>
        <v/>
      </c>
      <c r="H651">
        <f>TRIM(IF(LEN(IF(LEN(INDEX('Aides'!$U$4:$U$503,148))=0,"",INDEX('Aides'!$U$4:$U$503,148)))=0,"","Owner: "&amp;IF(LEN(INDEX('Aides'!$U$4:$U$503,148))=0,"",INDEX('Aides'!$U$4:$U$503,148))&amp;". "))</f>
        <v/>
      </c>
      <c r="I651">
        <f>""</f>
        <v/>
      </c>
      <c r="J651">
        <f>IF(LEN(INDEX('Aides'!$V$4:$V$503,148))=0,"",INDEX('Aides'!$V$4:$V$503,148))</f>
        <v/>
      </c>
    </row>
    <row r="652">
      <c r="A652">
        <f>IF(AND(LEN('Aides'!A152)&gt;0,ISNUMBER('Aides'!S152)),1,0)</f>
        <v/>
      </c>
      <c r="B652">
        <f>B651+A652</f>
        <v/>
      </c>
      <c r="C652">
        <f>IF(649&gt;$B$1503,"",MATCH(649-0.5,$B$3:$B$1503,1))</f>
        <v/>
      </c>
      <c r="D652">
        <f>"CPR / First Aid – "&amp;IF(LEN(INDEX('Aides'!$A$4:$A$503,149))=0,"",INDEX('Aides'!$A$4:$A$503,149))</f>
        <v/>
      </c>
      <c r="E652">
        <f>IF(ISNUMBER(INDEX('Aides'!$S$4:$S$503,149)),TEXT(INDEX('Aides'!$S$4:$S$503,149),"yyyy-mm-dd"),"")</f>
        <v/>
      </c>
      <c r="F652">
        <f>"Training"</f>
        <v/>
      </c>
      <c r="G652">
        <f>"Medium"</f>
        <v/>
      </c>
      <c r="H652">
        <f>TRIM(IF(LEN(IF(LEN(INDEX('Aides'!$U$4:$U$503,149))=0,"",INDEX('Aides'!$U$4:$U$503,149)))=0,"","Owner: "&amp;IF(LEN(INDEX('Aides'!$U$4:$U$503,149))=0,"",INDEX('Aides'!$U$4:$U$503,149))&amp;". "))</f>
        <v/>
      </c>
      <c r="I652">
        <f>""</f>
        <v/>
      </c>
      <c r="J652">
        <f>IF(LEN(INDEX('Aides'!$V$4:$V$503,149))=0,"",INDEX('Aides'!$V$4:$V$503,149))</f>
        <v/>
      </c>
    </row>
    <row r="653">
      <c r="A653">
        <f>IF(AND(LEN('Aides'!A153)&gt;0,ISNUMBER('Aides'!S153)),1,0)</f>
        <v/>
      </c>
      <c r="B653">
        <f>B652+A653</f>
        <v/>
      </c>
      <c r="C653">
        <f>IF(650&gt;$B$1503,"",MATCH(650-0.5,$B$3:$B$1503,1))</f>
        <v/>
      </c>
      <c r="D653">
        <f>"CPR / First Aid – "&amp;IF(LEN(INDEX('Aides'!$A$4:$A$503,150))=0,"",INDEX('Aides'!$A$4:$A$503,150))</f>
        <v/>
      </c>
      <c r="E653">
        <f>IF(ISNUMBER(INDEX('Aides'!$S$4:$S$503,150)),TEXT(INDEX('Aides'!$S$4:$S$503,150),"yyyy-mm-dd"),"")</f>
        <v/>
      </c>
      <c r="F653">
        <f>"Training"</f>
        <v/>
      </c>
      <c r="G653">
        <f>"Medium"</f>
        <v/>
      </c>
      <c r="H653">
        <f>TRIM(IF(LEN(IF(LEN(INDEX('Aides'!$U$4:$U$503,150))=0,"",INDEX('Aides'!$U$4:$U$503,150)))=0,"","Owner: "&amp;IF(LEN(INDEX('Aides'!$U$4:$U$503,150))=0,"",INDEX('Aides'!$U$4:$U$503,150))&amp;". "))</f>
        <v/>
      </c>
      <c r="I653">
        <f>""</f>
        <v/>
      </c>
      <c r="J653">
        <f>IF(LEN(INDEX('Aides'!$V$4:$V$503,150))=0,"",INDEX('Aides'!$V$4:$V$503,150))</f>
        <v/>
      </c>
    </row>
    <row r="654">
      <c r="A654">
        <f>IF(AND(LEN('Aides'!A154)&gt;0,ISNUMBER('Aides'!S154)),1,0)</f>
        <v/>
      </c>
      <c r="B654">
        <f>B653+A654</f>
        <v/>
      </c>
      <c r="C654">
        <f>IF(651&gt;$B$1503,"",MATCH(651-0.5,$B$3:$B$1503,1))</f>
        <v/>
      </c>
      <c r="D654">
        <f>"CPR / First Aid – "&amp;IF(LEN(INDEX('Aides'!$A$4:$A$503,151))=0,"",INDEX('Aides'!$A$4:$A$503,151))</f>
        <v/>
      </c>
      <c r="E654">
        <f>IF(ISNUMBER(INDEX('Aides'!$S$4:$S$503,151)),TEXT(INDEX('Aides'!$S$4:$S$503,151),"yyyy-mm-dd"),"")</f>
        <v/>
      </c>
      <c r="F654">
        <f>"Training"</f>
        <v/>
      </c>
      <c r="G654">
        <f>"Medium"</f>
        <v/>
      </c>
      <c r="H654">
        <f>TRIM(IF(LEN(IF(LEN(INDEX('Aides'!$U$4:$U$503,151))=0,"",INDEX('Aides'!$U$4:$U$503,151)))=0,"","Owner: "&amp;IF(LEN(INDEX('Aides'!$U$4:$U$503,151))=0,"",INDEX('Aides'!$U$4:$U$503,151))&amp;". "))</f>
        <v/>
      </c>
      <c r="I654">
        <f>""</f>
        <v/>
      </c>
      <c r="J654">
        <f>IF(LEN(INDEX('Aides'!$V$4:$V$503,151))=0,"",INDEX('Aides'!$V$4:$V$503,151))</f>
        <v/>
      </c>
    </row>
    <row r="655">
      <c r="A655">
        <f>IF(AND(LEN('Aides'!A155)&gt;0,ISNUMBER('Aides'!S155)),1,0)</f>
        <v/>
      </c>
      <c r="B655">
        <f>B654+A655</f>
        <v/>
      </c>
      <c r="C655">
        <f>IF(652&gt;$B$1503,"",MATCH(652-0.5,$B$3:$B$1503,1))</f>
        <v/>
      </c>
      <c r="D655">
        <f>"CPR / First Aid – "&amp;IF(LEN(INDEX('Aides'!$A$4:$A$503,152))=0,"",INDEX('Aides'!$A$4:$A$503,152))</f>
        <v/>
      </c>
      <c r="E655">
        <f>IF(ISNUMBER(INDEX('Aides'!$S$4:$S$503,152)),TEXT(INDEX('Aides'!$S$4:$S$503,152),"yyyy-mm-dd"),"")</f>
        <v/>
      </c>
      <c r="F655">
        <f>"Training"</f>
        <v/>
      </c>
      <c r="G655">
        <f>"Medium"</f>
        <v/>
      </c>
      <c r="H655">
        <f>TRIM(IF(LEN(IF(LEN(INDEX('Aides'!$U$4:$U$503,152))=0,"",INDEX('Aides'!$U$4:$U$503,152)))=0,"","Owner: "&amp;IF(LEN(INDEX('Aides'!$U$4:$U$503,152))=0,"",INDEX('Aides'!$U$4:$U$503,152))&amp;". "))</f>
        <v/>
      </c>
      <c r="I655">
        <f>""</f>
        <v/>
      </c>
      <c r="J655">
        <f>IF(LEN(INDEX('Aides'!$V$4:$V$503,152))=0,"",INDEX('Aides'!$V$4:$V$503,152))</f>
        <v/>
      </c>
    </row>
    <row r="656">
      <c r="A656">
        <f>IF(AND(LEN('Aides'!A156)&gt;0,ISNUMBER('Aides'!S156)),1,0)</f>
        <v/>
      </c>
      <c r="B656">
        <f>B655+A656</f>
        <v/>
      </c>
      <c r="C656">
        <f>IF(653&gt;$B$1503,"",MATCH(653-0.5,$B$3:$B$1503,1))</f>
        <v/>
      </c>
      <c r="D656">
        <f>"CPR / First Aid – "&amp;IF(LEN(INDEX('Aides'!$A$4:$A$503,153))=0,"",INDEX('Aides'!$A$4:$A$503,153))</f>
        <v/>
      </c>
      <c r="E656">
        <f>IF(ISNUMBER(INDEX('Aides'!$S$4:$S$503,153)),TEXT(INDEX('Aides'!$S$4:$S$503,153),"yyyy-mm-dd"),"")</f>
        <v/>
      </c>
      <c r="F656">
        <f>"Training"</f>
        <v/>
      </c>
      <c r="G656">
        <f>"Medium"</f>
        <v/>
      </c>
      <c r="H656">
        <f>TRIM(IF(LEN(IF(LEN(INDEX('Aides'!$U$4:$U$503,153))=0,"",INDEX('Aides'!$U$4:$U$503,153)))=0,"","Owner: "&amp;IF(LEN(INDEX('Aides'!$U$4:$U$503,153))=0,"",INDEX('Aides'!$U$4:$U$503,153))&amp;". "))</f>
        <v/>
      </c>
      <c r="I656">
        <f>""</f>
        <v/>
      </c>
      <c r="J656">
        <f>IF(LEN(INDEX('Aides'!$V$4:$V$503,153))=0,"",INDEX('Aides'!$V$4:$V$503,153))</f>
        <v/>
      </c>
    </row>
    <row r="657">
      <c r="A657">
        <f>IF(AND(LEN('Aides'!A157)&gt;0,ISNUMBER('Aides'!S157)),1,0)</f>
        <v/>
      </c>
      <c r="B657">
        <f>B656+A657</f>
        <v/>
      </c>
      <c r="C657">
        <f>IF(654&gt;$B$1503,"",MATCH(654-0.5,$B$3:$B$1503,1))</f>
        <v/>
      </c>
      <c r="D657">
        <f>"CPR / First Aid – "&amp;IF(LEN(INDEX('Aides'!$A$4:$A$503,154))=0,"",INDEX('Aides'!$A$4:$A$503,154))</f>
        <v/>
      </c>
      <c r="E657">
        <f>IF(ISNUMBER(INDEX('Aides'!$S$4:$S$503,154)),TEXT(INDEX('Aides'!$S$4:$S$503,154),"yyyy-mm-dd"),"")</f>
        <v/>
      </c>
      <c r="F657">
        <f>"Training"</f>
        <v/>
      </c>
      <c r="G657">
        <f>"Medium"</f>
        <v/>
      </c>
      <c r="H657">
        <f>TRIM(IF(LEN(IF(LEN(INDEX('Aides'!$U$4:$U$503,154))=0,"",INDEX('Aides'!$U$4:$U$503,154)))=0,"","Owner: "&amp;IF(LEN(INDEX('Aides'!$U$4:$U$503,154))=0,"",INDEX('Aides'!$U$4:$U$503,154))&amp;". "))</f>
        <v/>
      </c>
      <c r="I657">
        <f>""</f>
        <v/>
      </c>
      <c r="J657">
        <f>IF(LEN(INDEX('Aides'!$V$4:$V$503,154))=0,"",INDEX('Aides'!$V$4:$V$503,154))</f>
        <v/>
      </c>
    </row>
    <row r="658">
      <c r="A658">
        <f>IF(AND(LEN('Aides'!A158)&gt;0,ISNUMBER('Aides'!S158)),1,0)</f>
        <v/>
      </c>
      <c r="B658">
        <f>B657+A658</f>
        <v/>
      </c>
      <c r="C658">
        <f>IF(655&gt;$B$1503,"",MATCH(655-0.5,$B$3:$B$1503,1))</f>
        <v/>
      </c>
      <c r="D658">
        <f>"CPR / First Aid – "&amp;IF(LEN(INDEX('Aides'!$A$4:$A$503,155))=0,"",INDEX('Aides'!$A$4:$A$503,155))</f>
        <v/>
      </c>
      <c r="E658">
        <f>IF(ISNUMBER(INDEX('Aides'!$S$4:$S$503,155)),TEXT(INDEX('Aides'!$S$4:$S$503,155),"yyyy-mm-dd"),"")</f>
        <v/>
      </c>
      <c r="F658">
        <f>"Training"</f>
        <v/>
      </c>
      <c r="G658">
        <f>"Medium"</f>
        <v/>
      </c>
      <c r="H658">
        <f>TRIM(IF(LEN(IF(LEN(INDEX('Aides'!$U$4:$U$503,155))=0,"",INDEX('Aides'!$U$4:$U$503,155)))=0,"","Owner: "&amp;IF(LEN(INDEX('Aides'!$U$4:$U$503,155))=0,"",INDEX('Aides'!$U$4:$U$503,155))&amp;". "))</f>
        <v/>
      </c>
      <c r="I658">
        <f>""</f>
        <v/>
      </c>
      <c r="J658">
        <f>IF(LEN(INDEX('Aides'!$V$4:$V$503,155))=0,"",INDEX('Aides'!$V$4:$V$503,155))</f>
        <v/>
      </c>
    </row>
    <row r="659">
      <c r="A659">
        <f>IF(AND(LEN('Aides'!A159)&gt;0,ISNUMBER('Aides'!S159)),1,0)</f>
        <v/>
      </c>
      <c r="B659">
        <f>B658+A659</f>
        <v/>
      </c>
      <c r="C659">
        <f>IF(656&gt;$B$1503,"",MATCH(656-0.5,$B$3:$B$1503,1))</f>
        <v/>
      </c>
      <c r="D659">
        <f>"CPR / First Aid – "&amp;IF(LEN(INDEX('Aides'!$A$4:$A$503,156))=0,"",INDEX('Aides'!$A$4:$A$503,156))</f>
        <v/>
      </c>
      <c r="E659">
        <f>IF(ISNUMBER(INDEX('Aides'!$S$4:$S$503,156)),TEXT(INDEX('Aides'!$S$4:$S$503,156),"yyyy-mm-dd"),"")</f>
        <v/>
      </c>
      <c r="F659">
        <f>"Training"</f>
        <v/>
      </c>
      <c r="G659">
        <f>"Medium"</f>
        <v/>
      </c>
      <c r="H659">
        <f>TRIM(IF(LEN(IF(LEN(INDEX('Aides'!$U$4:$U$503,156))=0,"",INDEX('Aides'!$U$4:$U$503,156)))=0,"","Owner: "&amp;IF(LEN(INDEX('Aides'!$U$4:$U$503,156))=0,"",INDEX('Aides'!$U$4:$U$503,156))&amp;". "))</f>
        <v/>
      </c>
      <c r="I659">
        <f>""</f>
        <v/>
      </c>
      <c r="J659">
        <f>IF(LEN(INDEX('Aides'!$V$4:$V$503,156))=0,"",INDEX('Aides'!$V$4:$V$503,156))</f>
        <v/>
      </c>
    </row>
    <row r="660">
      <c r="A660">
        <f>IF(AND(LEN('Aides'!A160)&gt;0,ISNUMBER('Aides'!S160)),1,0)</f>
        <v/>
      </c>
      <c r="B660">
        <f>B659+A660</f>
        <v/>
      </c>
      <c r="C660">
        <f>IF(657&gt;$B$1503,"",MATCH(657-0.5,$B$3:$B$1503,1))</f>
        <v/>
      </c>
      <c r="D660">
        <f>"CPR / First Aid – "&amp;IF(LEN(INDEX('Aides'!$A$4:$A$503,157))=0,"",INDEX('Aides'!$A$4:$A$503,157))</f>
        <v/>
      </c>
      <c r="E660">
        <f>IF(ISNUMBER(INDEX('Aides'!$S$4:$S$503,157)),TEXT(INDEX('Aides'!$S$4:$S$503,157),"yyyy-mm-dd"),"")</f>
        <v/>
      </c>
      <c r="F660">
        <f>"Training"</f>
        <v/>
      </c>
      <c r="G660">
        <f>"Medium"</f>
        <v/>
      </c>
      <c r="H660">
        <f>TRIM(IF(LEN(IF(LEN(INDEX('Aides'!$U$4:$U$503,157))=0,"",INDEX('Aides'!$U$4:$U$503,157)))=0,"","Owner: "&amp;IF(LEN(INDEX('Aides'!$U$4:$U$503,157))=0,"",INDEX('Aides'!$U$4:$U$503,157))&amp;". "))</f>
        <v/>
      </c>
      <c r="I660">
        <f>""</f>
        <v/>
      </c>
      <c r="J660">
        <f>IF(LEN(INDEX('Aides'!$V$4:$V$503,157))=0,"",INDEX('Aides'!$V$4:$V$503,157))</f>
        <v/>
      </c>
    </row>
    <row r="661">
      <c r="A661">
        <f>IF(AND(LEN('Aides'!A161)&gt;0,ISNUMBER('Aides'!S161)),1,0)</f>
        <v/>
      </c>
      <c r="B661">
        <f>B660+A661</f>
        <v/>
      </c>
      <c r="C661">
        <f>IF(658&gt;$B$1503,"",MATCH(658-0.5,$B$3:$B$1503,1))</f>
        <v/>
      </c>
      <c r="D661">
        <f>"CPR / First Aid – "&amp;IF(LEN(INDEX('Aides'!$A$4:$A$503,158))=0,"",INDEX('Aides'!$A$4:$A$503,158))</f>
        <v/>
      </c>
      <c r="E661">
        <f>IF(ISNUMBER(INDEX('Aides'!$S$4:$S$503,158)),TEXT(INDEX('Aides'!$S$4:$S$503,158),"yyyy-mm-dd"),"")</f>
        <v/>
      </c>
      <c r="F661">
        <f>"Training"</f>
        <v/>
      </c>
      <c r="G661">
        <f>"Medium"</f>
        <v/>
      </c>
      <c r="H661">
        <f>TRIM(IF(LEN(IF(LEN(INDEX('Aides'!$U$4:$U$503,158))=0,"",INDEX('Aides'!$U$4:$U$503,158)))=0,"","Owner: "&amp;IF(LEN(INDEX('Aides'!$U$4:$U$503,158))=0,"",INDEX('Aides'!$U$4:$U$503,158))&amp;". "))</f>
        <v/>
      </c>
      <c r="I661">
        <f>""</f>
        <v/>
      </c>
      <c r="J661">
        <f>IF(LEN(INDEX('Aides'!$V$4:$V$503,158))=0,"",INDEX('Aides'!$V$4:$V$503,158))</f>
        <v/>
      </c>
    </row>
    <row r="662">
      <c r="A662">
        <f>IF(AND(LEN('Aides'!A162)&gt;0,ISNUMBER('Aides'!S162)),1,0)</f>
        <v/>
      </c>
      <c r="B662">
        <f>B661+A662</f>
        <v/>
      </c>
      <c r="C662">
        <f>IF(659&gt;$B$1503,"",MATCH(659-0.5,$B$3:$B$1503,1))</f>
        <v/>
      </c>
      <c r="D662">
        <f>"CPR / First Aid – "&amp;IF(LEN(INDEX('Aides'!$A$4:$A$503,159))=0,"",INDEX('Aides'!$A$4:$A$503,159))</f>
        <v/>
      </c>
      <c r="E662">
        <f>IF(ISNUMBER(INDEX('Aides'!$S$4:$S$503,159)),TEXT(INDEX('Aides'!$S$4:$S$503,159),"yyyy-mm-dd"),"")</f>
        <v/>
      </c>
      <c r="F662">
        <f>"Training"</f>
        <v/>
      </c>
      <c r="G662">
        <f>"Medium"</f>
        <v/>
      </c>
      <c r="H662">
        <f>TRIM(IF(LEN(IF(LEN(INDEX('Aides'!$U$4:$U$503,159))=0,"",INDEX('Aides'!$U$4:$U$503,159)))=0,"","Owner: "&amp;IF(LEN(INDEX('Aides'!$U$4:$U$503,159))=0,"",INDEX('Aides'!$U$4:$U$503,159))&amp;". "))</f>
        <v/>
      </c>
      <c r="I662">
        <f>""</f>
        <v/>
      </c>
      <c r="J662">
        <f>IF(LEN(INDEX('Aides'!$V$4:$V$503,159))=0,"",INDEX('Aides'!$V$4:$V$503,159))</f>
        <v/>
      </c>
    </row>
    <row r="663">
      <c r="A663">
        <f>IF(AND(LEN('Aides'!A163)&gt;0,ISNUMBER('Aides'!S163)),1,0)</f>
        <v/>
      </c>
      <c r="B663">
        <f>B662+A663</f>
        <v/>
      </c>
      <c r="C663">
        <f>IF(660&gt;$B$1503,"",MATCH(660-0.5,$B$3:$B$1503,1))</f>
        <v/>
      </c>
      <c r="D663">
        <f>"CPR / First Aid – "&amp;IF(LEN(INDEX('Aides'!$A$4:$A$503,160))=0,"",INDEX('Aides'!$A$4:$A$503,160))</f>
        <v/>
      </c>
      <c r="E663">
        <f>IF(ISNUMBER(INDEX('Aides'!$S$4:$S$503,160)),TEXT(INDEX('Aides'!$S$4:$S$503,160),"yyyy-mm-dd"),"")</f>
        <v/>
      </c>
      <c r="F663">
        <f>"Training"</f>
        <v/>
      </c>
      <c r="G663">
        <f>"Medium"</f>
        <v/>
      </c>
      <c r="H663">
        <f>TRIM(IF(LEN(IF(LEN(INDEX('Aides'!$U$4:$U$503,160))=0,"",INDEX('Aides'!$U$4:$U$503,160)))=0,"","Owner: "&amp;IF(LEN(INDEX('Aides'!$U$4:$U$503,160))=0,"",INDEX('Aides'!$U$4:$U$503,160))&amp;". "))</f>
        <v/>
      </c>
      <c r="I663">
        <f>""</f>
        <v/>
      </c>
      <c r="J663">
        <f>IF(LEN(INDEX('Aides'!$V$4:$V$503,160))=0,"",INDEX('Aides'!$V$4:$V$503,160))</f>
        <v/>
      </c>
    </row>
    <row r="664">
      <c r="A664">
        <f>IF(AND(LEN('Aides'!A164)&gt;0,ISNUMBER('Aides'!S164)),1,0)</f>
        <v/>
      </c>
      <c r="B664">
        <f>B663+A664</f>
        <v/>
      </c>
      <c r="C664">
        <f>IF(661&gt;$B$1503,"",MATCH(661-0.5,$B$3:$B$1503,1))</f>
        <v/>
      </c>
      <c r="D664">
        <f>"CPR / First Aid – "&amp;IF(LEN(INDEX('Aides'!$A$4:$A$503,161))=0,"",INDEX('Aides'!$A$4:$A$503,161))</f>
        <v/>
      </c>
      <c r="E664">
        <f>IF(ISNUMBER(INDEX('Aides'!$S$4:$S$503,161)),TEXT(INDEX('Aides'!$S$4:$S$503,161),"yyyy-mm-dd"),"")</f>
        <v/>
      </c>
      <c r="F664">
        <f>"Training"</f>
        <v/>
      </c>
      <c r="G664">
        <f>"Medium"</f>
        <v/>
      </c>
      <c r="H664">
        <f>TRIM(IF(LEN(IF(LEN(INDEX('Aides'!$U$4:$U$503,161))=0,"",INDEX('Aides'!$U$4:$U$503,161)))=0,"","Owner: "&amp;IF(LEN(INDEX('Aides'!$U$4:$U$503,161))=0,"",INDEX('Aides'!$U$4:$U$503,161))&amp;". "))</f>
        <v/>
      </c>
      <c r="I664">
        <f>""</f>
        <v/>
      </c>
      <c r="J664">
        <f>IF(LEN(INDEX('Aides'!$V$4:$V$503,161))=0,"",INDEX('Aides'!$V$4:$V$503,161))</f>
        <v/>
      </c>
    </row>
    <row r="665">
      <c r="A665">
        <f>IF(AND(LEN('Aides'!A165)&gt;0,ISNUMBER('Aides'!S165)),1,0)</f>
        <v/>
      </c>
      <c r="B665">
        <f>B664+A665</f>
        <v/>
      </c>
      <c r="C665">
        <f>IF(662&gt;$B$1503,"",MATCH(662-0.5,$B$3:$B$1503,1))</f>
        <v/>
      </c>
      <c r="D665">
        <f>"CPR / First Aid – "&amp;IF(LEN(INDEX('Aides'!$A$4:$A$503,162))=0,"",INDEX('Aides'!$A$4:$A$503,162))</f>
        <v/>
      </c>
      <c r="E665">
        <f>IF(ISNUMBER(INDEX('Aides'!$S$4:$S$503,162)),TEXT(INDEX('Aides'!$S$4:$S$503,162),"yyyy-mm-dd"),"")</f>
        <v/>
      </c>
      <c r="F665">
        <f>"Training"</f>
        <v/>
      </c>
      <c r="G665">
        <f>"Medium"</f>
        <v/>
      </c>
      <c r="H665">
        <f>TRIM(IF(LEN(IF(LEN(INDEX('Aides'!$U$4:$U$503,162))=0,"",INDEX('Aides'!$U$4:$U$503,162)))=0,"","Owner: "&amp;IF(LEN(INDEX('Aides'!$U$4:$U$503,162))=0,"",INDEX('Aides'!$U$4:$U$503,162))&amp;". "))</f>
        <v/>
      </c>
      <c r="I665">
        <f>""</f>
        <v/>
      </c>
      <c r="J665">
        <f>IF(LEN(INDEX('Aides'!$V$4:$V$503,162))=0,"",INDEX('Aides'!$V$4:$V$503,162))</f>
        <v/>
      </c>
    </row>
    <row r="666">
      <c r="A666">
        <f>IF(AND(LEN('Aides'!A166)&gt;0,ISNUMBER('Aides'!S166)),1,0)</f>
        <v/>
      </c>
      <c r="B666">
        <f>B665+A666</f>
        <v/>
      </c>
      <c r="C666">
        <f>IF(663&gt;$B$1503,"",MATCH(663-0.5,$B$3:$B$1503,1))</f>
        <v/>
      </c>
      <c r="D666">
        <f>"CPR / First Aid – "&amp;IF(LEN(INDEX('Aides'!$A$4:$A$503,163))=0,"",INDEX('Aides'!$A$4:$A$503,163))</f>
        <v/>
      </c>
      <c r="E666">
        <f>IF(ISNUMBER(INDEX('Aides'!$S$4:$S$503,163)),TEXT(INDEX('Aides'!$S$4:$S$503,163),"yyyy-mm-dd"),"")</f>
        <v/>
      </c>
      <c r="F666">
        <f>"Training"</f>
        <v/>
      </c>
      <c r="G666">
        <f>"Medium"</f>
        <v/>
      </c>
      <c r="H666">
        <f>TRIM(IF(LEN(IF(LEN(INDEX('Aides'!$U$4:$U$503,163))=0,"",INDEX('Aides'!$U$4:$U$503,163)))=0,"","Owner: "&amp;IF(LEN(INDEX('Aides'!$U$4:$U$503,163))=0,"",INDEX('Aides'!$U$4:$U$503,163))&amp;". "))</f>
        <v/>
      </c>
      <c r="I666">
        <f>""</f>
        <v/>
      </c>
      <c r="J666">
        <f>IF(LEN(INDEX('Aides'!$V$4:$V$503,163))=0,"",INDEX('Aides'!$V$4:$V$503,163))</f>
        <v/>
      </c>
    </row>
    <row r="667">
      <c r="A667">
        <f>IF(AND(LEN('Aides'!A167)&gt;0,ISNUMBER('Aides'!S167)),1,0)</f>
        <v/>
      </c>
      <c r="B667">
        <f>B666+A667</f>
        <v/>
      </c>
      <c r="C667">
        <f>IF(664&gt;$B$1503,"",MATCH(664-0.5,$B$3:$B$1503,1))</f>
        <v/>
      </c>
      <c r="D667">
        <f>"CPR / First Aid – "&amp;IF(LEN(INDEX('Aides'!$A$4:$A$503,164))=0,"",INDEX('Aides'!$A$4:$A$503,164))</f>
        <v/>
      </c>
      <c r="E667">
        <f>IF(ISNUMBER(INDEX('Aides'!$S$4:$S$503,164)),TEXT(INDEX('Aides'!$S$4:$S$503,164),"yyyy-mm-dd"),"")</f>
        <v/>
      </c>
      <c r="F667">
        <f>"Training"</f>
        <v/>
      </c>
      <c r="G667">
        <f>"Medium"</f>
        <v/>
      </c>
      <c r="H667">
        <f>TRIM(IF(LEN(IF(LEN(INDEX('Aides'!$U$4:$U$503,164))=0,"",INDEX('Aides'!$U$4:$U$503,164)))=0,"","Owner: "&amp;IF(LEN(INDEX('Aides'!$U$4:$U$503,164))=0,"",INDEX('Aides'!$U$4:$U$503,164))&amp;". "))</f>
        <v/>
      </c>
      <c r="I667">
        <f>""</f>
        <v/>
      </c>
      <c r="J667">
        <f>IF(LEN(INDEX('Aides'!$V$4:$V$503,164))=0,"",INDEX('Aides'!$V$4:$V$503,164))</f>
        <v/>
      </c>
    </row>
    <row r="668">
      <c r="A668">
        <f>IF(AND(LEN('Aides'!A168)&gt;0,ISNUMBER('Aides'!S168)),1,0)</f>
        <v/>
      </c>
      <c r="B668">
        <f>B667+A668</f>
        <v/>
      </c>
      <c r="C668">
        <f>IF(665&gt;$B$1503,"",MATCH(665-0.5,$B$3:$B$1503,1))</f>
        <v/>
      </c>
      <c r="D668">
        <f>"CPR / First Aid – "&amp;IF(LEN(INDEX('Aides'!$A$4:$A$503,165))=0,"",INDEX('Aides'!$A$4:$A$503,165))</f>
        <v/>
      </c>
      <c r="E668">
        <f>IF(ISNUMBER(INDEX('Aides'!$S$4:$S$503,165)),TEXT(INDEX('Aides'!$S$4:$S$503,165),"yyyy-mm-dd"),"")</f>
        <v/>
      </c>
      <c r="F668">
        <f>"Training"</f>
        <v/>
      </c>
      <c r="G668">
        <f>"Medium"</f>
        <v/>
      </c>
      <c r="H668">
        <f>TRIM(IF(LEN(IF(LEN(INDEX('Aides'!$U$4:$U$503,165))=0,"",INDEX('Aides'!$U$4:$U$503,165)))=0,"","Owner: "&amp;IF(LEN(INDEX('Aides'!$U$4:$U$503,165))=0,"",INDEX('Aides'!$U$4:$U$503,165))&amp;". "))</f>
        <v/>
      </c>
      <c r="I668">
        <f>""</f>
        <v/>
      </c>
      <c r="J668">
        <f>IF(LEN(INDEX('Aides'!$V$4:$V$503,165))=0,"",INDEX('Aides'!$V$4:$V$503,165))</f>
        <v/>
      </c>
    </row>
    <row r="669">
      <c r="A669">
        <f>IF(AND(LEN('Aides'!A169)&gt;0,ISNUMBER('Aides'!S169)),1,0)</f>
        <v/>
      </c>
      <c r="B669">
        <f>B668+A669</f>
        <v/>
      </c>
      <c r="C669">
        <f>IF(666&gt;$B$1503,"",MATCH(666-0.5,$B$3:$B$1503,1))</f>
        <v/>
      </c>
      <c r="D669">
        <f>"CPR / First Aid – "&amp;IF(LEN(INDEX('Aides'!$A$4:$A$503,166))=0,"",INDEX('Aides'!$A$4:$A$503,166))</f>
        <v/>
      </c>
      <c r="E669">
        <f>IF(ISNUMBER(INDEX('Aides'!$S$4:$S$503,166)),TEXT(INDEX('Aides'!$S$4:$S$503,166),"yyyy-mm-dd"),"")</f>
        <v/>
      </c>
      <c r="F669">
        <f>"Training"</f>
        <v/>
      </c>
      <c r="G669">
        <f>"Medium"</f>
        <v/>
      </c>
      <c r="H669">
        <f>TRIM(IF(LEN(IF(LEN(INDEX('Aides'!$U$4:$U$503,166))=0,"",INDEX('Aides'!$U$4:$U$503,166)))=0,"","Owner: "&amp;IF(LEN(INDEX('Aides'!$U$4:$U$503,166))=0,"",INDEX('Aides'!$U$4:$U$503,166))&amp;". "))</f>
        <v/>
      </c>
      <c r="I669">
        <f>""</f>
        <v/>
      </c>
      <c r="J669">
        <f>IF(LEN(INDEX('Aides'!$V$4:$V$503,166))=0,"",INDEX('Aides'!$V$4:$V$503,166))</f>
        <v/>
      </c>
    </row>
    <row r="670">
      <c r="A670">
        <f>IF(AND(LEN('Aides'!A170)&gt;0,ISNUMBER('Aides'!S170)),1,0)</f>
        <v/>
      </c>
      <c r="B670">
        <f>B669+A670</f>
        <v/>
      </c>
      <c r="C670">
        <f>IF(667&gt;$B$1503,"",MATCH(667-0.5,$B$3:$B$1503,1))</f>
        <v/>
      </c>
      <c r="D670">
        <f>"CPR / First Aid – "&amp;IF(LEN(INDEX('Aides'!$A$4:$A$503,167))=0,"",INDEX('Aides'!$A$4:$A$503,167))</f>
        <v/>
      </c>
      <c r="E670">
        <f>IF(ISNUMBER(INDEX('Aides'!$S$4:$S$503,167)),TEXT(INDEX('Aides'!$S$4:$S$503,167),"yyyy-mm-dd"),"")</f>
        <v/>
      </c>
      <c r="F670">
        <f>"Training"</f>
        <v/>
      </c>
      <c r="G670">
        <f>"Medium"</f>
        <v/>
      </c>
      <c r="H670">
        <f>TRIM(IF(LEN(IF(LEN(INDEX('Aides'!$U$4:$U$503,167))=0,"",INDEX('Aides'!$U$4:$U$503,167)))=0,"","Owner: "&amp;IF(LEN(INDEX('Aides'!$U$4:$U$503,167))=0,"",INDEX('Aides'!$U$4:$U$503,167))&amp;". "))</f>
        <v/>
      </c>
      <c r="I670">
        <f>""</f>
        <v/>
      </c>
      <c r="J670">
        <f>IF(LEN(INDEX('Aides'!$V$4:$V$503,167))=0,"",INDEX('Aides'!$V$4:$V$503,167))</f>
        <v/>
      </c>
    </row>
    <row r="671">
      <c r="A671">
        <f>IF(AND(LEN('Aides'!A171)&gt;0,ISNUMBER('Aides'!S171)),1,0)</f>
        <v/>
      </c>
      <c r="B671">
        <f>B670+A671</f>
        <v/>
      </c>
      <c r="C671">
        <f>IF(668&gt;$B$1503,"",MATCH(668-0.5,$B$3:$B$1503,1))</f>
        <v/>
      </c>
      <c r="D671">
        <f>"CPR / First Aid – "&amp;IF(LEN(INDEX('Aides'!$A$4:$A$503,168))=0,"",INDEX('Aides'!$A$4:$A$503,168))</f>
        <v/>
      </c>
      <c r="E671">
        <f>IF(ISNUMBER(INDEX('Aides'!$S$4:$S$503,168)),TEXT(INDEX('Aides'!$S$4:$S$503,168),"yyyy-mm-dd"),"")</f>
        <v/>
      </c>
      <c r="F671">
        <f>"Training"</f>
        <v/>
      </c>
      <c r="G671">
        <f>"Medium"</f>
        <v/>
      </c>
      <c r="H671">
        <f>TRIM(IF(LEN(IF(LEN(INDEX('Aides'!$U$4:$U$503,168))=0,"",INDEX('Aides'!$U$4:$U$503,168)))=0,"","Owner: "&amp;IF(LEN(INDEX('Aides'!$U$4:$U$503,168))=0,"",INDEX('Aides'!$U$4:$U$503,168))&amp;". "))</f>
        <v/>
      </c>
      <c r="I671">
        <f>""</f>
        <v/>
      </c>
      <c r="J671">
        <f>IF(LEN(INDEX('Aides'!$V$4:$V$503,168))=0,"",INDEX('Aides'!$V$4:$V$503,168))</f>
        <v/>
      </c>
    </row>
    <row r="672">
      <c r="A672">
        <f>IF(AND(LEN('Aides'!A172)&gt;0,ISNUMBER('Aides'!S172)),1,0)</f>
        <v/>
      </c>
      <c r="B672">
        <f>B671+A672</f>
        <v/>
      </c>
      <c r="C672">
        <f>IF(669&gt;$B$1503,"",MATCH(669-0.5,$B$3:$B$1503,1))</f>
        <v/>
      </c>
      <c r="D672">
        <f>"CPR / First Aid – "&amp;IF(LEN(INDEX('Aides'!$A$4:$A$503,169))=0,"",INDEX('Aides'!$A$4:$A$503,169))</f>
        <v/>
      </c>
      <c r="E672">
        <f>IF(ISNUMBER(INDEX('Aides'!$S$4:$S$503,169)),TEXT(INDEX('Aides'!$S$4:$S$503,169),"yyyy-mm-dd"),"")</f>
        <v/>
      </c>
      <c r="F672">
        <f>"Training"</f>
        <v/>
      </c>
      <c r="G672">
        <f>"Medium"</f>
        <v/>
      </c>
      <c r="H672">
        <f>TRIM(IF(LEN(IF(LEN(INDEX('Aides'!$U$4:$U$503,169))=0,"",INDEX('Aides'!$U$4:$U$503,169)))=0,"","Owner: "&amp;IF(LEN(INDEX('Aides'!$U$4:$U$503,169))=0,"",INDEX('Aides'!$U$4:$U$503,169))&amp;". "))</f>
        <v/>
      </c>
      <c r="I672">
        <f>""</f>
        <v/>
      </c>
      <c r="J672">
        <f>IF(LEN(INDEX('Aides'!$V$4:$V$503,169))=0,"",INDEX('Aides'!$V$4:$V$503,169))</f>
        <v/>
      </c>
    </row>
    <row r="673">
      <c r="A673">
        <f>IF(AND(LEN('Aides'!A173)&gt;0,ISNUMBER('Aides'!S173)),1,0)</f>
        <v/>
      </c>
      <c r="B673">
        <f>B672+A673</f>
        <v/>
      </c>
      <c r="C673">
        <f>IF(670&gt;$B$1503,"",MATCH(670-0.5,$B$3:$B$1503,1))</f>
        <v/>
      </c>
      <c r="D673">
        <f>"CPR / First Aid – "&amp;IF(LEN(INDEX('Aides'!$A$4:$A$503,170))=0,"",INDEX('Aides'!$A$4:$A$503,170))</f>
        <v/>
      </c>
      <c r="E673">
        <f>IF(ISNUMBER(INDEX('Aides'!$S$4:$S$503,170)),TEXT(INDEX('Aides'!$S$4:$S$503,170),"yyyy-mm-dd"),"")</f>
        <v/>
      </c>
      <c r="F673">
        <f>"Training"</f>
        <v/>
      </c>
      <c r="G673">
        <f>"Medium"</f>
        <v/>
      </c>
      <c r="H673">
        <f>TRIM(IF(LEN(IF(LEN(INDEX('Aides'!$U$4:$U$503,170))=0,"",INDEX('Aides'!$U$4:$U$503,170)))=0,"","Owner: "&amp;IF(LEN(INDEX('Aides'!$U$4:$U$503,170))=0,"",INDEX('Aides'!$U$4:$U$503,170))&amp;". "))</f>
        <v/>
      </c>
      <c r="I673">
        <f>""</f>
        <v/>
      </c>
      <c r="J673">
        <f>IF(LEN(INDEX('Aides'!$V$4:$V$503,170))=0,"",INDEX('Aides'!$V$4:$V$503,170))</f>
        <v/>
      </c>
    </row>
    <row r="674">
      <c r="A674">
        <f>IF(AND(LEN('Aides'!A174)&gt;0,ISNUMBER('Aides'!S174)),1,0)</f>
        <v/>
      </c>
      <c r="B674">
        <f>B673+A674</f>
        <v/>
      </c>
      <c r="C674">
        <f>IF(671&gt;$B$1503,"",MATCH(671-0.5,$B$3:$B$1503,1))</f>
        <v/>
      </c>
      <c r="D674">
        <f>"CPR / First Aid – "&amp;IF(LEN(INDEX('Aides'!$A$4:$A$503,171))=0,"",INDEX('Aides'!$A$4:$A$503,171))</f>
        <v/>
      </c>
      <c r="E674">
        <f>IF(ISNUMBER(INDEX('Aides'!$S$4:$S$503,171)),TEXT(INDEX('Aides'!$S$4:$S$503,171),"yyyy-mm-dd"),"")</f>
        <v/>
      </c>
      <c r="F674">
        <f>"Training"</f>
        <v/>
      </c>
      <c r="G674">
        <f>"Medium"</f>
        <v/>
      </c>
      <c r="H674">
        <f>TRIM(IF(LEN(IF(LEN(INDEX('Aides'!$U$4:$U$503,171))=0,"",INDEX('Aides'!$U$4:$U$503,171)))=0,"","Owner: "&amp;IF(LEN(INDEX('Aides'!$U$4:$U$503,171))=0,"",INDEX('Aides'!$U$4:$U$503,171))&amp;". "))</f>
        <v/>
      </c>
      <c r="I674">
        <f>""</f>
        <v/>
      </c>
      <c r="J674">
        <f>IF(LEN(INDEX('Aides'!$V$4:$V$503,171))=0,"",INDEX('Aides'!$V$4:$V$503,171))</f>
        <v/>
      </c>
    </row>
    <row r="675">
      <c r="A675">
        <f>IF(AND(LEN('Aides'!A175)&gt;0,ISNUMBER('Aides'!S175)),1,0)</f>
        <v/>
      </c>
      <c r="B675">
        <f>B674+A675</f>
        <v/>
      </c>
      <c r="C675">
        <f>IF(672&gt;$B$1503,"",MATCH(672-0.5,$B$3:$B$1503,1))</f>
        <v/>
      </c>
      <c r="D675">
        <f>"CPR / First Aid – "&amp;IF(LEN(INDEX('Aides'!$A$4:$A$503,172))=0,"",INDEX('Aides'!$A$4:$A$503,172))</f>
        <v/>
      </c>
      <c r="E675">
        <f>IF(ISNUMBER(INDEX('Aides'!$S$4:$S$503,172)),TEXT(INDEX('Aides'!$S$4:$S$503,172),"yyyy-mm-dd"),"")</f>
        <v/>
      </c>
      <c r="F675">
        <f>"Training"</f>
        <v/>
      </c>
      <c r="G675">
        <f>"Medium"</f>
        <v/>
      </c>
      <c r="H675">
        <f>TRIM(IF(LEN(IF(LEN(INDEX('Aides'!$U$4:$U$503,172))=0,"",INDEX('Aides'!$U$4:$U$503,172)))=0,"","Owner: "&amp;IF(LEN(INDEX('Aides'!$U$4:$U$503,172))=0,"",INDEX('Aides'!$U$4:$U$503,172))&amp;". "))</f>
        <v/>
      </c>
      <c r="I675">
        <f>""</f>
        <v/>
      </c>
      <c r="J675">
        <f>IF(LEN(INDEX('Aides'!$V$4:$V$503,172))=0,"",INDEX('Aides'!$V$4:$V$503,172))</f>
        <v/>
      </c>
    </row>
    <row r="676">
      <c r="A676">
        <f>IF(AND(LEN('Aides'!A176)&gt;0,ISNUMBER('Aides'!S176)),1,0)</f>
        <v/>
      </c>
      <c r="B676">
        <f>B675+A676</f>
        <v/>
      </c>
      <c r="C676">
        <f>IF(673&gt;$B$1503,"",MATCH(673-0.5,$B$3:$B$1503,1))</f>
        <v/>
      </c>
      <c r="D676">
        <f>"CPR / First Aid – "&amp;IF(LEN(INDEX('Aides'!$A$4:$A$503,173))=0,"",INDEX('Aides'!$A$4:$A$503,173))</f>
        <v/>
      </c>
      <c r="E676">
        <f>IF(ISNUMBER(INDEX('Aides'!$S$4:$S$503,173)),TEXT(INDEX('Aides'!$S$4:$S$503,173),"yyyy-mm-dd"),"")</f>
        <v/>
      </c>
      <c r="F676">
        <f>"Training"</f>
        <v/>
      </c>
      <c r="G676">
        <f>"Medium"</f>
        <v/>
      </c>
      <c r="H676">
        <f>TRIM(IF(LEN(IF(LEN(INDEX('Aides'!$U$4:$U$503,173))=0,"",INDEX('Aides'!$U$4:$U$503,173)))=0,"","Owner: "&amp;IF(LEN(INDEX('Aides'!$U$4:$U$503,173))=0,"",INDEX('Aides'!$U$4:$U$503,173))&amp;". "))</f>
        <v/>
      </c>
      <c r="I676">
        <f>""</f>
        <v/>
      </c>
      <c r="J676">
        <f>IF(LEN(INDEX('Aides'!$V$4:$V$503,173))=0,"",INDEX('Aides'!$V$4:$V$503,173))</f>
        <v/>
      </c>
    </row>
    <row r="677">
      <c r="A677">
        <f>IF(AND(LEN('Aides'!A177)&gt;0,ISNUMBER('Aides'!S177)),1,0)</f>
        <v/>
      </c>
      <c r="B677">
        <f>B676+A677</f>
        <v/>
      </c>
      <c r="C677">
        <f>IF(674&gt;$B$1503,"",MATCH(674-0.5,$B$3:$B$1503,1))</f>
        <v/>
      </c>
      <c r="D677">
        <f>"CPR / First Aid – "&amp;IF(LEN(INDEX('Aides'!$A$4:$A$503,174))=0,"",INDEX('Aides'!$A$4:$A$503,174))</f>
        <v/>
      </c>
      <c r="E677">
        <f>IF(ISNUMBER(INDEX('Aides'!$S$4:$S$503,174)),TEXT(INDEX('Aides'!$S$4:$S$503,174),"yyyy-mm-dd"),"")</f>
        <v/>
      </c>
      <c r="F677">
        <f>"Training"</f>
        <v/>
      </c>
      <c r="G677">
        <f>"Medium"</f>
        <v/>
      </c>
      <c r="H677">
        <f>TRIM(IF(LEN(IF(LEN(INDEX('Aides'!$U$4:$U$503,174))=0,"",INDEX('Aides'!$U$4:$U$503,174)))=0,"","Owner: "&amp;IF(LEN(INDEX('Aides'!$U$4:$U$503,174))=0,"",INDEX('Aides'!$U$4:$U$503,174))&amp;". "))</f>
        <v/>
      </c>
      <c r="I677">
        <f>""</f>
        <v/>
      </c>
      <c r="J677">
        <f>IF(LEN(INDEX('Aides'!$V$4:$V$503,174))=0,"",INDEX('Aides'!$V$4:$V$503,174))</f>
        <v/>
      </c>
    </row>
    <row r="678">
      <c r="A678">
        <f>IF(AND(LEN('Aides'!A178)&gt;0,ISNUMBER('Aides'!S178)),1,0)</f>
        <v/>
      </c>
      <c r="B678">
        <f>B677+A678</f>
        <v/>
      </c>
      <c r="C678">
        <f>IF(675&gt;$B$1503,"",MATCH(675-0.5,$B$3:$B$1503,1))</f>
        <v/>
      </c>
      <c r="D678">
        <f>"CPR / First Aid – "&amp;IF(LEN(INDEX('Aides'!$A$4:$A$503,175))=0,"",INDEX('Aides'!$A$4:$A$503,175))</f>
        <v/>
      </c>
      <c r="E678">
        <f>IF(ISNUMBER(INDEX('Aides'!$S$4:$S$503,175)),TEXT(INDEX('Aides'!$S$4:$S$503,175),"yyyy-mm-dd"),"")</f>
        <v/>
      </c>
      <c r="F678">
        <f>"Training"</f>
        <v/>
      </c>
      <c r="G678">
        <f>"Medium"</f>
        <v/>
      </c>
      <c r="H678">
        <f>TRIM(IF(LEN(IF(LEN(INDEX('Aides'!$U$4:$U$503,175))=0,"",INDEX('Aides'!$U$4:$U$503,175)))=0,"","Owner: "&amp;IF(LEN(INDEX('Aides'!$U$4:$U$503,175))=0,"",INDEX('Aides'!$U$4:$U$503,175))&amp;". "))</f>
        <v/>
      </c>
      <c r="I678">
        <f>""</f>
        <v/>
      </c>
      <c r="J678">
        <f>IF(LEN(INDEX('Aides'!$V$4:$V$503,175))=0,"",INDEX('Aides'!$V$4:$V$503,175))</f>
        <v/>
      </c>
    </row>
    <row r="679">
      <c r="A679">
        <f>IF(AND(LEN('Aides'!A179)&gt;0,ISNUMBER('Aides'!S179)),1,0)</f>
        <v/>
      </c>
      <c r="B679">
        <f>B678+A679</f>
        <v/>
      </c>
      <c r="C679">
        <f>IF(676&gt;$B$1503,"",MATCH(676-0.5,$B$3:$B$1503,1))</f>
        <v/>
      </c>
      <c r="D679">
        <f>"CPR / First Aid – "&amp;IF(LEN(INDEX('Aides'!$A$4:$A$503,176))=0,"",INDEX('Aides'!$A$4:$A$503,176))</f>
        <v/>
      </c>
      <c r="E679">
        <f>IF(ISNUMBER(INDEX('Aides'!$S$4:$S$503,176)),TEXT(INDEX('Aides'!$S$4:$S$503,176),"yyyy-mm-dd"),"")</f>
        <v/>
      </c>
      <c r="F679">
        <f>"Training"</f>
        <v/>
      </c>
      <c r="G679">
        <f>"Medium"</f>
        <v/>
      </c>
      <c r="H679">
        <f>TRIM(IF(LEN(IF(LEN(INDEX('Aides'!$U$4:$U$503,176))=0,"",INDEX('Aides'!$U$4:$U$503,176)))=0,"","Owner: "&amp;IF(LEN(INDEX('Aides'!$U$4:$U$503,176))=0,"",INDEX('Aides'!$U$4:$U$503,176))&amp;". "))</f>
        <v/>
      </c>
      <c r="I679">
        <f>""</f>
        <v/>
      </c>
      <c r="J679">
        <f>IF(LEN(INDEX('Aides'!$V$4:$V$503,176))=0,"",INDEX('Aides'!$V$4:$V$503,176))</f>
        <v/>
      </c>
    </row>
    <row r="680">
      <c r="A680">
        <f>IF(AND(LEN('Aides'!A180)&gt;0,ISNUMBER('Aides'!S180)),1,0)</f>
        <v/>
      </c>
      <c r="B680">
        <f>B679+A680</f>
        <v/>
      </c>
      <c r="C680">
        <f>IF(677&gt;$B$1503,"",MATCH(677-0.5,$B$3:$B$1503,1))</f>
        <v/>
      </c>
      <c r="D680">
        <f>"CPR / First Aid – "&amp;IF(LEN(INDEX('Aides'!$A$4:$A$503,177))=0,"",INDEX('Aides'!$A$4:$A$503,177))</f>
        <v/>
      </c>
      <c r="E680">
        <f>IF(ISNUMBER(INDEX('Aides'!$S$4:$S$503,177)),TEXT(INDEX('Aides'!$S$4:$S$503,177),"yyyy-mm-dd"),"")</f>
        <v/>
      </c>
      <c r="F680">
        <f>"Training"</f>
        <v/>
      </c>
      <c r="G680">
        <f>"Medium"</f>
        <v/>
      </c>
      <c r="H680">
        <f>TRIM(IF(LEN(IF(LEN(INDEX('Aides'!$U$4:$U$503,177))=0,"",INDEX('Aides'!$U$4:$U$503,177)))=0,"","Owner: "&amp;IF(LEN(INDEX('Aides'!$U$4:$U$503,177))=0,"",INDEX('Aides'!$U$4:$U$503,177))&amp;". "))</f>
        <v/>
      </c>
      <c r="I680">
        <f>""</f>
        <v/>
      </c>
      <c r="J680">
        <f>IF(LEN(INDEX('Aides'!$V$4:$V$503,177))=0,"",INDEX('Aides'!$V$4:$V$503,177))</f>
        <v/>
      </c>
    </row>
    <row r="681">
      <c r="A681">
        <f>IF(AND(LEN('Aides'!A181)&gt;0,ISNUMBER('Aides'!S181)),1,0)</f>
        <v/>
      </c>
      <c r="B681">
        <f>B680+A681</f>
        <v/>
      </c>
      <c r="C681">
        <f>IF(678&gt;$B$1503,"",MATCH(678-0.5,$B$3:$B$1503,1))</f>
        <v/>
      </c>
      <c r="D681">
        <f>"CPR / First Aid – "&amp;IF(LEN(INDEX('Aides'!$A$4:$A$503,178))=0,"",INDEX('Aides'!$A$4:$A$503,178))</f>
        <v/>
      </c>
      <c r="E681">
        <f>IF(ISNUMBER(INDEX('Aides'!$S$4:$S$503,178)),TEXT(INDEX('Aides'!$S$4:$S$503,178),"yyyy-mm-dd"),"")</f>
        <v/>
      </c>
      <c r="F681">
        <f>"Training"</f>
        <v/>
      </c>
      <c r="G681">
        <f>"Medium"</f>
        <v/>
      </c>
      <c r="H681">
        <f>TRIM(IF(LEN(IF(LEN(INDEX('Aides'!$U$4:$U$503,178))=0,"",INDEX('Aides'!$U$4:$U$503,178)))=0,"","Owner: "&amp;IF(LEN(INDEX('Aides'!$U$4:$U$503,178))=0,"",INDEX('Aides'!$U$4:$U$503,178))&amp;". "))</f>
        <v/>
      </c>
      <c r="I681">
        <f>""</f>
        <v/>
      </c>
      <c r="J681">
        <f>IF(LEN(INDEX('Aides'!$V$4:$V$503,178))=0,"",INDEX('Aides'!$V$4:$V$503,178))</f>
        <v/>
      </c>
    </row>
    <row r="682">
      <c r="A682">
        <f>IF(AND(LEN('Aides'!A182)&gt;0,ISNUMBER('Aides'!S182)),1,0)</f>
        <v/>
      </c>
      <c r="B682">
        <f>B681+A682</f>
        <v/>
      </c>
      <c r="C682">
        <f>IF(679&gt;$B$1503,"",MATCH(679-0.5,$B$3:$B$1503,1))</f>
        <v/>
      </c>
      <c r="D682">
        <f>"CPR / First Aid – "&amp;IF(LEN(INDEX('Aides'!$A$4:$A$503,179))=0,"",INDEX('Aides'!$A$4:$A$503,179))</f>
        <v/>
      </c>
      <c r="E682">
        <f>IF(ISNUMBER(INDEX('Aides'!$S$4:$S$503,179)),TEXT(INDEX('Aides'!$S$4:$S$503,179),"yyyy-mm-dd"),"")</f>
        <v/>
      </c>
      <c r="F682">
        <f>"Training"</f>
        <v/>
      </c>
      <c r="G682">
        <f>"Medium"</f>
        <v/>
      </c>
      <c r="H682">
        <f>TRIM(IF(LEN(IF(LEN(INDEX('Aides'!$U$4:$U$503,179))=0,"",INDEX('Aides'!$U$4:$U$503,179)))=0,"","Owner: "&amp;IF(LEN(INDEX('Aides'!$U$4:$U$503,179))=0,"",INDEX('Aides'!$U$4:$U$503,179))&amp;". "))</f>
        <v/>
      </c>
      <c r="I682">
        <f>""</f>
        <v/>
      </c>
      <c r="J682">
        <f>IF(LEN(INDEX('Aides'!$V$4:$V$503,179))=0,"",INDEX('Aides'!$V$4:$V$503,179))</f>
        <v/>
      </c>
    </row>
    <row r="683">
      <c r="A683">
        <f>IF(AND(LEN('Aides'!A183)&gt;0,ISNUMBER('Aides'!S183)),1,0)</f>
        <v/>
      </c>
      <c r="B683">
        <f>B682+A683</f>
        <v/>
      </c>
      <c r="C683">
        <f>IF(680&gt;$B$1503,"",MATCH(680-0.5,$B$3:$B$1503,1))</f>
        <v/>
      </c>
      <c r="D683">
        <f>"CPR / First Aid – "&amp;IF(LEN(INDEX('Aides'!$A$4:$A$503,180))=0,"",INDEX('Aides'!$A$4:$A$503,180))</f>
        <v/>
      </c>
      <c r="E683">
        <f>IF(ISNUMBER(INDEX('Aides'!$S$4:$S$503,180)),TEXT(INDEX('Aides'!$S$4:$S$503,180),"yyyy-mm-dd"),"")</f>
        <v/>
      </c>
      <c r="F683">
        <f>"Training"</f>
        <v/>
      </c>
      <c r="G683">
        <f>"Medium"</f>
        <v/>
      </c>
      <c r="H683">
        <f>TRIM(IF(LEN(IF(LEN(INDEX('Aides'!$U$4:$U$503,180))=0,"",INDEX('Aides'!$U$4:$U$503,180)))=0,"","Owner: "&amp;IF(LEN(INDEX('Aides'!$U$4:$U$503,180))=0,"",INDEX('Aides'!$U$4:$U$503,180))&amp;". "))</f>
        <v/>
      </c>
      <c r="I683">
        <f>""</f>
        <v/>
      </c>
      <c r="J683">
        <f>IF(LEN(INDEX('Aides'!$V$4:$V$503,180))=0,"",INDEX('Aides'!$V$4:$V$503,180))</f>
        <v/>
      </c>
    </row>
    <row r="684">
      <c r="A684">
        <f>IF(AND(LEN('Aides'!A184)&gt;0,ISNUMBER('Aides'!S184)),1,0)</f>
        <v/>
      </c>
      <c r="B684">
        <f>B683+A684</f>
        <v/>
      </c>
      <c r="C684">
        <f>IF(681&gt;$B$1503,"",MATCH(681-0.5,$B$3:$B$1503,1))</f>
        <v/>
      </c>
      <c r="D684">
        <f>"CPR / First Aid – "&amp;IF(LEN(INDEX('Aides'!$A$4:$A$503,181))=0,"",INDEX('Aides'!$A$4:$A$503,181))</f>
        <v/>
      </c>
      <c r="E684">
        <f>IF(ISNUMBER(INDEX('Aides'!$S$4:$S$503,181)),TEXT(INDEX('Aides'!$S$4:$S$503,181),"yyyy-mm-dd"),"")</f>
        <v/>
      </c>
      <c r="F684">
        <f>"Training"</f>
        <v/>
      </c>
      <c r="G684">
        <f>"Medium"</f>
        <v/>
      </c>
      <c r="H684">
        <f>TRIM(IF(LEN(IF(LEN(INDEX('Aides'!$U$4:$U$503,181))=0,"",INDEX('Aides'!$U$4:$U$503,181)))=0,"","Owner: "&amp;IF(LEN(INDEX('Aides'!$U$4:$U$503,181))=0,"",INDEX('Aides'!$U$4:$U$503,181))&amp;". "))</f>
        <v/>
      </c>
      <c r="I684">
        <f>""</f>
        <v/>
      </c>
      <c r="J684">
        <f>IF(LEN(INDEX('Aides'!$V$4:$V$503,181))=0,"",INDEX('Aides'!$V$4:$V$503,181))</f>
        <v/>
      </c>
    </row>
    <row r="685">
      <c r="A685">
        <f>IF(AND(LEN('Aides'!A185)&gt;0,ISNUMBER('Aides'!S185)),1,0)</f>
        <v/>
      </c>
      <c r="B685">
        <f>B684+A685</f>
        <v/>
      </c>
      <c r="C685">
        <f>IF(682&gt;$B$1503,"",MATCH(682-0.5,$B$3:$B$1503,1))</f>
        <v/>
      </c>
      <c r="D685">
        <f>"CPR / First Aid – "&amp;IF(LEN(INDEX('Aides'!$A$4:$A$503,182))=0,"",INDEX('Aides'!$A$4:$A$503,182))</f>
        <v/>
      </c>
      <c r="E685">
        <f>IF(ISNUMBER(INDEX('Aides'!$S$4:$S$503,182)),TEXT(INDEX('Aides'!$S$4:$S$503,182),"yyyy-mm-dd"),"")</f>
        <v/>
      </c>
      <c r="F685">
        <f>"Training"</f>
        <v/>
      </c>
      <c r="G685">
        <f>"Medium"</f>
        <v/>
      </c>
      <c r="H685">
        <f>TRIM(IF(LEN(IF(LEN(INDEX('Aides'!$U$4:$U$503,182))=0,"",INDEX('Aides'!$U$4:$U$503,182)))=0,"","Owner: "&amp;IF(LEN(INDEX('Aides'!$U$4:$U$503,182))=0,"",INDEX('Aides'!$U$4:$U$503,182))&amp;". "))</f>
        <v/>
      </c>
      <c r="I685">
        <f>""</f>
        <v/>
      </c>
      <c r="J685">
        <f>IF(LEN(INDEX('Aides'!$V$4:$V$503,182))=0,"",INDEX('Aides'!$V$4:$V$503,182))</f>
        <v/>
      </c>
    </row>
    <row r="686">
      <c r="A686">
        <f>IF(AND(LEN('Aides'!A186)&gt;0,ISNUMBER('Aides'!S186)),1,0)</f>
        <v/>
      </c>
      <c r="B686">
        <f>B685+A686</f>
        <v/>
      </c>
      <c r="C686">
        <f>IF(683&gt;$B$1503,"",MATCH(683-0.5,$B$3:$B$1503,1))</f>
        <v/>
      </c>
      <c r="D686">
        <f>"CPR / First Aid – "&amp;IF(LEN(INDEX('Aides'!$A$4:$A$503,183))=0,"",INDEX('Aides'!$A$4:$A$503,183))</f>
        <v/>
      </c>
      <c r="E686">
        <f>IF(ISNUMBER(INDEX('Aides'!$S$4:$S$503,183)),TEXT(INDEX('Aides'!$S$4:$S$503,183),"yyyy-mm-dd"),"")</f>
        <v/>
      </c>
      <c r="F686">
        <f>"Training"</f>
        <v/>
      </c>
      <c r="G686">
        <f>"Medium"</f>
        <v/>
      </c>
      <c r="H686">
        <f>TRIM(IF(LEN(IF(LEN(INDEX('Aides'!$U$4:$U$503,183))=0,"",INDEX('Aides'!$U$4:$U$503,183)))=0,"","Owner: "&amp;IF(LEN(INDEX('Aides'!$U$4:$U$503,183))=0,"",INDEX('Aides'!$U$4:$U$503,183))&amp;". "))</f>
        <v/>
      </c>
      <c r="I686">
        <f>""</f>
        <v/>
      </c>
      <c r="J686">
        <f>IF(LEN(INDEX('Aides'!$V$4:$V$503,183))=0,"",INDEX('Aides'!$V$4:$V$503,183))</f>
        <v/>
      </c>
    </row>
    <row r="687">
      <c r="A687">
        <f>IF(AND(LEN('Aides'!A187)&gt;0,ISNUMBER('Aides'!S187)),1,0)</f>
        <v/>
      </c>
      <c r="B687">
        <f>B686+A687</f>
        <v/>
      </c>
      <c r="C687">
        <f>IF(684&gt;$B$1503,"",MATCH(684-0.5,$B$3:$B$1503,1))</f>
        <v/>
      </c>
      <c r="D687">
        <f>"CPR / First Aid – "&amp;IF(LEN(INDEX('Aides'!$A$4:$A$503,184))=0,"",INDEX('Aides'!$A$4:$A$503,184))</f>
        <v/>
      </c>
      <c r="E687">
        <f>IF(ISNUMBER(INDEX('Aides'!$S$4:$S$503,184)),TEXT(INDEX('Aides'!$S$4:$S$503,184),"yyyy-mm-dd"),"")</f>
        <v/>
      </c>
      <c r="F687">
        <f>"Training"</f>
        <v/>
      </c>
      <c r="G687">
        <f>"Medium"</f>
        <v/>
      </c>
      <c r="H687">
        <f>TRIM(IF(LEN(IF(LEN(INDEX('Aides'!$U$4:$U$503,184))=0,"",INDEX('Aides'!$U$4:$U$503,184)))=0,"","Owner: "&amp;IF(LEN(INDEX('Aides'!$U$4:$U$503,184))=0,"",INDEX('Aides'!$U$4:$U$503,184))&amp;". "))</f>
        <v/>
      </c>
      <c r="I687">
        <f>""</f>
        <v/>
      </c>
      <c r="J687">
        <f>IF(LEN(INDEX('Aides'!$V$4:$V$503,184))=0,"",INDEX('Aides'!$V$4:$V$503,184))</f>
        <v/>
      </c>
    </row>
    <row r="688">
      <c r="A688">
        <f>IF(AND(LEN('Aides'!A188)&gt;0,ISNUMBER('Aides'!S188)),1,0)</f>
        <v/>
      </c>
      <c r="B688">
        <f>B687+A688</f>
        <v/>
      </c>
      <c r="C688">
        <f>IF(685&gt;$B$1503,"",MATCH(685-0.5,$B$3:$B$1503,1))</f>
        <v/>
      </c>
      <c r="D688">
        <f>"CPR / First Aid – "&amp;IF(LEN(INDEX('Aides'!$A$4:$A$503,185))=0,"",INDEX('Aides'!$A$4:$A$503,185))</f>
        <v/>
      </c>
      <c r="E688">
        <f>IF(ISNUMBER(INDEX('Aides'!$S$4:$S$503,185)),TEXT(INDEX('Aides'!$S$4:$S$503,185),"yyyy-mm-dd"),"")</f>
        <v/>
      </c>
      <c r="F688">
        <f>"Training"</f>
        <v/>
      </c>
      <c r="G688">
        <f>"Medium"</f>
        <v/>
      </c>
      <c r="H688">
        <f>TRIM(IF(LEN(IF(LEN(INDEX('Aides'!$U$4:$U$503,185))=0,"",INDEX('Aides'!$U$4:$U$503,185)))=0,"","Owner: "&amp;IF(LEN(INDEX('Aides'!$U$4:$U$503,185))=0,"",INDEX('Aides'!$U$4:$U$503,185))&amp;". "))</f>
        <v/>
      </c>
      <c r="I688">
        <f>""</f>
        <v/>
      </c>
      <c r="J688">
        <f>IF(LEN(INDEX('Aides'!$V$4:$V$503,185))=0,"",INDEX('Aides'!$V$4:$V$503,185))</f>
        <v/>
      </c>
    </row>
    <row r="689">
      <c r="A689">
        <f>IF(AND(LEN('Aides'!A189)&gt;0,ISNUMBER('Aides'!S189)),1,0)</f>
        <v/>
      </c>
      <c r="B689">
        <f>B688+A689</f>
        <v/>
      </c>
      <c r="C689">
        <f>IF(686&gt;$B$1503,"",MATCH(686-0.5,$B$3:$B$1503,1))</f>
        <v/>
      </c>
      <c r="D689">
        <f>"CPR / First Aid – "&amp;IF(LEN(INDEX('Aides'!$A$4:$A$503,186))=0,"",INDEX('Aides'!$A$4:$A$503,186))</f>
        <v/>
      </c>
      <c r="E689">
        <f>IF(ISNUMBER(INDEX('Aides'!$S$4:$S$503,186)),TEXT(INDEX('Aides'!$S$4:$S$503,186),"yyyy-mm-dd"),"")</f>
        <v/>
      </c>
      <c r="F689">
        <f>"Training"</f>
        <v/>
      </c>
      <c r="G689">
        <f>"Medium"</f>
        <v/>
      </c>
      <c r="H689">
        <f>TRIM(IF(LEN(IF(LEN(INDEX('Aides'!$U$4:$U$503,186))=0,"",INDEX('Aides'!$U$4:$U$503,186)))=0,"","Owner: "&amp;IF(LEN(INDEX('Aides'!$U$4:$U$503,186))=0,"",INDEX('Aides'!$U$4:$U$503,186))&amp;". "))</f>
        <v/>
      </c>
      <c r="I689">
        <f>""</f>
        <v/>
      </c>
      <c r="J689">
        <f>IF(LEN(INDEX('Aides'!$V$4:$V$503,186))=0,"",INDEX('Aides'!$V$4:$V$503,186))</f>
        <v/>
      </c>
    </row>
    <row r="690">
      <c r="A690">
        <f>IF(AND(LEN('Aides'!A190)&gt;0,ISNUMBER('Aides'!S190)),1,0)</f>
        <v/>
      </c>
      <c r="B690">
        <f>B689+A690</f>
        <v/>
      </c>
      <c r="C690">
        <f>IF(687&gt;$B$1503,"",MATCH(687-0.5,$B$3:$B$1503,1))</f>
        <v/>
      </c>
      <c r="D690">
        <f>"CPR / First Aid – "&amp;IF(LEN(INDEX('Aides'!$A$4:$A$503,187))=0,"",INDEX('Aides'!$A$4:$A$503,187))</f>
        <v/>
      </c>
      <c r="E690">
        <f>IF(ISNUMBER(INDEX('Aides'!$S$4:$S$503,187)),TEXT(INDEX('Aides'!$S$4:$S$503,187),"yyyy-mm-dd"),"")</f>
        <v/>
      </c>
      <c r="F690">
        <f>"Training"</f>
        <v/>
      </c>
      <c r="G690">
        <f>"Medium"</f>
        <v/>
      </c>
      <c r="H690">
        <f>TRIM(IF(LEN(IF(LEN(INDEX('Aides'!$U$4:$U$503,187))=0,"",INDEX('Aides'!$U$4:$U$503,187)))=0,"","Owner: "&amp;IF(LEN(INDEX('Aides'!$U$4:$U$503,187))=0,"",INDEX('Aides'!$U$4:$U$503,187))&amp;". "))</f>
        <v/>
      </c>
      <c r="I690">
        <f>""</f>
        <v/>
      </c>
      <c r="J690">
        <f>IF(LEN(INDEX('Aides'!$V$4:$V$503,187))=0,"",INDEX('Aides'!$V$4:$V$503,187))</f>
        <v/>
      </c>
    </row>
    <row r="691">
      <c r="A691">
        <f>IF(AND(LEN('Aides'!A191)&gt;0,ISNUMBER('Aides'!S191)),1,0)</f>
        <v/>
      </c>
      <c r="B691">
        <f>B690+A691</f>
        <v/>
      </c>
      <c r="C691">
        <f>IF(688&gt;$B$1503,"",MATCH(688-0.5,$B$3:$B$1503,1))</f>
        <v/>
      </c>
      <c r="D691">
        <f>"CPR / First Aid – "&amp;IF(LEN(INDEX('Aides'!$A$4:$A$503,188))=0,"",INDEX('Aides'!$A$4:$A$503,188))</f>
        <v/>
      </c>
      <c r="E691">
        <f>IF(ISNUMBER(INDEX('Aides'!$S$4:$S$503,188)),TEXT(INDEX('Aides'!$S$4:$S$503,188),"yyyy-mm-dd"),"")</f>
        <v/>
      </c>
      <c r="F691">
        <f>"Training"</f>
        <v/>
      </c>
      <c r="G691">
        <f>"Medium"</f>
        <v/>
      </c>
      <c r="H691">
        <f>TRIM(IF(LEN(IF(LEN(INDEX('Aides'!$U$4:$U$503,188))=0,"",INDEX('Aides'!$U$4:$U$503,188)))=0,"","Owner: "&amp;IF(LEN(INDEX('Aides'!$U$4:$U$503,188))=0,"",INDEX('Aides'!$U$4:$U$503,188))&amp;". "))</f>
        <v/>
      </c>
      <c r="I691">
        <f>""</f>
        <v/>
      </c>
      <c r="J691">
        <f>IF(LEN(INDEX('Aides'!$V$4:$V$503,188))=0,"",INDEX('Aides'!$V$4:$V$503,188))</f>
        <v/>
      </c>
    </row>
    <row r="692">
      <c r="A692">
        <f>IF(AND(LEN('Aides'!A192)&gt;0,ISNUMBER('Aides'!S192)),1,0)</f>
        <v/>
      </c>
      <c r="B692">
        <f>B691+A692</f>
        <v/>
      </c>
      <c r="C692">
        <f>IF(689&gt;$B$1503,"",MATCH(689-0.5,$B$3:$B$1503,1))</f>
        <v/>
      </c>
      <c r="D692">
        <f>"CPR / First Aid – "&amp;IF(LEN(INDEX('Aides'!$A$4:$A$503,189))=0,"",INDEX('Aides'!$A$4:$A$503,189))</f>
        <v/>
      </c>
      <c r="E692">
        <f>IF(ISNUMBER(INDEX('Aides'!$S$4:$S$503,189)),TEXT(INDEX('Aides'!$S$4:$S$503,189),"yyyy-mm-dd"),"")</f>
        <v/>
      </c>
      <c r="F692">
        <f>"Training"</f>
        <v/>
      </c>
      <c r="G692">
        <f>"Medium"</f>
        <v/>
      </c>
      <c r="H692">
        <f>TRIM(IF(LEN(IF(LEN(INDEX('Aides'!$U$4:$U$503,189))=0,"",INDEX('Aides'!$U$4:$U$503,189)))=0,"","Owner: "&amp;IF(LEN(INDEX('Aides'!$U$4:$U$503,189))=0,"",INDEX('Aides'!$U$4:$U$503,189))&amp;". "))</f>
        <v/>
      </c>
      <c r="I692">
        <f>""</f>
        <v/>
      </c>
      <c r="J692">
        <f>IF(LEN(INDEX('Aides'!$V$4:$V$503,189))=0,"",INDEX('Aides'!$V$4:$V$503,189))</f>
        <v/>
      </c>
    </row>
    <row r="693">
      <c r="A693">
        <f>IF(AND(LEN('Aides'!A193)&gt;0,ISNUMBER('Aides'!S193)),1,0)</f>
        <v/>
      </c>
      <c r="B693">
        <f>B692+A693</f>
        <v/>
      </c>
      <c r="C693">
        <f>IF(690&gt;$B$1503,"",MATCH(690-0.5,$B$3:$B$1503,1))</f>
        <v/>
      </c>
      <c r="D693">
        <f>"CPR / First Aid – "&amp;IF(LEN(INDEX('Aides'!$A$4:$A$503,190))=0,"",INDEX('Aides'!$A$4:$A$503,190))</f>
        <v/>
      </c>
      <c r="E693">
        <f>IF(ISNUMBER(INDEX('Aides'!$S$4:$S$503,190)),TEXT(INDEX('Aides'!$S$4:$S$503,190),"yyyy-mm-dd"),"")</f>
        <v/>
      </c>
      <c r="F693">
        <f>"Training"</f>
        <v/>
      </c>
      <c r="G693">
        <f>"Medium"</f>
        <v/>
      </c>
      <c r="H693">
        <f>TRIM(IF(LEN(IF(LEN(INDEX('Aides'!$U$4:$U$503,190))=0,"",INDEX('Aides'!$U$4:$U$503,190)))=0,"","Owner: "&amp;IF(LEN(INDEX('Aides'!$U$4:$U$503,190))=0,"",INDEX('Aides'!$U$4:$U$503,190))&amp;". "))</f>
        <v/>
      </c>
      <c r="I693">
        <f>""</f>
        <v/>
      </c>
      <c r="J693">
        <f>IF(LEN(INDEX('Aides'!$V$4:$V$503,190))=0,"",INDEX('Aides'!$V$4:$V$503,190))</f>
        <v/>
      </c>
    </row>
    <row r="694">
      <c r="A694">
        <f>IF(AND(LEN('Aides'!A194)&gt;0,ISNUMBER('Aides'!S194)),1,0)</f>
        <v/>
      </c>
      <c r="B694">
        <f>B693+A694</f>
        <v/>
      </c>
      <c r="C694">
        <f>IF(691&gt;$B$1503,"",MATCH(691-0.5,$B$3:$B$1503,1))</f>
        <v/>
      </c>
      <c r="D694">
        <f>"CPR / First Aid – "&amp;IF(LEN(INDEX('Aides'!$A$4:$A$503,191))=0,"",INDEX('Aides'!$A$4:$A$503,191))</f>
        <v/>
      </c>
      <c r="E694">
        <f>IF(ISNUMBER(INDEX('Aides'!$S$4:$S$503,191)),TEXT(INDEX('Aides'!$S$4:$S$503,191),"yyyy-mm-dd"),"")</f>
        <v/>
      </c>
      <c r="F694">
        <f>"Training"</f>
        <v/>
      </c>
      <c r="G694">
        <f>"Medium"</f>
        <v/>
      </c>
      <c r="H694">
        <f>TRIM(IF(LEN(IF(LEN(INDEX('Aides'!$U$4:$U$503,191))=0,"",INDEX('Aides'!$U$4:$U$503,191)))=0,"","Owner: "&amp;IF(LEN(INDEX('Aides'!$U$4:$U$503,191))=0,"",INDEX('Aides'!$U$4:$U$503,191))&amp;". "))</f>
        <v/>
      </c>
      <c r="I694">
        <f>""</f>
        <v/>
      </c>
      <c r="J694">
        <f>IF(LEN(INDEX('Aides'!$V$4:$V$503,191))=0,"",INDEX('Aides'!$V$4:$V$503,191))</f>
        <v/>
      </c>
    </row>
    <row r="695">
      <c r="A695">
        <f>IF(AND(LEN('Aides'!A195)&gt;0,ISNUMBER('Aides'!S195)),1,0)</f>
        <v/>
      </c>
      <c r="B695">
        <f>B694+A695</f>
        <v/>
      </c>
      <c r="C695">
        <f>IF(692&gt;$B$1503,"",MATCH(692-0.5,$B$3:$B$1503,1))</f>
        <v/>
      </c>
      <c r="D695">
        <f>"CPR / First Aid – "&amp;IF(LEN(INDEX('Aides'!$A$4:$A$503,192))=0,"",INDEX('Aides'!$A$4:$A$503,192))</f>
        <v/>
      </c>
      <c r="E695">
        <f>IF(ISNUMBER(INDEX('Aides'!$S$4:$S$503,192)),TEXT(INDEX('Aides'!$S$4:$S$503,192),"yyyy-mm-dd"),"")</f>
        <v/>
      </c>
      <c r="F695">
        <f>"Training"</f>
        <v/>
      </c>
      <c r="G695">
        <f>"Medium"</f>
        <v/>
      </c>
      <c r="H695">
        <f>TRIM(IF(LEN(IF(LEN(INDEX('Aides'!$U$4:$U$503,192))=0,"",INDEX('Aides'!$U$4:$U$503,192)))=0,"","Owner: "&amp;IF(LEN(INDEX('Aides'!$U$4:$U$503,192))=0,"",INDEX('Aides'!$U$4:$U$503,192))&amp;". "))</f>
        <v/>
      </c>
      <c r="I695">
        <f>""</f>
        <v/>
      </c>
      <c r="J695">
        <f>IF(LEN(INDEX('Aides'!$V$4:$V$503,192))=0,"",INDEX('Aides'!$V$4:$V$503,192))</f>
        <v/>
      </c>
    </row>
    <row r="696">
      <c r="A696">
        <f>IF(AND(LEN('Aides'!A196)&gt;0,ISNUMBER('Aides'!S196)),1,0)</f>
        <v/>
      </c>
      <c r="B696">
        <f>B695+A696</f>
        <v/>
      </c>
      <c r="C696">
        <f>IF(693&gt;$B$1503,"",MATCH(693-0.5,$B$3:$B$1503,1))</f>
        <v/>
      </c>
      <c r="D696">
        <f>"CPR / First Aid – "&amp;IF(LEN(INDEX('Aides'!$A$4:$A$503,193))=0,"",INDEX('Aides'!$A$4:$A$503,193))</f>
        <v/>
      </c>
      <c r="E696">
        <f>IF(ISNUMBER(INDEX('Aides'!$S$4:$S$503,193)),TEXT(INDEX('Aides'!$S$4:$S$503,193),"yyyy-mm-dd"),"")</f>
        <v/>
      </c>
      <c r="F696">
        <f>"Training"</f>
        <v/>
      </c>
      <c r="G696">
        <f>"Medium"</f>
        <v/>
      </c>
      <c r="H696">
        <f>TRIM(IF(LEN(IF(LEN(INDEX('Aides'!$U$4:$U$503,193))=0,"",INDEX('Aides'!$U$4:$U$503,193)))=0,"","Owner: "&amp;IF(LEN(INDEX('Aides'!$U$4:$U$503,193))=0,"",INDEX('Aides'!$U$4:$U$503,193))&amp;". "))</f>
        <v/>
      </c>
      <c r="I696">
        <f>""</f>
        <v/>
      </c>
      <c r="J696">
        <f>IF(LEN(INDEX('Aides'!$V$4:$V$503,193))=0,"",INDEX('Aides'!$V$4:$V$503,193))</f>
        <v/>
      </c>
    </row>
    <row r="697">
      <c r="A697">
        <f>IF(AND(LEN('Aides'!A197)&gt;0,ISNUMBER('Aides'!S197)),1,0)</f>
        <v/>
      </c>
      <c r="B697">
        <f>B696+A697</f>
        <v/>
      </c>
      <c r="C697">
        <f>IF(694&gt;$B$1503,"",MATCH(694-0.5,$B$3:$B$1503,1))</f>
        <v/>
      </c>
      <c r="D697">
        <f>"CPR / First Aid – "&amp;IF(LEN(INDEX('Aides'!$A$4:$A$503,194))=0,"",INDEX('Aides'!$A$4:$A$503,194))</f>
        <v/>
      </c>
      <c r="E697">
        <f>IF(ISNUMBER(INDEX('Aides'!$S$4:$S$503,194)),TEXT(INDEX('Aides'!$S$4:$S$503,194),"yyyy-mm-dd"),"")</f>
        <v/>
      </c>
      <c r="F697">
        <f>"Training"</f>
        <v/>
      </c>
      <c r="G697">
        <f>"Medium"</f>
        <v/>
      </c>
      <c r="H697">
        <f>TRIM(IF(LEN(IF(LEN(INDEX('Aides'!$U$4:$U$503,194))=0,"",INDEX('Aides'!$U$4:$U$503,194)))=0,"","Owner: "&amp;IF(LEN(INDEX('Aides'!$U$4:$U$503,194))=0,"",INDEX('Aides'!$U$4:$U$503,194))&amp;". "))</f>
        <v/>
      </c>
      <c r="I697">
        <f>""</f>
        <v/>
      </c>
      <c r="J697">
        <f>IF(LEN(INDEX('Aides'!$V$4:$V$503,194))=0,"",INDEX('Aides'!$V$4:$V$503,194))</f>
        <v/>
      </c>
    </row>
    <row r="698">
      <c r="A698">
        <f>IF(AND(LEN('Aides'!A198)&gt;0,ISNUMBER('Aides'!S198)),1,0)</f>
        <v/>
      </c>
      <c r="B698">
        <f>B697+A698</f>
        <v/>
      </c>
      <c r="C698">
        <f>IF(695&gt;$B$1503,"",MATCH(695-0.5,$B$3:$B$1503,1))</f>
        <v/>
      </c>
      <c r="D698">
        <f>"CPR / First Aid – "&amp;IF(LEN(INDEX('Aides'!$A$4:$A$503,195))=0,"",INDEX('Aides'!$A$4:$A$503,195))</f>
        <v/>
      </c>
      <c r="E698">
        <f>IF(ISNUMBER(INDEX('Aides'!$S$4:$S$503,195)),TEXT(INDEX('Aides'!$S$4:$S$503,195),"yyyy-mm-dd"),"")</f>
        <v/>
      </c>
      <c r="F698">
        <f>"Training"</f>
        <v/>
      </c>
      <c r="G698">
        <f>"Medium"</f>
        <v/>
      </c>
      <c r="H698">
        <f>TRIM(IF(LEN(IF(LEN(INDEX('Aides'!$U$4:$U$503,195))=0,"",INDEX('Aides'!$U$4:$U$503,195)))=0,"","Owner: "&amp;IF(LEN(INDEX('Aides'!$U$4:$U$503,195))=0,"",INDEX('Aides'!$U$4:$U$503,195))&amp;". "))</f>
        <v/>
      </c>
      <c r="I698">
        <f>""</f>
        <v/>
      </c>
      <c r="J698">
        <f>IF(LEN(INDEX('Aides'!$V$4:$V$503,195))=0,"",INDEX('Aides'!$V$4:$V$503,195))</f>
        <v/>
      </c>
    </row>
    <row r="699">
      <c r="A699">
        <f>IF(AND(LEN('Aides'!A199)&gt;0,ISNUMBER('Aides'!S199)),1,0)</f>
        <v/>
      </c>
      <c r="B699">
        <f>B698+A699</f>
        <v/>
      </c>
      <c r="C699">
        <f>IF(696&gt;$B$1503,"",MATCH(696-0.5,$B$3:$B$1503,1))</f>
        <v/>
      </c>
      <c r="D699">
        <f>"CPR / First Aid – "&amp;IF(LEN(INDEX('Aides'!$A$4:$A$503,196))=0,"",INDEX('Aides'!$A$4:$A$503,196))</f>
        <v/>
      </c>
      <c r="E699">
        <f>IF(ISNUMBER(INDEX('Aides'!$S$4:$S$503,196)),TEXT(INDEX('Aides'!$S$4:$S$503,196),"yyyy-mm-dd"),"")</f>
        <v/>
      </c>
      <c r="F699">
        <f>"Training"</f>
        <v/>
      </c>
      <c r="G699">
        <f>"Medium"</f>
        <v/>
      </c>
      <c r="H699">
        <f>TRIM(IF(LEN(IF(LEN(INDEX('Aides'!$U$4:$U$503,196))=0,"",INDEX('Aides'!$U$4:$U$503,196)))=0,"","Owner: "&amp;IF(LEN(INDEX('Aides'!$U$4:$U$503,196))=0,"",INDEX('Aides'!$U$4:$U$503,196))&amp;". "))</f>
        <v/>
      </c>
      <c r="I699">
        <f>""</f>
        <v/>
      </c>
      <c r="J699">
        <f>IF(LEN(INDEX('Aides'!$V$4:$V$503,196))=0,"",INDEX('Aides'!$V$4:$V$503,196))</f>
        <v/>
      </c>
    </row>
    <row r="700">
      <c r="A700">
        <f>IF(AND(LEN('Aides'!A200)&gt;0,ISNUMBER('Aides'!S200)),1,0)</f>
        <v/>
      </c>
      <c r="B700">
        <f>B699+A700</f>
        <v/>
      </c>
      <c r="C700">
        <f>IF(697&gt;$B$1503,"",MATCH(697-0.5,$B$3:$B$1503,1))</f>
        <v/>
      </c>
      <c r="D700">
        <f>"CPR / First Aid – "&amp;IF(LEN(INDEX('Aides'!$A$4:$A$503,197))=0,"",INDEX('Aides'!$A$4:$A$503,197))</f>
        <v/>
      </c>
      <c r="E700">
        <f>IF(ISNUMBER(INDEX('Aides'!$S$4:$S$503,197)),TEXT(INDEX('Aides'!$S$4:$S$503,197),"yyyy-mm-dd"),"")</f>
        <v/>
      </c>
      <c r="F700">
        <f>"Training"</f>
        <v/>
      </c>
      <c r="G700">
        <f>"Medium"</f>
        <v/>
      </c>
      <c r="H700">
        <f>TRIM(IF(LEN(IF(LEN(INDEX('Aides'!$U$4:$U$503,197))=0,"",INDEX('Aides'!$U$4:$U$503,197)))=0,"","Owner: "&amp;IF(LEN(INDEX('Aides'!$U$4:$U$503,197))=0,"",INDEX('Aides'!$U$4:$U$503,197))&amp;". "))</f>
        <v/>
      </c>
      <c r="I700">
        <f>""</f>
        <v/>
      </c>
      <c r="J700">
        <f>IF(LEN(INDEX('Aides'!$V$4:$V$503,197))=0,"",INDEX('Aides'!$V$4:$V$503,197))</f>
        <v/>
      </c>
    </row>
    <row r="701">
      <c r="A701">
        <f>IF(AND(LEN('Aides'!A201)&gt;0,ISNUMBER('Aides'!S201)),1,0)</f>
        <v/>
      </c>
      <c r="B701">
        <f>B700+A701</f>
        <v/>
      </c>
      <c r="C701">
        <f>IF(698&gt;$B$1503,"",MATCH(698-0.5,$B$3:$B$1503,1))</f>
        <v/>
      </c>
      <c r="D701">
        <f>"CPR / First Aid – "&amp;IF(LEN(INDEX('Aides'!$A$4:$A$503,198))=0,"",INDEX('Aides'!$A$4:$A$503,198))</f>
        <v/>
      </c>
      <c r="E701">
        <f>IF(ISNUMBER(INDEX('Aides'!$S$4:$S$503,198)),TEXT(INDEX('Aides'!$S$4:$S$503,198),"yyyy-mm-dd"),"")</f>
        <v/>
      </c>
      <c r="F701">
        <f>"Training"</f>
        <v/>
      </c>
      <c r="G701">
        <f>"Medium"</f>
        <v/>
      </c>
      <c r="H701">
        <f>TRIM(IF(LEN(IF(LEN(INDEX('Aides'!$U$4:$U$503,198))=0,"",INDEX('Aides'!$U$4:$U$503,198)))=0,"","Owner: "&amp;IF(LEN(INDEX('Aides'!$U$4:$U$503,198))=0,"",INDEX('Aides'!$U$4:$U$503,198))&amp;". "))</f>
        <v/>
      </c>
      <c r="I701">
        <f>""</f>
        <v/>
      </c>
      <c r="J701">
        <f>IF(LEN(INDEX('Aides'!$V$4:$V$503,198))=0,"",INDEX('Aides'!$V$4:$V$503,198))</f>
        <v/>
      </c>
    </row>
    <row r="702">
      <c r="A702">
        <f>IF(AND(LEN('Aides'!A202)&gt;0,ISNUMBER('Aides'!S202)),1,0)</f>
        <v/>
      </c>
      <c r="B702">
        <f>B701+A702</f>
        <v/>
      </c>
      <c r="C702">
        <f>IF(699&gt;$B$1503,"",MATCH(699-0.5,$B$3:$B$1503,1))</f>
        <v/>
      </c>
      <c r="D702">
        <f>"CPR / First Aid – "&amp;IF(LEN(INDEX('Aides'!$A$4:$A$503,199))=0,"",INDEX('Aides'!$A$4:$A$503,199))</f>
        <v/>
      </c>
      <c r="E702">
        <f>IF(ISNUMBER(INDEX('Aides'!$S$4:$S$503,199)),TEXT(INDEX('Aides'!$S$4:$S$503,199),"yyyy-mm-dd"),"")</f>
        <v/>
      </c>
      <c r="F702">
        <f>"Training"</f>
        <v/>
      </c>
      <c r="G702">
        <f>"Medium"</f>
        <v/>
      </c>
      <c r="H702">
        <f>TRIM(IF(LEN(IF(LEN(INDEX('Aides'!$U$4:$U$503,199))=0,"",INDEX('Aides'!$U$4:$U$503,199)))=0,"","Owner: "&amp;IF(LEN(INDEX('Aides'!$U$4:$U$503,199))=0,"",INDEX('Aides'!$U$4:$U$503,199))&amp;". "))</f>
        <v/>
      </c>
      <c r="I702">
        <f>""</f>
        <v/>
      </c>
      <c r="J702">
        <f>IF(LEN(INDEX('Aides'!$V$4:$V$503,199))=0,"",INDEX('Aides'!$V$4:$V$503,199))</f>
        <v/>
      </c>
    </row>
    <row r="703">
      <c r="A703">
        <f>IF(AND(LEN('Aides'!A203)&gt;0,ISNUMBER('Aides'!S203)),1,0)</f>
        <v/>
      </c>
      <c r="B703">
        <f>B702+A703</f>
        <v/>
      </c>
      <c r="C703">
        <f>IF(700&gt;$B$1503,"",MATCH(700-0.5,$B$3:$B$1503,1))</f>
        <v/>
      </c>
      <c r="D703">
        <f>"CPR / First Aid – "&amp;IF(LEN(INDEX('Aides'!$A$4:$A$503,200))=0,"",INDEX('Aides'!$A$4:$A$503,200))</f>
        <v/>
      </c>
      <c r="E703">
        <f>IF(ISNUMBER(INDEX('Aides'!$S$4:$S$503,200)),TEXT(INDEX('Aides'!$S$4:$S$503,200),"yyyy-mm-dd"),"")</f>
        <v/>
      </c>
      <c r="F703">
        <f>"Training"</f>
        <v/>
      </c>
      <c r="G703">
        <f>"Medium"</f>
        <v/>
      </c>
      <c r="H703">
        <f>TRIM(IF(LEN(IF(LEN(INDEX('Aides'!$U$4:$U$503,200))=0,"",INDEX('Aides'!$U$4:$U$503,200)))=0,"","Owner: "&amp;IF(LEN(INDEX('Aides'!$U$4:$U$503,200))=0,"",INDEX('Aides'!$U$4:$U$503,200))&amp;". "))</f>
        <v/>
      </c>
      <c r="I703">
        <f>""</f>
        <v/>
      </c>
      <c r="J703">
        <f>IF(LEN(INDEX('Aides'!$V$4:$V$503,200))=0,"",INDEX('Aides'!$V$4:$V$503,200))</f>
        <v/>
      </c>
    </row>
    <row r="704">
      <c r="A704">
        <f>IF(AND(LEN('Aides'!A204)&gt;0,ISNUMBER('Aides'!S204)),1,0)</f>
        <v/>
      </c>
      <c r="B704">
        <f>B703+A704</f>
        <v/>
      </c>
      <c r="C704">
        <f>IF(701&gt;$B$1503,"",MATCH(701-0.5,$B$3:$B$1503,1))</f>
        <v/>
      </c>
      <c r="D704">
        <f>"CPR / First Aid – "&amp;IF(LEN(INDEX('Aides'!$A$4:$A$503,201))=0,"",INDEX('Aides'!$A$4:$A$503,201))</f>
        <v/>
      </c>
      <c r="E704">
        <f>IF(ISNUMBER(INDEX('Aides'!$S$4:$S$503,201)),TEXT(INDEX('Aides'!$S$4:$S$503,201),"yyyy-mm-dd"),"")</f>
        <v/>
      </c>
      <c r="F704">
        <f>"Training"</f>
        <v/>
      </c>
      <c r="G704">
        <f>"Medium"</f>
        <v/>
      </c>
      <c r="H704">
        <f>TRIM(IF(LEN(IF(LEN(INDEX('Aides'!$U$4:$U$503,201))=0,"",INDEX('Aides'!$U$4:$U$503,201)))=0,"","Owner: "&amp;IF(LEN(INDEX('Aides'!$U$4:$U$503,201))=0,"",INDEX('Aides'!$U$4:$U$503,201))&amp;". "))</f>
        <v/>
      </c>
      <c r="I704">
        <f>""</f>
        <v/>
      </c>
      <c r="J704">
        <f>IF(LEN(INDEX('Aides'!$V$4:$V$503,201))=0,"",INDEX('Aides'!$V$4:$V$503,201))</f>
        <v/>
      </c>
    </row>
    <row r="705">
      <c r="A705">
        <f>IF(AND(LEN('Aides'!A205)&gt;0,ISNUMBER('Aides'!S205)),1,0)</f>
        <v/>
      </c>
      <c r="B705">
        <f>B704+A705</f>
        <v/>
      </c>
      <c r="C705">
        <f>IF(702&gt;$B$1503,"",MATCH(702-0.5,$B$3:$B$1503,1))</f>
        <v/>
      </c>
      <c r="D705">
        <f>"CPR / First Aid – "&amp;IF(LEN(INDEX('Aides'!$A$4:$A$503,202))=0,"",INDEX('Aides'!$A$4:$A$503,202))</f>
        <v/>
      </c>
      <c r="E705">
        <f>IF(ISNUMBER(INDEX('Aides'!$S$4:$S$503,202)),TEXT(INDEX('Aides'!$S$4:$S$503,202),"yyyy-mm-dd"),"")</f>
        <v/>
      </c>
      <c r="F705">
        <f>"Training"</f>
        <v/>
      </c>
      <c r="G705">
        <f>"Medium"</f>
        <v/>
      </c>
      <c r="H705">
        <f>TRIM(IF(LEN(IF(LEN(INDEX('Aides'!$U$4:$U$503,202))=0,"",INDEX('Aides'!$U$4:$U$503,202)))=0,"","Owner: "&amp;IF(LEN(INDEX('Aides'!$U$4:$U$503,202))=0,"",INDEX('Aides'!$U$4:$U$503,202))&amp;". "))</f>
        <v/>
      </c>
      <c r="I705">
        <f>""</f>
        <v/>
      </c>
      <c r="J705">
        <f>IF(LEN(INDEX('Aides'!$V$4:$V$503,202))=0,"",INDEX('Aides'!$V$4:$V$503,202))</f>
        <v/>
      </c>
    </row>
    <row r="706">
      <c r="A706">
        <f>IF(AND(LEN('Aides'!A206)&gt;0,ISNUMBER('Aides'!S206)),1,0)</f>
        <v/>
      </c>
      <c r="B706">
        <f>B705+A706</f>
        <v/>
      </c>
      <c r="C706">
        <f>IF(703&gt;$B$1503,"",MATCH(703-0.5,$B$3:$B$1503,1))</f>
        <v/>
      </c>
      <c r="D706">
        <f>"CPR / First Aid – "&amp;IF(LEN(INDEX('Aides'!$A$4:$A$503,203))=0,"",INDEX('Aides'!$A$4:$A$503,203))</f>
        <v/>
      </c>
      <c r="E706">
        <f>IF(ISNUMBER(INDEX('Aides'!$S$4:$S$503,203)),TEXT(INDEX('Aides'!$S$4:$S$503,203),"yyyy-mm-dd"),"")</f>
        <v/>
      </c>
      <c r="F706">
        <f>"Training"</f>
        <v/>
      </c>
      <c r="G706">
        <f>"Medium"</f>
        <v/>
      </c>
      <c r="H706">
        <f>TRIM(IF(LEN(IF(LEN(INDEX('Aides'!$U$4:$U$503,203))=0,"",INDEX('Aides'!$U$4:$U$503,203)))=0,"","Owner: "&amp;IF(LEN(INDEX('Aides'!$U$4:$U$503,203))=0,"",INDEX('Aides'!$U$4:$U$503,203))&amp;". "))</f>
        <v/>
      </c>
      <c r="I706">
        <f>""</f>
        <v/>
      </c>
      <c r="J706">
        <f>IF(LEN(INDEX('Aides'!$V$4:$V$503,203))=0,"",INDEX('Aides'!$V$4:$V$503,203))</f>
        <v/>
      </c>
    </row>
    <row r="707">
      <c r="A707">
        <f>IF(AND(LEN('Aides'!A207)&gt;0,ISNUMBER('Aides'!S207)),1,0)</f>
        <v/>
      </c>
      <c r="B707">
        <f>B706+A707</f>
        <v/>
      </c>
      <c r="C707">
        <f>IF(704&gt;$B$1503,"",MATCH(704-0.5,$B$3:$B$1503,1))</f>
        <v/>
      </c>
      <c r="D707">
        <f>"CPR / First Aid – "&amp;IF(LEN(INDEX('Aides'!$A$4:$A$503,204))=0,"",INDEX('Aides'!$A$4:$A$503,204))</f>
        <v/>
      </c>
      <c r="E707">
        <f>IF(ISNUMBER(INDEX('Aides'!$S$4:$S$503,204)),TEXT(INDEX('Aides'!$S$4:$S$503,204),"yyyy-mm-dd"),"")</f>
        <v/>
      </c>
      <c r="F707">
        <f>"Training"</f>
        <v/>
      </c>
      <c r="G707">
        <f>"Medium"</f>
        <v/>
      </c>
      <c r="H707">
        <f>TRIM(IF(LEN(IF(LEN(INDEX('Aides'!$U$4:$U$503,204))=0,"",INDEX('Aides'!$U$4:$U$503,204)))=0,"","Owner: "&amp;IF(LEN(INDEX('Aides'!$U$4:$U$503,204))=0,"",INDEX('Aides'!$U$4:$U$503,204))&amp;". "))</f>
        <v/>
      </c>
      <c r="I707">
        <f>""</f>
        <v/>
      </c>
      <c r="J707">
        <f>IF(LEN(INDEX('Aides'!$V$4:$V$503,204))=0,"",INDEX('Aides'!$V$4:$V$503,204))</f>
        <v/>
      </c>
    </row>
    <row r="708">
      <c r="A708">
        <f>IF(AND(LEN('Aides'!A208)&gt;0,ISNUMBER('Aides'!S208)),1,0)</f>
        <v/>
      </c>
      <c r="B708">
        <f>B707+A708</f>
        <v/>
      </c>
      <c r="C708">
        <f>IF(705&gt;$B$1503,"",MATCH(705-0.5,$B$3:$B$1503,1))</f>
        <v/>
      </c>
      <c r="D708">
        <f>"CPR / First Aid – "&amp;IF(LEN(INDEX('Aides'!$A$4:$A$503,205))=0,"",INDEX('Aides'!$A$4:$A$503,205))</f>
        <v/>
      </c>
      <c r="E708">
        <f>IF(ISNUMBER(INDEX('Aides'!$S$4:$S$503,205)),TEXT(INDEX('Aides'!$S$4:$S$503,205),"yyyy-mm-dd"),"")</f>
        <v/>
      </c>
      <c r="F708">
        <f>"Training"</f>
        <v/>
      </c>
      <c r="G708">
        <f>"Medium"</f>
        <v/>
      </c>
      <c r="H708">
        <f>TRIM(IF(LEN(IF(LEN(INDEX('Aides'!$U$4:$U$503,205))=0,"",INDEX('Aides'!$U$4:$U$503,205)))=0,"","Owner: "&amp;IF(LEN(INDEX('Aides'!$U$4:$U$503,205))=0,"",INDEX('Aides'!$U$4:$U$503,205))&amp;". "))</f>
        <v/>
      </c>
      <c r="I708">
        <f>""</f>
        <v/>
      </c>
      <c r="J708">
        <f>IF(LEN(INDEX('Aides'!$V$4:$V$503,205))=0,"",INDEX('Aides'!$V$4:$V$503,205))</f>
        <v/>
      </c>
    </row>
    <row r="709">
      <c r="A709">
        <f>IF(AND(LEN('Aides'!A209)&gt;0,ISNUMBER('Aides'!S209)),1,0)</f>
        <v/>
      </c>
      <c r="B709">
        <f>B708+A709</f>
        <v/>
      </c>
      <c r="C709">
        <f>IF(706&gt;$B$1503,"",MATCH(706-0.5,$B$3:$B$1503,1))</f>
        <v/>
      </c>
      <c r="D709">
        <f>"CPR / First Aid – "&amp;IF(LEN(INDEX('Aides'!$A$4:$A$503,206))=0,"",INDEX('Aides'!$A$4:$A$503,206))</f>
        <v/>
      </c>
      <c r="E709">
        <f>IF(ISNUMBER(INDEX('Aides'!$S$4:$S$503,206)),TEXT(INDEX('Aides'!$S$4:$S$503,206),"yyyy-mm-dd"),"")</f>
        <v/>
      </c>
      <c r="F709">
        <f>"Training"</f>
        <v/>
      </c>
      <c r="G709">
        <f>"Medium"</f>
        <v/>
      </c>
      <c r="H709">
        <f>TRIM(IF(LEN(IF(LEN(INDEX('Aides'!$U$4:$U$503,206))=0,"",INDEX('Aides'!$U$4:$U$503,206)))=0,"","Owner: "&amp;IF(LEN(INDEX('Aides'!$U$4:$U$503,206))=0,"",INDEX('Aides'!$U$4:$U$503,206))&amp;". "))</f>
        <v/>
      </c>
      <c r="I709">
        <f>""</f>
        <v/>
      </c>
      <c r="J709">
        <f>IF(LEN(INDEX('Aides'!$V$4:$V$503,206))=0,"",INDEX('Aides'!$V$4:$V$503,206))</f>
        <v/>
      </c>
    </row>
    <row r="710">
      <c r="A710">
        <f>IF(AND(LEN('Aides'!A210)&gt;0,ISNUMBER('Aides'!S210)),1,0)</f>
        <v/>
      </c>
      <c r="B710">
        <f>B709+A710</f>
        <v/>
      </c>
      <c r="C710">
        <f>IF(707&gt;$B$1503,"",MATCH(707-0.5,$B$3:$B$1503,1))</f>
        <v/>
      </c>
      <c r="D710">
        <f>"CPR / First Aid – "&amp;IF(LEN(INDEX('Aides'!$A$4:$A$503,207))=0,"",INDEX('Aides'!$A$4:$A$503,207))</f>
        <v/>
      </c>
      <c r="E710">
        <f>IF(ISNUMBER(INDEX('Aides'!$S$4:$S$503,207)),TEXT(INDEX('Aides'!$S$4:$S$503,207),"yyyy-mm-dd"),"")</f>
        <v/>
      </c>
      <c r="F710">
        <f>"Training"</f>
        <v/>
      </c>
      <c r="G710">
        <f>"Medium"</f>
        <v/>
      </c>
      <c r="H710">
        <f>TRIM(IF(LEN(IF(LEN(INDEX('Aides'!$U$4:$U$503,207))=0,"",INDEX('Aides'!$U$4:$U$503,207)))=0,"","Owner: "&amp;IF(LEN(INDEX('Aides'!$U$4:$U$503,207))=0,"",INDEX('Aides'!$U$4:$U$503,207))&amp;". "))</f>
        <v/>
      </c>
      <c r="I710">
        <f>""</f>
        <v/>
      </c>
      <c r="J710">
        <f>IF(LEN(INDEX('Aides'!$V$4:$V$503,207))=0,"",INDEX('Aides'!$V$4:$V$503,207))</f>
        <v/>
      </c>
    </row>
    <row r="711">
      <c r="A711">
        <f>IF(AND(LEN('Aides'!A211)&gt;0,ISNUMBER('Aides'!S211)),1,0)</f>
        <v/>
      </c>
      <c r="B711">
        <f>B710+A711</f>
        <v/>
      </c>
      <c r="C711">
        <f>IF(708&gt;$B$1503,"",MATCH(708-0.5,$B$3:$B$1503,1))</f>
        <v/>
      </c>
      <c r="D711">
        <f>"CPR / First Aid – "&amp;IF(LEN(INDEX('Aides'!$A$4:$A$503,208))=0,"",INDEX('Aides'!$A$4:$A$503,208))</f>
        <v/>
      </c>
      <c r="E711">
        <f>IF(ISNUMBER(INDEX('Aides'!$S$4:$S$503,208)),TEXT(INDEX('Aides'!$S$4:$S$503,208),"yyyy-mm-dd"),"")</f>
        <v/>
      </c>
      <c r="F711">
        <f>"Training"</f>
        <v/>
      </c>
      <c r="G711">
        <f>"Medium"</f>
        <v/>
      </c>
      <c r="H711">
        <f>TRIM(IF(LEN(IF(LEN(INDEX('Aides'!$U$4:$U$503,208))=0,"",INDEX('Aides'!$U$4:$U$503,208)))=0,"","Owner: "&amp;IF(LEN(INDEX('Aides'!$U$4:$U$503,208))=0,"",INDEX('Aides'!$U$4:$U$503,208))&amp;". "))</f>
        <v/>
      </c>
      <c r="I711">
        <f>""</f>
        <v/>
      </c>
      <c r="J711">
        <f>IF(LEN(INDEX('Aides'!$V$4:$V$503,208))=0,"",INDEX('Aides'!$V$4:$V$503,208))</f>
        <v/>
      </c>
    </row>
    <row r="712">
      <c r="A712">
        <f>IF(AND(LEN('Aides'!A212)&gt;0,ISNUMBER('Aides'!S212)),1,0)</f>
        <v/>
      </c>
      <c r="B712">
        <f>B711+A712</f>
        <v/>
      </c>
      <c r="C712">
        <f>IF(709&gt;$B$1503,"",MATCH(709-0.5,$B$3:$B$1503,1))</f>
        <v/>
      </c>
      <c r="D712">
        <f>"CPR / First Aid – "&amp;IF(LEN(INDEX('Aides'!$A$4:$A$503,209))=0,"",INDEX('Aides'!$A$4:$A$503,209))</f>
        <v/>
      </c>
      <c r="E712">
        <f>IF(ISNUMBER(INDEX('Aides'!$S$4:$S$503,209)),TEXT(INDEX('Aides'!$S$4:$S$503,209),"yyyy-mm-dd"),"")</f>
        <v/>
      </c>
      <c r="F712">
        <f>"Training"</f>
        <v/>
      </c>
      <c r="G712">
        <f>"Medium"</f>
        <v/>
      </c>
      <c r="H712">
        <f>TRIM(IF(LEN(IF(LEN(INDEX('Aides'!$U$4:$U$503,209))=0,"",INDEX('Aides'!$U$4:$U$503,209)))=0,"","Owner: "&amp;IF(LEN(INDEX('Aides'!$U$4:$U$503,209))=0,"",INDEX('Aides'!$U$4:$U$503,209))&amp;". "))</f>
        <v/>
      </c>
      <c r="I712">
        <f>""</f>
        <v/>
      </c>
      <c r="J712">
        <f>IF(LEN(INDEX('Aides'!$V$4:$V$503,209))=0,"",INDEX('Aides'!$V$4:$V$503,209))</f>
        <v/>
      </c>
    </row>
    <row r="713">
      <c r="A713">
        <f>IF(AND(LEN('Aides'!A213)&gt;0,ISNUMBER('Aides'!S213)),1,0)</f>
        <v/>
      </c>
      <c r="B713">
        <f>B712+A713</f>
        <v/>
      </c>
      <c r="C713">
        <f>IF(710&gt;$B$1503,"",MATCH(710-0.5,$B$3:$B$1503,1))</f>
        <v/>
      </c>
      <c r="D713">
        <f>"CPR / First Aid – "&amp;IF(LEN(INDEX('Aides'!$A$4:$A$503,210))=0,"",INDEX('Aides'!$A$4:$A$503,210))</f>
        <v/>
      </c>
      <c r="E713">
        <f>IF(ISNUMBER(INDEX('Aides'!$S$4:$S$503,210)),TEXT(INDEX('Aides'!$S$4:$S$503,210),"yyyy-mm-dd"),"")</f>
        <v/>
      </c>
      <c r="F713">
        <f>"Training"</f>
        <v/>
      </c>
      <c r="G713">
        <f>"Medium"</f>
        <v/>
      </c>
      <c r="H713">
        <f>TRIM(IF(LEN(IF(LEN(INDEX('Aides'!$U$4:$U$503,210))=0,"",INDEX('Aides'!$U$4:$U$503,210)))=0,"","Owner: "&amp;IF(LEN(INDEX('Aides'!$U$4:$U$503,210))=0,"",INDEX('Aides'!$U$4:$U$503,210))&amp;". "))</f>
        <v/>
      </c>
      <c r="I713">
        <f>""</f>
        <v/>
      </c>
      <c r="J713">
        <f>IF(LEN(INDEX('Aides'!$V$4:$V$503,210))=0,"",INDEX('Aides'!$V$4:$V$503,210))</f>
        <v/>
      </c>
    </row>
    <row r="714">
      <c r="A714">
        <f>IF(AND(LEN('Aides'!A214)&gt;0,ISNUMBER('Aides'!S214)),1,0)</f>
        <v/>
      </c>
      <c r="B714">
        <f>B713+A714</f>
        <v/>
      </c>
      <c r="C714">
        <f>IF(711&gt;$B$1503,"",MATCH(711-0.5,$B$3:$B$1503,1))</f>
        <v/>
      </c>
      <c r="D714">
        <f>"CPR / First Aid – "&amp;IF(LEN(INDEX('Aides'!$A$4:$A$503,211))=0,"",INDEX('Aides'!$A$4:$A$503,211))</f>
        <v/>
      </c>
      <c r="E714">
        <f>IF(ISNUMBER(INDEX('Aides'!$S$4:$S$503,211)),TEXT(INDEX('Aides'!$S$4:$S$503,211),"yyyy-mm-dd"),"")</f>
        <v/>
      </c>
      <c r="F714">
        <f>"Training"</f>
        <v/>
      </c>
      <c r="G714">
        <f>"Medium"</f>
        <v/>
      </c>
      <c r="H714">
        <f>TRIM(IF(LEN(IF(LEN(INDEX('Aides'!$U$4:$U$503,211))=0,"",INDEX('Aides'!$U$4:$U$503,211)))=0,"","Owner: "&amp;IF(LEN(INDEX('Aides'!$U$4:$U$503,211))=0,"",INDEX('Aides'!$U$4:$U$503,211))&amp;". "))</f>
        <v/>
      </c>
      <c r="I714">
        <f>""</f>
        <v/>
      </c>
      <c r="J714">
        <f>IF(LEN(INDEX('Aides'!$V$4:$V$503,211))=0,"",INDEX('Aides'!$V$4:$V$503,211))</f>
        <v/>
      </c>
    </row>
    <row r="715">
      <c r="A715">
        <f>IF(AND(LEN('Aides'!A215)&gt;0,ISNUMBER('Aides'!S215)),1,0)</f>
        <v/>
      </c>
      <c r="B715">
        <f>B714+A715</f>
        <v/>
      </c>
      <c r="C715">
        <f>IF(712&gt;$B$1503,"",MATCH(712-0.5,$B$3:$B$1503,1))</f>
        <v/>
      </c>
      <c r="D715">
        <f>"CPR / First Aid – "&amp;IF(LEN(INDEX('Aides'!$A$4:$A$503,212))=0,"",INDEX('Aides'!$A$4:$A$503,212))</f>
        <v/>
      </c>
      <c r="E715">
        <f>IF(ISNUMBER(INDEX('Aides'!$S$4:$S$503,212)),TEXT(INDEX('Aides'!$S$4:$S$503,212),"yyyy-mm-dd"),"")</f>
        <v/>
      </c>
      <c r="F715">
        <f>"Training"</f>
        <v/>
      </c>
      <c r="G715">
        <f>"Medium"</f>
        <v/>
      </c>
      <c r="H715">
        <f>TRIM(IF(LEN(IF(LEN(INDEX('Aides'!$U$4:$U$503,212))=0,"",INDEX('Aides'!$U$4:$U$503,212)))=0,"","Owner: "&amp;IF(LEN(INDEX('Aides'!$U$4:$U$503,212))=0,"",INDEX('Aides'!$U$4:$U$503,212))&amp;". "))</f>
        <v/>
      </c>
      <c r="I715">
        <f>""</f>
        <v/>
      </c>
      <c r="J715">
        <f>IF(LEN(INDEX('Aides'!$V$4:$V$503,212))=0,"",INDEX('Aides'!$V$4:$V$503,212))</f>
        <v/>
      </c>
    </row>
    <row r="716">
      <c r="A716">
        <f>IF(AND(LEN('Aides'!A216)&gt;0,ISNUMBER('Aides'!S216)),1,0)</f>
        <v/>
      </c>
      <c r="B716">
        <f>B715+A716</f>
        <v/>
      </c>
      <c r="C716">
        <f>IF(713&gt;$B$1503,"",MATCH(713-0.5,$B$3:$B$1503,1))</f>
        <v/>
      </c>
      <c r="D716">
        <f>"CPR / First Aid – "&amp;IF(LEN(INDEX('Aides'!$A$4:$A$503,213))=0,"",INDEX('Aides'!$A$4:$A$503,213))</f>
        <v/>
      </c>
      <c r="E716">
        <f>IF(ISNUMBER(INDEX('Aides'!$S$4:$S$503,213)),TEXT(INDEX('Aides'!$S$4:$S$503,213),"yyyy-mm-dd"),"")</f>
        <v/>
      </c>
      <c r="F716">
        <f>"Training"</f>
        <v/>
      </c>
      <c r="G716">
        <f>"Medium"</f>
        <v/>
      </c>
      <c r="H716">
        <f>TRIM(IF(LEN(IF(LEN(INDEX('Aides'!$U$4:$U$503,213))=0,"",INDEX('Aides'!$U$4:$U$503,213)))=0,"","Owner: "&amp;IF(LEN(INDEX('Aides'!$U$4:$U$503,213))=0,"",INDEX('Aides'!$U$4:$U$503,213))&amp;". "))</f>
        <v/>
      </c>
      <c r="I716">
        <f>""</f>
        <v/>
      </c>
      <c r="J716">
        <f>IF(LEN(INDEX('Aides'!$V$4:$V$503,213))=0,"",INDEX('Aides'!$V$4:$V$503,213))</f>
        <v/>
      </c>
    </row>
    <row r="717">
      <c r="A717">
        <f>IF(AND(LEN('Aides'!A217)&gt;0,ISNUMBER('Aides'!S217)),1,0)</f>
        <v/>
      </c>
      <c r="B717">
        <f>B716+A717</f>
        <v/>
      </c>
      <c r="C717">
        <f>IF(714&gt;$B$1503,"",MATCH(714-0.5,$B$3:$B$1503,1))</f>
        <v/>
      </c>
      <c r="D717">
        <f>"CPR / First Aid – "&amp;IF(LEN(INDEX('Aides'!$A$4:$A$503,214))=0,"",INDEX('Aides'!$A$4:$A$503,214))</f>
        <v/>
      </c>
      <c r="E717">
        <f>IF(ISNUMBER(INDEX('Aides'!$S$4:$S$503,214)),TEXT(INDEX('Aides'!$S$4:$S$503,214),"yyyy-mm-dd"),"")</f>
        <v/>
      </c>
      <c r="F717">
        <f>"Training"</f>
        <v/>
      </c>
      <c r="G717">
        <f>"Medium"</f>
        <v/>
      </c>
      <c r="H717">
        <f>TRIM(IF(LEN(IF(LEN(INDEX('Aides'!$U$4:$U$503,214))=0,"",INDEX('Aides'!$U$4:$U$503,214)))=0,"","Owner: "&amp;IF(LEN(INDEX('Aides'!$U$4:$U$503,214))=0,"",INDEX('Aides'!$U$4:$U$503,214))&amp;". "))</f>
        <v/>
      </c>
      <c r="I717">
        <f>""</f>
        <v/>
      </c>
      <c r="J717">
        <f>IF(LEN(INDEX('Aides'!$V$4:$V$503,214))=0,"",INDEX('Aides'!$V$4:$V$503,214))</f>
        <v/>
      </c>
    </row>
    <row r="718">
      <c r="A718">
        <f>IF(AND(LEN('Aides'!A218)&gt;0,ISNUMBER('Aides'!S218)),1,0)</f>
        <v/>
      </c>
      <c r="B718">
        <f>B717+A718</f>
        <v/>
      </c>
      <c r="C718">
        <f>IF(715&gt;$B$1503,"",MATCH(715-0.5,$B$3:$B$1503,1))</f>
        <v/>
      </c>
      <c r="D718">
        <f>"CPR / First Aid – "&amp;IF(LEN(INDEX('Aides'!$A$4:$A$503,215))=0,"",INDEX('Aides'!$A$4:$A$503,215))</f>
        <v/>
      </c>
      <c r="E718">
        <f>IF(ISNUMBER(INDEX('Aides'!$S$4:$S$503,215)),TEXT(INDEX('Aides'!$S$4:$S$503,215),"yyyy-mm-dd"),"")</f>
        <v/>
      </c>
      <c r="F718">
        <f>"Training"</f>
        <v/>
      </c>
      <c r="G718">
        <f>"Medium"</f>
        <v/>
      </c>
      <c r="H718">
        <f>TRIM(IF(LEN(IF(LEN(INDEX('Aides'!$U$4:$U$503,215))=0,"",INDEX('Aides'!$U$4:$U$503,215)))=0,"","Owner: "&amp;IF(LEN(INDEX('Aides'!$U$4:$U$503,215))=0,"",INDEX('Aides'!$U$4:$U$503,215))&amp;". "))</f>
        <v/>
      </c>
      <c r="I718">
        <f>""</f>
        <v/>
      </c>
      <c r="J718">
        <f>IF(LEN(INDEX('Aides'!$V$4:$V$503,215))=0,"",INDEX('Aides'!$V$4:$V$503,215))</f>
        <v/>
      </c>
    </row>
    <row r="719">
      <c r="A719">
        <f>IF(AND(LEN('Aides'!A219)&gt;0,ISNUMBER('Aides'!S219)),1,0)</f>
        <v/>
      </c>
      <c r="B719">
        <f>B718+A719</f>
        <v/>
      </c>
      <c r="C719">
        <f>IF(716&gt;$B$1503,"",MATCH(716-0.5,$B$3:$B$1503,1))</f>
        <v/>
      </c>
      <c r="D719">
        <f>"CPR / First Aid – "&amp;IF(LEN(INDEX('Aides'!$A$4:$A$503,216))=0,"",INDEX('Aides'!$A$4:$A$503,216))</f>
        <v/>
      </c>
      <c r="E719">
        <f>IF(ISNUMBER(INDEX('Aides'!$S$4:$S$503,216)),TEXT(INDEX('Aides'!$S$4:$S$503,216),"yyyy-mm-dd"),"")</f>
        <v/>
      </c>
      <c r="F719">
        <f>"Training"</f>
        <v/>
      </c>
      <c r="G719">
        <f>"Medium"</f>
        <v/>
      </c>
      <c r="H719">
        <f>TRIM(IF(LEN(IF(LEN(INDEX('Aides'!$U$4:$U$503,216))=0,"",INDEX('Aides'!$U$4:$U$503,216)))=0,"","Owner: "&amp;IF(LEN(INDEX('Aides'!$U$4:$U$503,216))=0,"",INDEX('Aides'!$U$4:$U$503,216))&amp;". "))</f>
        <v/>
      </c>
      <c r="I719">
        <f>""</f>
        <v/>
      </c>
      <c r="J719">
        <f>IF(LEN(INDEX('Aides'!$V$4:$V$503,216))=0,"",INDEX('Aides'!$V$4:$V$503,216))</f>
        <v/>
      </c>
    </row>
    <row r="720">
      <c r="A720">
        <f>IF(AND(LEN('Aides'!A220)&gt;0,ISNUMBER('Aides'!S220)),1,0)</f>
        <v/>
      </c>
      <c r="B720">
        <f>B719+A720</f>
        <v/>
      </c>
      <c r="C720">
        <f>IF(717&gt;$B$1503,"",MATCH(717-0.5,$B$3:$B$1503,1))</f>
        <v/>
      </c>
      <c r="D720">
        <f>"CPR / First Aid – "&amp;IF(LEN(INDEX('Aides'!$A$4:$A$503,217))=0,"",INDEX('Aides'!$A$4:$A$503,217))</f>
        <v/>
      </c>
      <c r="E720">
        <f>IF(ISNUMBER(INDEX('Aides'!$S$4:$S$503,217)),TEXT(INDEX('Aides'!$S$4:$S$503,217),"yyyy-mm-dd"),"")</f>
        <v/>
      </c>
      <c r="F720">
        <f>"Training"</f>
        <v/>
      </c>
      <c r="G720">
        <f>"Medium"</f>
        <v/>
      </c>
      <c r="H720">
        <f>TRIM(IF(LEN(IF(LEN(INDEX('Aides'!$U$4:$U$503,217))=0,"",INDEX('Aides'!$U$4:$U$503,217)))=0,"","Owner: "&amp;IF(LEN(INDEX('Aides'!$U$4:$U$503,217))=0,"",INDEX('Aides'!$U$4:$U$503,217))&amp;". "))</f>
        <v/>
      </c>
      <c r="I720">
        <f>""</f>
        <v/>
      </c>
      <c r="J720">
        <f>IF(LEN(INDEX('Aides'!$V$4:$V$503,217))=0,"",INDEX('Aides'!$V$4:$V$503,217))</f>
        <v/>
      </c>
    </row>
    <row r="721">
      <c r="A721">
        <f>IF(AND(LEN('Aides'!A221)&gt;0,ISNUMBER('Aides'!S221)),1,0)</f>
        <v/>
      </c>
      <c r="B721">
        <f>B720+A721</f>
        <v/>
      </c>
      <c r="C721">
        <f>IF(718&gt;$B$1503,"",MATCH(718-0.5,$B$3:$B$1503,1))</f>
        <v/>
      </c>
      <c r="D721">
        <f>"CPR / First Aid – "&amp;IF(LEN(INDEX('Aides'!$A$4:$A$503,218))=0,"",INDEX('Aides'!$A$4:$A$503,218))</f>
        <v/>
      </c>
      <c r="E721">
        <f>IF(ISNUMBER(INDEX('Aides'!$S$4:$S$503,218)),TEXT(INDEX('Aides'!$S$4:$S$503,218),"yyyy-mm-dd"),"")</f>
        <v/>
      </c>
      <c r="F721">
        <f>"Training"</f>
        <v/>
      </c>
      <c r="G721">
        <f>"Medium"</f>
        <v/>
      </c>
      <c r="H721">
        <f>TRIM(IF(LEN(IF(LEN(INDEX('Aides'!$U$4:$U$503,218))=0,"",INDEX('Aides'!$U$4:$U$503,218)))=0,"","Owner: "&amp;IF(LEN(INDEX('Aides'!$U$4:$U$503,218))=0,"",INDEX('Aides'!$U$4:$U$503,218))&amp;". "))</f>
        <v/>
      </c>
      <c r="I721">
        <f>""</f>
        <v/>
      </c>
      <c r="J721">
        <f>IF(LEN(INDEX('Aides'!$V$4:$V$503,218))=0,"",INDEX('Aides'!$V$4:$V$503,218))</f>
        <v/>
      </c>
    </row>
    <row r="722">
      <c r="A722">
        <f>IF(AND(LEN('Aides'!A222)&gt;0,ISNUMBER('Aides'!S222)),1,0)</f>
        <v/>
      </c>
      <c r="B722">
        <f>B721+A722</f>
        <v/>
      </c>
      <c r="C722">
        <f>IF(719&gt;$B$1503,"",MATCH(719-0.5,$B$3:$B$1503,1))</f>
        <v/>
      </c>
      <c r="D722">
        <f>"CPR / First Aid – "&amp;IF(LEN(INDEX('Aides'!$A$4:$A$503,219))=0,"",INDEX('Aides'!$A$4:$A$503,219))</f>
        <v/>
      </c>
      <c r="E722">
        <f>IF(ISNUMBER(INDEX('Aides'!$S$4:$S$503,219)),TEXT(INDEX('Aides'!$S$4:$S$503,219),"yyyy-mm-dd"),"")</f>
        <v/>
      </c>
      <c r="F722">
        <f>"Training"</f>
        <v/>
      </c>
      <c r="G722">
        <f>"Medium"</f>
        <v/>
      </c>
      <c r="H722">
        <f>TRIM(IF(LEN(IF(LEN(INDEX('Aides'!$U$4:$U$503,219))=0,"",INDEX('Aides'!$U$4:$U$503,219)))=0,"","Owner: "&amp;IF(LEN(INDEX('Aides'!$U$4:$U$503,219))=0,"",INDEX('Aides'!$U$4:$U$503,219))&amp;". "))</f>
        <v/>
      </c>
      <c r="I722">
        <f>""</f>
        <v/>
      </c>
      <c r="J722">
        <f>IF(LEN(INDEX('Aides'!$V$4:$V$503,219))=0,"",INDEX('Aides'!$V$4:$V$503,219))</f>
        <v/>
      </c>
    </row>
    <row r="723">
      <c r="A723">
        <f>IF(AND(LEN('Aides'!A223)&gt;0,ISNUMBER('Aides'!S223)),1,0)</f>
        <v/>
      </c>
      <c r="B723">
        <f>B722+A723</f>
        <v/>
      </c>
      <c r="C723">
        <f>IF(720&gt;$B$1503,"",MATCH(720-0.5,$B$3:$B$1503,1))</f>
        <v/>
      </c>
      <c r="D723">
        <f>"CPR / First Aid – "&amp;IF(LEN(INDEX('Aides'!$A$4:$A$503,220))=0,"",INDEX('Aides'!$A$4:$A$503,220))</f>
        <v/>
      </c>
      <c r="E723">
        <f>IF(ISNUMBER(INDEX('Aides'!$S$4:$S$503,220)),TEXT(INDEX('Aides'!$S$4:$S$503,220),"yyyy-mm-dd"),"")</f>
        <v/>
      </c>
      <c r="F723">
        <f>"Training"</f>
        <v/>
      </c>
      <c r="G723">
        <f>"Medium"</f>
        <v/>
      </c>
      <c r="H723">
        <f>TRIM(IF(LEN(IF(LEN(INDEX('Aides'!$U$4:$U$503,220))=0,"",INDEX('Aides'!$U$4:$U$503,220)))=0,"","Owner: "&amp;IF(LEN(INDEX('Aides'!$U$4:$U$503,220))=0,"",INDEX('Aides'!$U$4:$U$503,220))&amp;". "))</f>
        <v/>
      </c>
      <c r="I723">
        <f>""</f>
        <v/>
      </c>
      <c r="J723">
        <f>IF(LEN(INDEX('Aides'!$V$4:$V$503,220))=0,"",INDEX('Aides'!$V$4:$V$503,220))</f>
        <v/>
      </c>
    </row>
    <row r="724">
      <c r="A724">
        <f>IF(AND(LEN('Aides'!A224)&gt;0,ISNUMBER('Aides'!S224)),1,0)</f>
        <v/>
      </c>
      <c r="B724">
        <f>B723+A724</f>
        <v/>
      </c>
      <c r="C724">
        <f>IF(721&gt;$B$1503,"",MATCH(721-0.5,$B$3:$B$1503,1))</f>
        <v/>
      </c>
      <c r="D724">
        <f>"CPR / First Aid – "&amp;IF(LEN(INDEX('Aides'!$A$4:$A$503,221))=0,"",INDEX('Aides'!$A$4:$A$503,221))</f>
        <v/>
      </c>
      <c r="E724">
        <f>IF(ISNUMBER(INDEX('Aides'!$S$4:$S$503,221)),TEXT(INDEX('Aides'!$S$4:$S$503,221),"yyyy-mm-dd"),"")</f>
        <v/>
      </c>
      <c r="F724">
        <f>"Training"</f>
        <v/>
      </c>
      <c r="G724">
        <f>"Medium"</f>
        <v/>
      </c>
      <c r="H724">
        <f>TRIM(IF(LEN(IF(LEN(INDEX('Aides'!$U$4:$U$503,221))=0,"",INDEX('Aides'!$U$4:$U$503,221)))=0,"","Owner: "&amp;IF(LEN(INDEX('Aides'!$U$4:$U$503,221))=0,"",INDEX('Aides'!$U$4:$U$503,221))&amp;". "))</f>
        <v/>
      </c>
      <c r="I724">
        <f>""</f>
        <v/>
      </c>
      <c r="J724">
        <f>IF(LEN(INDEX('Aides'!$V$4:$V$503,221))=0,"",INDEX('Aides'!$V$4:$V$503,221))</f>
        <v/>
      </c>
    </row>
    <row r="725">
      <c r="A725">
        <f>IF(AND(LEN('Aides'!A225)&gt;0,ISNUMBER('Aides'!S225)),1,0)</f>
        <v/>
      </c>
      <c r="B725">
        <f>B724+A725</f>
        <v/>
      </c>
      <c r="C725">
        <f>IF(722&gt;$B$1503,"",MATCH(722-0.5,$B$3:$B$1503,1))</f>
        <v/>
      </c>
      <c r="D725">
        <f>"CPR / First Aid – "&amp;IF(LEN(INDEX('Aides'!$A$4:$A$503,222))=0,"",INDEX('Aides'!$A$4:$A$503,222))</f>
        <v/>
      </c>
      <c r="E725">
        <f>IF(ISNUMBER(INDEX('Aides'!$S$4:$S$503,222)),TEXT(INDEX('Aides'!$S$4:$S$503,222),"yyyy-mm-dd"),"")</f>
        <v/>
      </c>
      <c r="F725">
        <f>"Training"</f>
        <v/>
      </c>
      <c r="G725">
        <f>"Medium"</f>
        <v/>
      </c>
      <c r="H725">
        <f>TRIM(IF(LEN(IF(LEN(INDEX('Aides'!$U$4:$U$503,222))=0,"",INDEX('Aides'!$U$4:$U$503,222)))=0,"","Owner: "&amp;IF(LEN(INDEX('Aides'!$U$4:$U$503,222))=0,"",INDEX('Aides'!$U$4:$U$503,222))&amp;". "))</f>
        <v/>
      </c>
      <c r="I725">
        <f>""</f>
        <v/>
      </c>
      <c r="J725">
        <f>IF(LEN(INDEX('Aides'!$V$4:$V$503,222))=0,"",INDEX('Aides'!$V$4:$V$503,222))</f>
        <v/>
      </c>
    </row>
    <row r="726">
      <c r="A726">
        <f>IF(AND(LEN('Aides'!A226)&gt;0,ISNUMBER('Aides'!S226)),1,0)</f>
        <v/>
      </c>
      <c r="B726">
        <f>B725+A726</f>
        <v/>
      </c>
      <c r="C726">
        <f>IF(723&gt;$B$1503,"",MATCH(723-0.5,$B$3:$B$1503,1))</f>
        <v/>
      </c>
      <c r="D726">
        <f>"CPR / First Aid – "&amp;IF(LEN(INDEX('Aides'!$A$4:$A$503,223))=0,"",INDEX('Aides'!$A$4:$A$503,223))</f>
        <v/>
      </c>
      <c r="E726">
        <f>IF(ISNUMBER(INDEX('Aides'!$S$4:$S$503,223)),TEXT(INDEX('Aides'!$S$4:$S$503,223),"yyyy-mm-dd"),"")</f>
        <v/>
      </c>
      <c r="F726">
        <f>"Training"</f>
        <v/>
      </c>
      <c r="G726">
        <f>"Medium"</f>
        <v/>
      </c>
      <c r="H726">
        <f>TRIM(IF(LEN(IF(LEN(INDEX('Aides'!$U$4:$U$503,223))=0,"",INDEX('Aides'!$U$4:$U$503,223)))=0,"","Owner: "&amp;IF(LEN(INDEX('Aides'!$U$4:$U$503,223))=0,"",INDEX('Aides'!$U$4:$U$503,223))&amp;". "))</f>
        <v/>
      </c>
      <c r="I726">
        <f>""</f>
        <v/>
      </c>
      <c r="J726">
        <f>IF(LEN(INDEX('Aides'!$V$4:$V$503,223))=0,"",INDEX('Aides'!$V$4:$V$503,223))</f>
        <v/>
      </c>
    </row>
    <row r="727">
      <c r="A727">
        <f>IF(AND(LEN('Aides'!A227)&gt;0,ISNUMBER('Aides'!S227)),1,0)</f>
        <v/>
      </c>
      <c r="B727">
        <f>B726+A727</f>
        <v/>
      </c>
      <c r="C727">
        <f>IF(724&gt;$B$1503,"",MATCH(724-0.5,$B$3:$B$1503,1))</f>
        <v/>
      </c>
      <c r="D727">
        <f>"CPR / First Aid – "&amp;IF(LEN(INDEX('Aides'!$A$4:$A$503,224))=0,"",INDEX('Aides'!$A$4:$A$503,224))</f>
        <v/>
      </c>
      <c r="E727">
        <f>IF(ISNUMBER(INDEX('Aides'!$S$4:$S$503,224)),TEXT(INDEX('Aides'!$S$4:$S$503,224),"yyyy-mm-dd"),"")</f>
        <v/>
      </c>
      <c r="F727">
        <f>"Training"</f>
        <v/>
      </c>
      <c r="G727">
        <f>"Medium"</f>
        <v/>
      </c>
      <c r="H727">
        <f>TRIM(IF(LEN(IF(LEN(INDEX('Aides'!$U$4:$U$503,224))=0,"",INDEX('Aides'!$U$4:$U$503,224)))=0,"","Owner: "&amp;IF(LEN(INDEX('Aides'!$U$4:$U$503,224))=0,"",INDEX('Aides'!$U$4:$U$503,224))&amp;". "))</f>
        <v/>
      </c>
      <c r="I727">
        <f>""</f>
        <v/>
      </c>
      <c r="J727">
        <f>IF(LEN(INDEX('Aides'!$V$4:$V$503,224))=0,"",INDEX('Aides'!$V$4:$V$503,224))</f>
        <v/>
      </c>
    </row>
    <row r="728">
      <c r="A728">
        <f>IF(AND(LEN('Aides'!A228)&gt;0,ISNUMBER('Aides'!S228)),1,0)</f>
        <v/>
      </c>
      <c r="B728">
        <f>B727+A728</f>
        <v/>
      </c>
      <c r="C728">
        <f>IF(725&gt;$B$1503,"",MATCH(725-0.5,$B$3:$B$1503,1))</f>
        <v/>
      </c>
      <c r="D728">
        <f>"CPR / First Aid – "&amp;IF(LEN(INDEX('Aides'!$A$4:$A$503,225))=0,"",INDEX('Aides'!$A$4:$A$503,225))</f>
        <v/>
      </c>
      <c r="E728">
        <f>IF(ISNUMBER(INDEX('Aides'!$S$4:$S$503,225)),TEXT(INDEX('Aides'!$S$4:$S$503,225),"yyyy-mm-dd"),"")</f>
        <v/>
      </c>
      <c r="F728">
        <f>"Training"</f>
        <v/>
      </c>
      <c r="G728">
        <f>"Medium"</f>
        <v/>
      </c>
      <c r="H728">
        <f>TRIM(IF(LEN(IF(LEN(INDEX('Aides'!$U$4:$U$503,225))=0,"",INDEX('Aides'!$U$4:$U$503,225)))=0,"","Owner: "&amp;IF(LEN(INDEX('Aides'!$U$4:$U$503,225))=0,"",INDEX('Aides'!$U$4:$U$503,225))&amp;". "))</f>
        <v/>
      </c>
      <c r="I728">
        <f>""</f>
        <v/>
      </c>
      <c r="J728">
        <f>IF(LEN(INDEX('Aides'!$V$4:$V$503,225))=0,"",INDEX('Aides'!$V$4:$V$503,225))</f>
        <v/>
      </c>
    </row>
    <row r="729">
      <c r="A729">
        <f>IF(AND(LEN('Aides'!A229)&gt;0,ISNUMBER('Aides'!S229)),1,0)</f>
        <v/>
      </c>
      <c r="B729">
        <f>B728+A729</f>
        <v/>
      </c>
      <c r="C729">
        <f>IF(726&gt;$B$1503,"",MATCH(726-0.5,$B$3:$B$1503,1))</f>
        <v/>
      </c>
      <c r="D729">
        <f>"CPR / First Aid – "&amp;IF(LEN(INDEX('Aides'!$A$4:$A$503,226))=0,"",INDEX('Aides'!$A$4:$A$503,226))</f>
        <v/>
      </c>
      <c r="E729">
        <f>IF(ISNUMBER(INDEX('Aides'!$S$4:$S$503,226)),TEXT(INDEX('Aides'!$S$4:$S$503,226),"yyyy-mm-dd"),"")</f>
        <v/>
      </c>
      <c r="F729">
        <f>"Training"</f>
        <v/>
      </c>
      <c r="G729">
        <f>"Medium"</f>
        <v/>
      </c>
      <c r="H729">
        <f>TRIM(IF(LEN(IF(LEN(INDEX('Aides'!$U$4:$U$503,226))=0,"",INDEX('Aides'!$U$4:$U$503,226)))=0,"","Owner: "&amp;IF(LEN(INDEX('Aides'!$U$4:$U$503,226))=0,"",INDEX('Aides'!$U$4:$U$503,226))&amp;". "))</f>
        <v/>
      </c>
      <c r="I729">
        <f>""</f>
        <v/>
      </c>
      <c r="J729">
        <f>IF(LEN(INDEX('Aides'!$V$4:$V$503,226))=0,"",INDEX('Aides'!$V$4:$V$503,226))</f>
        <v/>
      </c>
    </row>
    <row r="730">
      <c r="A730">
        <f>IF(AND(LEN('Aides'!A230)&gt;0,ISNUMBER('Aides'!S230)),1,0)</f>
        <v/>
      </c>
      <c r="B730">
        <f>B729+A730</f>
        <v/>
      </c>
      <c r="C730">
        <f>IF(727&gt;$B$1503,"",MATCH(727-0.5,$B$3:$B$1503,1))</f>
        <v/>
      </c>
      <c r="D730">
        <f>"CPR / First Aid – "&amp;IF(LEN(INDEX('Aides'!$A$4:$A$503,227))=0,"",INDEX('Aides'!$A$4:$A$503,227))</f>
        <v/>
      </c>
      <c r="E730">
        <f>IF(ISNUMBER(INDEX('Aides'!$S$4:$S$503,227)),TEXT(INDEX('Aides'!$S$4:$S$503,227),"yyyy-mm-dd"),"")</f>
        <v/>
      </c>
      <c r="F730">
        <f>"Training"</f>
        <v/>
      </c>
      <c r="G730">
        <f>"Medium"</f>
        <v/>
      </c>
      <c r="H730">
        <f>TRIM(IF(LEN(IF(LEN(INDEX('Aides'!$U$4:$U$503,227))=0,"",INDEX('Aides'!$U$4:$U$503,227)))=0,"","Owner: "&amp;IF(LEN(INDEX('Aides'!$U$4:$U$503,227))=0,"",INDEX('Aides'!$U$4:$U$503,227))&amp;". "))</f>
        <v/>
      </c>
      <c r="I730">
        <f>""</f>
        <v/>
      </c>
      <c r="J730">
        <f>IF(LEN(INDEX('Aides'!$V$4:$V$503,227))=0,"",INDEX('Aides'!$V$4:$V$503,227))</f>
        <v/>
      </c>
    </row>
    <row r="731">
      <c r="A731">
        <f>IF(AND(LEN('Aides'!A231)&gt;0,ISNUMBER('Aides'!S231)),1,0)</f>
        <v/>
      </c>
      <c r="B731">
        <f>B730+A731</f>
        <v/>
      </c>
      <c r="C731">
        <f>IF(728&gt;$B$1503,"",MATCH(728-0.5,$B$3:$B$1503,1))</f>
        <v/>
      </c>
      <c r="D731">
        <f>"CPR / First Aid – "&amp;IF(LEN(INDEX('Aides'!$A$4:$A$503,228))=0,"",INDEX('Aides'!$A$4:$A$503,228))</f>
        <v/>
      </c>
      <c r="E731">
        <f>IF(ISNUMBER(INDEX('Aides'!$S$4:$S$503,228)),TEXT(INDEX('Aides'!$S$4:$S$503,228),"yyyy-mm-dd"),"")</f>
        <v/>
      </c>
      <c r="F731">
        <f>"Training"</f>
        <v/>
      </c>
      <c r="G731">
        <f>"Medium"</f>
        <v/>
      </c>
      <c r="H731">
        <f>TRIM(IF(LEN(IF(LEN(INDEX('Aides'!$U$4:$U$503,228))=0,"",INDEX('Aides'!$U$4:$U$503,228)))=0,"","Owner: "&amp;IF(LEN(INDEX('Aides'!$U$4:$U$503,228))=0,"",INDEX('Aides'!$U$4:$U$503,228))&amp;". "))</f>
        <v/>
      </c>
      <c r="I731">
        <f>""</f>
        <v/>
      </c>
      <c r="J731">
        <f>IF(LEN(INDEX('Aides'!$V$4:$V$503,228))=0,"",INDEX('Aides'!$V$4:$V$503,228))</f>
        <v/>
      </c>
    </row>
    <row r="732">
      <c r="A732">
        <f>IF(AND(LEN('Aides'!A232)&gt;0,ISNUMBER('Aides'!S232)),1,0)</f>
        <v/>
      </c>
      <c r="B732">
        <f>B731+A732</f>
        <v/>
      </c>
      <c r="C732">
        <f>IF(729&gt;$B$1503,"",MATCH(729-0.5,$B$3:$B$1503,1))</f>
        <v/>
      </c>
      <c r="D732">
        <f>"CPR / First Aid – "&amp;IF(LEN(INDEX('Aides'!$A$4:$A$503,229))=0,"",INDEX('Aides'!$A$4:$A$503,229))</f>
        <v/>
      </c>
      <c r="E732">
        <f>IF(ISNUMBER(INDEX('Aides'!$S$4:$S$503,229)),TEXT(INDEX('Aides'!$S$4:$S$503,229),"yyyy-mm-dd"),"")</f>
        <v/>
      </c>
      <c r="F732">
        <f>"Training"</f>
        <v/>
      </c>
      <c r="G732">
        <f>"Medium"</f>
        <v/>
      </c>
      <c r="H732">
        <f>TRIM(IF(LEN(IF(LEN(INDEX('Aides'!$U$4:$U$503,229))=0,"",INDEX('Aides'!$U$4:$U$503,229)))=0,"","Owner: "&amp;IF(LEN(INDEX('Aides'!$U$4:$U$503,229))=0,"",INDEX('Aides'!$U$4:$U$503,229))&amp;". "))</f>
        <v/>
      </c>
      <c r="I732">
        <f>""</f>
        <v/>
      </c>
      <c r="J732">
        <f>IF(LEN(INDEX('Aides'!$V$4:$V$503,229))=0,"",INDEX('Aides'!$V$4:$V$503,229))</f>
        <v/>
      </c>
    </row>
    <row r="733">
      <c r="A733">
        <f>IF(AND(LEN('Aides'!A233)&gt;0,ISNUMBER('Aides'!S233)),1,0)</f>
        <v/>
      </c>
      <c r="B733">
        <f>B732+A733</f>
        <v/>
      </c>
      <c r="C733">
        <f>IF(730&gt;$B$1503,"",MATCH(730-0.5,$B$3:$B$1503,1))</f>
        <v/>
      </c>
      <c r="D733">
        <f>"CPR / First Aid – "&amp;IF(LEN(INDEX('Aides'!$A$4:$A$503,230))=0,"",INDEX('Aides'!$A$4:$A$503,230))</f>
        <v/>
      </c>
      <c r="E733">
        <f>IF(ISNUMBER(INDEX('Aides'!$S$4:$S$503,230)),TEXT(INDEX('Aides'!$S$4:$S$503,230),"yyyy-mm-dd"),"")</f>
        <v/>
      </c>
      <c r="F733">
        <f>"Training"</f>
        <v/>
      </c>
      <c r="G733">
        <f>"Medium"</f>
        <v/>
      </c>
      <c r="H733">
        <f>TRIM(IF(LEN(IF(LEN(INDEX('Aides'!$U$4:$U$503,230))=0,"",INDEX('Aides'!$U$4:$U$503,230)))=0,"","Owner: "&amp;IF(LEN(INDEX('Aides'!$U$4:$U$503,230))=0,"",INDEX('Aides'!$U$4:$U$503,230))&amp;". "))</f>
        <v/>
      </c>
      <c r="I733">
        <f>""</f>
        <v/>
      </c>
      <c r="J733">
        <f>IF(LEN(INDEX('Aides'!$V$4:$V$503,230))=0,"",INDEX('Aides'!$V$4:$V$503,230))</f>
        <v/>
      </c>
    </row>
    <row r="734">
      <c r="A734">
        <f>IF(AND(LEN('Aides'!A234)&gt;0,ISNUMBER('Aides'!S234)),1,0)</f>
        <v/>
      </c>
      <c r="B734">
        <f>B733+A734</f>
        <v/>
      </c>
      <c r="C734">
        <f>IF(731&gt;$B$1503,"",MATCH(731-0.5,$B$3:$B$1503,1))</f>
        <v/>
      </c>
      <c r="D734">
        <f>"CPR / First Aid – "&amp;IF(LEN(INDEX('Aides'!$A$4:$A$503,231))=0,"",INDEX('Aides'!$A$4:$A$503,231))</f>
        <v/>
      </c>
      <c r="E734">
        <f>IF(ISNUMBER(INDEX('Aides'!$S$4:$S$503,231)),TEXT(INDEX('Aides'!$S$4:$S$503,231),"yyyy-mm-dd"),"")</f>
        <v/>
      </c>
      <c r="F734">
        <f>"Training"</f>
        <v/>
      </c>
      <c r="G734">
        <f>"Medium"</f>
        <v/>
      </c>
      <c r="H734">
        <f>TRIM(IF(LEN(IF(LEN(INDEX('Aides'!$U$4:$U$503,231))=0,"",INDEX('Aides'!$U$4:$U$503,231)))=0,"","Owner: "&amp;IF(LEN(INDEX('Aides'!$U$4:$U$503,231))=0,"",INDEX('Aides'!$U$4:$U$503,231))&amp;". "))</f>
        <v/>
      </c>
      <c r="I734">
        <f>""</f>
        <v/>
      </c>
      <c r="J734">
        <f>IF(LEN(INDEX('Aides'!$V$4:$V$503,231))=0,"",INDEX('Aides'!$V$4:$V$503,231))</f>
        <v/>
      </c>
    </row>
    <row r="735">
      <c r="A735">
        <f>IF(AND(LEN('Aides'!A235)&gt;0,ISNUMBER('Aides'!S235)),1,0)</f>
        <v/>
      </c>
      <c r="B735">
        <f>B734+A735</f>
        <v/>
      </c>
      <c r="C735">
        <f>IF(732&gt;$B$1503,"",MATCH(732-0.5,$B$3:$B$1503,1))</f>
        <v/>
      </c>
      <c r="D735">
        <f>"CPR / First Aid – "&amp;IF(LEN(INDEX('Aides'!$A$4:$A$503,232))=0,"",INDEX('Aides'!$A$4:$A$503,232))</f>
        <v/>
      </c>
      <c r="E735">
        <f>IF(ISNUMBER(INDEX('Aides'!$S$4:$S$503,232)),TEXT(INDEX('Aides'!$S$4:$S$503,232),"yyyy-mm-dd"),"")</f>
        <v/>
      </c>
      <c r="F735">
        <f>"Training"</f>
        <v/>
      </c>
      <c r="G735">
        <f>"Medium"</f>
        <v/>
      </c>
      <c r="H735">
        <f>TRIM(IF(LEN(IF(LEN(INDEX('Aides'!$U$4:$U$503,232))=0,"",INDEX('Aides'!$U$4:$U$503,232)))=0,"","Owner: "&amp;IF(LEN(INDEX('Aides'!$U$4:$U$503,232))=0,"",INDEX('Aides'!$U$4:$U$503,232))&amp;". "))</f>
        <v/>
      </c>
      <c r="I735">
        <f>""</f>
        <v/>
      </c>
      <c r="J735">
        <f>IF(LEN(INDEX('Aides'!$V$4:$V$503,232))=0,"",INDEX('Aides'!$V$4:$V$503,232))</f>
        <v/>
      </c>
    </row>
    <row r="736">
      <c r="A736">
        <f>IF(AND(LEN('Aides'!A236)&gt;0,ISNUMBER('Aides'!S236)),1,0)</f>
        <v/>
      </c>
      <c r="B736">
        <f>B735+A736</f>
        <v/>
      </c>
      <c r="C736">
        <f>IF(733&gt;$B$1503,"",MATCH(733-0.5,$B$3:$B$1503,1))</f>
        <v/>
      </c>
      <c r="D736">
        <f>"CPR / First Aid – "&amp;IF(LEN(INDEX('Aides'!$A$4:$A$503,233))=0,"",INDEX('Aides'!$A$4:$A$503,233))</f>
        <v/>
      </c>
      <c r="E736">
        <f>IF(ISNUMBER(INDEX('Aides'!$S$4:$S$503,233)),TEXT(INDEX('Aides'!$S$4:$S$503,233),"yyyy-mm-dd"),"")</f>
        <v/>
      </c>
      <c r="F736">
        <f>"Training"</f>
        <v/>
      </c>
      <c r="G736">
        <f>"Medium"</f>
        <v/>
      </c>
      <c r="H736">
        <f>TRIM(IF(LEN(IF(LEN(INDEX('Aides'!$U$4:$U$503,233))=0,"",INDEX('Aides'!$U$4:$U$503,233)))=0,"","Owner: "&amp;IF(LEN(INDEX('Aides'!$U$4:$U$503,233))=0,"",INDEX('Aides'!$U$4:$U$503,233))&amp;". "))</f>
        <v/>
      </c>
      <c r="I736">
        <f>""</f>
        <v/>
      </c>
      <c r="J736">
        <f>IF(LEN(INDEX('Aides'!$V$4:$V$503,233))=0,"",INDEX('Aides'!$V$4:$V$503,233))</f>
        <v/>
      </c>
    </row>
    <row r="737">
      <c r="A737">
        <f>IF(AND(LEN('Aides'!A237)&gt;0,ISNUMBER('Aides'!S237)),1,0)</f>
        <v/>
      </c>
      <c r="B737">
        <f>B736+A737</f>
        <v/>
      </c>
      <c r="C737">
        <f>IF(734&gt;$B$1503,"",MATCH(734-0.5,$B$3:$B$1503,1))</f>
        <v/>
      </c>
      <c r="D737">
        <f>"CPR / First Aid – "&amp;IF(LEN(INDEX('Aides'!$A$4:$A$503,234))=0,"",INDEX('Aides'!$A$4:$A$503,234))</f>
        <v/>
      </c>
      <c r="E737">
        <f>IF(ISNUMBER(INDEX('Aides'!$S$4:$S$503,234)),TEXT(INDEX('Aides'!$S$4:$S$503,234),"yyyy-mm-dd"),"")</f>
        <v/>
      </c>
      <c r="F737">
        <f>"Training"</f>
        <v/>
      </c>
      <c r="G737">
        <f>"Medium"</f>
        <v/>
      </c>
      <c r="H737">
        <f>TRIM(IF(LEN(IF(LEN(INDEX('Aides'!$U$4:$U$503,234))=0,"",INDEX('Aides'!$U$4:$U$503,234)))=0,"","Owner: "&amp;IF(LEN(INDEX('Aides'!$U$4:$U$503,234))=0,"",INDEX('Aides'!$U$4:$U$503,234))&amp;". "))</f>
        <v/>
      </c>
      <c r="I737">
        <f>""</f>
        <v/>
      </c>
      <c r="J737">
        <f>IF(LEN(INDEX('Aides'!$V$4:$V$503,234))=0,"",INDEX('Aides'!$V$4:$V$503,234))</f>
        <v/>
      </c>
    </row>
    <row r="738">
      <c r="A738">
        <f>IF(AND(LEN('Aides'!A238)&gt;0,ISNUMBER('Aides'!S238)),1,0)</f>
        <v/>
      </c>
      <c r="B738">
        <f>B737+A738</f>
        <v/>
      </c>
      <c r="C738">
        <f>IF(735&gt;$B$1503,"",MATCH(735-0.5,$B$3:$B$1503,1))</f>
        <v/>
      </c>
      <c r="D738">
        <f>"CPR / First Aid – "&amp;IF(LEN(INDEX('Aides'!$A$4:$A$503,235))=0,"",INDEX('Aides'!$A$4:$A$503,235))</f>
        <v/>
      </c>
      <c r="E738">
        <f>IF(ISNUMBER(INDEX('Aides'!$S$4:$S$503,235)),TEXT(INDEX('Aides'!$S$4:$S$503,235),"yyyy-mm-dd"),"")</f>
        <v/>
      </c>
      <c r="F738">
        <f>"Training"</f>
        <v/>
      </c>
      <c r="G738">
        <f>"Medium"</f>
        <v/>
      </c>
      <c r="H738">
        <f>TRIM(IF(LEN(IF(LEN(INDEX('Aides'!$U$4:$U$503,235))=0,"",INDEX('Aides'!$U$4:$U$503,235)))=0,"","Owner: "&amp;IF(LEN(INDEX('Aides'!$U$4:$U$503,235))=0,"",INDEX('Aides'!$U$4:$U$503,235))&amp;". "))</f>
        <v/>
      </c>
      <c r="I738">
        <f>""</f>
        <v/>
      </c>
      <c r="J738">
        <f>IF(LEN(INDEX('Aides'!$V$4:$V$503,235))=0,"",INDEX('Aides'!$V$4:$V$503,235))</f>
        <v/>
      </c>
    </row>
    <row r="739">
      <c r="A739">
        <f>IF(AND(LEN('Aides'!A239)&gt;0,ISNUMBER('Aides'!S239)),1,0)</f>
        <v/>
      </c>
      <c r="B739">
        <f>B738+A739</f>
        <v/>
      </c>
      <c r="C739">
        <f>IF(736&gt;$B$1503,"",MATCH(736-0.5,$B$3:$B$1503,1))</f>
        <v/>
      </c>
      <c r="D739">
        <f>"CPR / First Aid – "&amp;IF(LEN(INDEX('Aides'!$A$4:$A$503,236))=0,"",INDEX('Aides'!$A$4:$A$503,236))</f>
        <v/>
      </c>
      <c r="E739">
        <f>IF(ISNUMBER(INDEX('Aides'!$S$4:$S$503,236)),TEXT(INDEX('Aides'!$S$4:$S$503,236),"yyyy-mm-dd"),"")</f>
        <v/>
      </c>
      <c r="F739">
        <f>"Training"</f>
        <v/>
      </c>
      <c r="G739">
        <f>"Medium"</f>
        <v/>
      </c>
      <c r="H739">
        <f>TRIM(IF(LEN(IF(LEN(INDEX('Aides'!$U$4:$U$503,236))=0,"",INDEX('Aides'!$U$4:$U$503,236)))=0,"","Owner: "&amp;IF(LEN(INDEX('Aides'!$U$4:$U$503,236))=0,"",INDEX('Aides'!$U$4:$U$503,236))&amp;". "))</f>
        <v/>
      </c>
      <c r="I739">
        <f>""</f>
        <v/>
      </c>
      <c r="J739">
        <f>IF(LEN(INDEX('Aides'!$V$4:$V$503,236))=0,"",INDEX('Aides'!$V$4:$V$503,236))</f>
        <v/>
      </c>
    </row>
    <row r="740">
      <c r="A740">
        <f>IF(AND(LEN('Aides'!A240)&gt;0,ISNUMBER('Aides'!S240)),1,0)</f>
        <v/>
      </c>
      <c r="B740">
        <f>B739+A740</f>
        <v/>
      </c>
      <c r="C740">
        <f>IF(737&gt;$B$1503,"",MATCH(737-0.5,$B$3:$B$1503,1))</f>
        <v/>
      </c>
      <c r="D740">
        <f>"CPR / First Aid – "&amp;IF(LEN(INDEX('Aides'!$A$4:$A$503,237))=0,"",INDEX('Aides'!$A$4:$A$503,237))</f>
        <v/>
      </c>
      <c r="E740">
        <f>IF(ISNUMBER(INDEX('Aides'!$S$4:$S$503,237)),TEXT(INDEX('Aides'!$S$4:$S$503,237),"yyyy-mm-dd"),"")</f>
        <v/>
      </c>
      <c r="F740">
        <f>"Training"</f>
        <v/>
      </c>
      <c r="G740">
        <f>"Medium"</f>
        <v/>
      </c>
      <c r="H740">
        <f>TRIM(IF(LEN(IF(LEN(INDEX('Aides'!$U$4:$U$503,237))=0,"",INDEX('Aides'!$U$4:$U$503,237)))=0,"","Owner: "&amp;IF(LEN(INDEX('Aides'!$U$4:$U$503,237))=0,"",INDEX('Aides'!$U$4:$U$503,237))&amp;". "))</f>
        <v/>
      </c>
      <c r="I740">
        <f>""</f>
        <v/>
      </c>
      <c r="J740">
        <f>IF(LEN(INDEX('Aides'!$V$4:$V$503,237))=0,"",INDEX('Aides'!$V$4:$V$503,237))</f>
        <v/>
      </c>
    </row>
    <row r="741">
      <c r="A741">
        <f>IF(AND(LEN('Aides'!A241)&gt;0,ISNUMBER('Aides'!S241)),1,0)</f>
        <v/>
      </c>
      <c r="B741">
        <f>B740+A741</f>
        <v/>
      </c>
      <c r="C741">
        <f>IF(738&gt;$B$1503,"",MATCH(738-0.5,$B$3:$B$1503,1))</f>
        <v/>
      </c>
      <c r="D741">
        <f>"CPR / First Aid – "&amp;IF(LEN(INDEX('Aides'!$A$4:$A$503,238))=0,"",INDEX('Aides'!$A$4:$A$503,238))</f>
        <v/>
      </c>
      <c r="E741">
        <f>IF(ISNUMBER(INDEX('Aides'!$S$4:$S$503,238)),TEXT(INDEX('Aides'!$S$4:$S$503,238),"yyyy-mm-dd"),"")</f>
        <v/>
      </c>
      <c r="F741">
        <f>"Training"</f>
        <v/>
      </c>
      <c r="G741">
        <f>"Medium"</f>
        <v/>
      </c>
      <c r="H741">
        <f>TRIM(IF(LEN(IF(LEN(INDEX('Aides'!$U$4:$U$503,238))=0,"",INDEX('Aides'!$U$4:$U$503,238)))=0,"","Owner: "&amp;IF(LEN(INDEX('Aides'!$U$4:$U$503,238))=0,"",INDEX('Aides'!$U$4:$U$503,238))&amp;". "))</f>
        <v/>
      </c>
      <c r="I741">
        <f>""</f>
        <v/>
      </c>
      <c r="J741">
        <f>IF(LEN(INDEX('Aides'!$V$4:$V$503,238))=0,"",INDEX('Aides'!$V$4:$V$503,238))</f>
        <v/>
      </c>
    </row>
    <row r="742">
      <c r="A742">
        <f>IF(AND(LEN('Aides'!A242)&gt;0,ISNUMBER('Aides'!S242)),1,0)</f>
        <v/>
      </c>
      <c r="B742">
        <f>B741+A742</f>
        <v/>
      </c>
      <c r="C742">
        <f>IF(739&gt;$B$1503,"",MATCH(739-0.5,$B$3:$B$1503,1))</f>
        <v/>
      </c>
      <c r="D742">
        <f>"CPR / First Aid – "&amp;IF(LEN(INDEX('Aides'!$A$4:$A$503,239))=0,"",INDEX('Aides'!$A$4:$A$503,239))</f>
        <v/>
      </c>
      <c r="E742">
        <f>IF(ISNUMBER(INDEX('Aides'!$S$4:$S$503,239)),TEXT(INDEX('Aides'!$S$4:$S$503,239),"yyyy-mm-dd"),"")</f>
        <v/>
      </c>
      <c r="F742">
        <f>"Training"</f>
        <v/>
      </c>
      <c r="G742">
        <f>"Medium"</f>
        <v/>
      </c>
      <c r="H742">
        <f>TRIM(IF(LEN(IF(LEN(INDEX('Aides'!$U$4:$U$503,239))=0,"",INDEX('Aides'!$U$4:$U$503,239)))=0,"","Owner: "&amp;IF(LEN(INDEX('Aides'!$U$4:$U$503,239))=0,"",INDEX('Aides'!$U$4:$U$503,239))&amp;". "))</f>
        <v/>
      </c>
      <c r="I742">
        <f>""</f>
        <v/>
      </c>
      <c r="J742">
        <f>IF(LEN(INDEX('Aides'!$V$4:$V$503,239))=0,"",INDEX('Aides'!$V$4:$V$503,239))</f>
        <v/>
      </c>
    </row>
    <row r="743">
      <c r="A743">
        <f>IF(AND(LEN('Aides'!A243)&gt;0,ISNUMBER('Aides'!S243)),1,0)</f>
        <v/>
      </c>
      <c r="B743">
        <f>B742+A743</f>
        <v/>
      </c>
      <c r="C743">
        <f>IF(740&gt;$B$1503,"",MATCH(740-0.5,$B$3:$B$1503,1))</f>
        <v/>
      </c>
      <c r="D743">
        <f>"CPR / First Aid – "&amp;IF(LEN(INDEX('Aides'!$A$4:$A$503,240))=0,"",INDEX('Aides'!$A$4:$A$503,240))</f>
        <v/>
      </c>
      <c r="E743">
        <f>IF(ISNUMBER(INDEX('Aides'!$S$4:$S$503,240)),TEXT(INDEX('Aides'!$S$4:$S$503,240),"yyyy-mm-dd"),"")</f>
        <v/>
      </c>
      <c r="F743">
        <f>"Training"</f>
        <v/>
      </c>
      <c r="G743">
        <f>"Medium"</f>
        <v/>
      </c>
      <c r="H743">
        <f>TRIM(IF(LEN(IF(LEN(INDEX('Aides'!$U$4:$U$503,240))=0,"",INDEX('Aides'!$U$4:$U$503,240)))=0,"","Owner: "&amp;IF(LEN(INDEX('Aides'!$U$4:$U$503,240))=0,"",INDEX('Aides'!$U$4:$U$503,240))&amp;". "))</f>
        <v/>
      </c>
      <c r="I743">
        <f>""</f>
        <v/>
      </c>
      <c r="J743">
        <f>IF(LEN(INDEX('Aides'!$V$4:$V$503,240))=0,"",INDEX('Aides'!$V$4:$V$503,240))</f>
        <v/>
      </c>
    </row>
    <row r="744">
      <c r="A744">
        <f>IF(AND(LEN('Aides'!A244)&gt;0,ISNUMBER('Aides'!S244)),1,0)</f>
        <v/>
      </c>
      <c r="B744">
        <f>B743+A744</f>
        <v/>
      </c>
      <c r="C744">
        <f>IF(741&gt;$B$1503,"",MATCH(741-0.5,$B$3:$B$1503,1))</f>
        <v/>
      </c>
      <c r="D744">
        <f>"CPR / First Aid – "&amp;IF(LEN(INDEX('Aides'!$A$4:$A$503,241))=0,"",INDEX('Aides'!$A$4:$A$503,241))</f>
        <v/>
      </c>
      <c r="E744">
        <f>IF(ISNUMBER(INDEX('Aides'!$S$4:$S$503,241)),TEXT(INDEX('Aides'!$S$4:$S$503,241),"yyyy-mm-dd"),"")</f>
        <v/>
      </c>
      <c r="F744">
        <f>"Training"</f>
        <v/>
      </c>
      <c r="G744">
        <f>"Medium"</f>
        <v/>
      </c>
      <c r="H744">
        <f>TRIM(IF(LEN(IF(LEN(INDEX('Aides'!$U$4:$U$503,241))=0,"",INDEX('Aides'!$U$4:$U$503,241)))=0,"","Owner: "&amp;IF(LEN(INDEX('Aides'!$U$4:$U$503,241))=0,"",INDEX('Aides'!$U$4:$U$503,241))&amp;". "))</f>
        <v/>
      </c>
      <c r="I744">
        <f>""</f>
        <v/>
      </c>
      <c r="J744">
        <f>IF(LEN(INDEX('Aides'!$V$4:$V$503,241))=0,"",INDEX('Aides'!$V$4:$V$503,241))</f>
        <v/>
      </c>
    </row>
    <row r="745">
      <c r="A745">
        <f>IF(AND(LEN('Aides'!A245)&gt;0,ISNUMBER('Aides'!S245)),1,0)</f>
        <v/>
      </c>
      <c r="B745">
        <f>B744+A745</f>
        <v/>
      </c>
      <c r="C745">
        <f>IF(742&gt;$B$1503,"",MATCH(742-0.5,$B$3:$B$1503,1))</f>
        <v/>
      </c>
      <c r="D745">
        <f>"CPR / First Aid – "&amp;IF(LEN(INDEX('Aides'!$A$4:$A$503,242))=0,"",INDEX('Aides'!$A$4:$A$503,242))</f>
        <v/>
      </c>
      <c r="E745">
        <f>IF(ISNUMBER(INDEX('Aides'!$S$4:$S$503,242)),TEXT(INDEX('Aides'!$S$4:$S$503,242),"yyyy-mm-dd"),"")</f>
        <v/>
      </c>
      <c r="F745">
        <f>"Training"</f>
        <v/>
      </c>
      <c r="G745">
        <f>"Medium"</f>
        <v/>
      </c>
      <c r="H745">
        <f>TRIM(IF(LEN(IF(LEN(INDEX('Aides'!$U$4:$U$503,242))=0,"",INDEX('Aides'!$U$4:$U$503,242)))=0,"","Owner: "&amp;IF(LEN(INDEX('Aides'!$U$4:$U$503,242))=0,"",INDEX('Aides'!$U$4:$U$503,242))&amp;". "))</f>
        <v/>
      </c>
      <c r="I745">
        <f>""</f>
        <v/>
      </c>
      <c r="J745">
        <f>IF(LEN(INDEX('Aides'!$V$4:$V$503,242))=0,"",INDEX('Aides'!$V$4:$V$503,242))</f>
        <v/>
      </c>
    </row>
    <row r="746">
      <c r="A746">
        <f>IF(AND(LEN('Aides'!A246)&gt;0,ISNUMBER('Aides'!S246)),1,0)</f>
        <v/>
      </c>
      <c r="B746">
        <f>B745+A746</f>
        <v/>
      </c>
      <c r="C746">
        <f>IF(743&gt;$B$1503,"",MATCH(743-0.5,$B$3:$B$1503,1))</f>
        <v/>
      </c>
      <c r="D746">
        <f>"CPR / First Aid – "&amp;IF(LEN(INDEX('Aides'!$A$4:$A$503,243))=0,"",INDEX('Aides'!$A$4:$A$503,243))</f>
        <v/>
      </c>
      <c r="E746">
        <f>IF(ISNUMBER(INDEX('Aides'!$S$4:$S$503,243)),TEXT(INDEX('Aides'!$S$4:$S$503,243),"yyyy-mm-dd"),"")</f>
        <v/>
      </c>
      <c r="F746">
        <f>"Training"</f>
        <v/>
      </c>
      <c r="G746">
        <f>"Medium"</f>
        <v/>
      </c>
      <c r="H746">
        <f>TRIM(IF(LEN(IF(LEN(INDEX('Aides'!$U$4:$U$503,243))=0,"",INDEX('Aides'!$U$4:$U$503,243)))=0,"","Owner: "&amp;IF(LEN(INDEX('Aides'!$U$4:$U$503,243))=0,"",INDEX('Aides'!$U$4:$U$503,243))&amp;". "))</f>
        <v/>
      </c>
      <c r="I746">
        <f>""</f>
        <v/>
      </c>
      <c r="J746">
        <f>IF(LEN(INDEX('Aides'!$V$4:$V$503,243))=0,"",INDEX('Aides'!$V$4:$V$503,243))</f>
        <v/>
      </c>
    </row>
    <row r="747">
      <c r="A747">
        <f>IF(AND(LEN('Aides'!A247)&gt;0,ISNUMBER('Aides'!S247)),1,0)</f>
        <v/>
      </c>
      <c r="B747">
        <f>B746+A747</f>
        <v/>
      </c>
      <c r="C747">
        <f>IF(744&gt;$B$1503,"",MATCH(744-0.5,$B$3:$B$1503,1))</f>
        <v/>
      </c>
      <c r="D747">
        <f>"CPR / First Aid – "&amp;IF(LEN(INDEX('Aides'!$A$4:$A$503,244))=0,"",INDEX('Aides'!$A$4:$A$503,244))</f>
        <v/>
      </c>
      <c r="E747">
        <f>IF(ISNUMBER(INDEX('Aides'!$S$4:$S$503,244)),TEXT(INDEX('Aides'!$S$4:$S$503,244),"yyyy-mm-dd"),"")</f>
        <v/>
      </c>
      <c r="F747">
        <f>"Training"</f>
        <v/>
      </c>
      <c r="G747">
        <f>"Medium"</f>
        <v/>
      </c>
      <c r="H747">
        <f>TRIM(IF(LEN(IF(LEN(INDEX('Aides'!$U$4:$U$503,244))=0,"",INDEX('Aides'!$U$4:$U$503,244)))=0,"","Owner: "&amp;IF(LEN(INDEX('Aides'!$U$4:$U$503,244))=0,"",INDEX('Aides'!$U$4:$U$503,244))&amp;". "))</f>
        <v/>
      </c>
      <c r="I747">
        <f>""</f>
        <v/>
      </c>
      <c r="J747">
        <f>IF(LEN(INDEX('Aides'!$V$4:$V$503,244))=0,"",INDEX('Aides'!$V$4:$V$503,244))</f>
        <v/>
      </c>
    </row>
    <row r="748">
      <c r="A748">
        <f>IF(AND(LEN('Aides'!A248)&gt;0,ISNUMBER('Aides'!S248)),1,0)</f>
        <v/>
      </c>
      <c r="B748">
        <f>B747+A748</f>
        <v/>
      </c>
      <c r="C748">
        <f>IF(745&gt;$B$1503,"",MATCH(745-0.5,$B$3:$B$1503,1))</f>
        <v/>
      </c>
      <c r="D748">
        <f>"CPR / First Aid – "&amp;IF(LEN(INDEX('Aides'!$A$4:$A$503,245))=0,"",INDEX('Aides'!$A$4:$A$503,245))</f>
        <v/>
      </c>
      <c r="E748">
        <f>IF(ISNUMBER(INDEX('Aides'!$S$4:$S$503,245)),TEXT(INDEX('Aides'!$S$4:$S$503,245),"yyyy-mm-dd"),"")</f>
        <v/>
      </c>
      <c r="F748">
        <f>"Training"</f>
        <v/>
      </c>
      <c r="G748">
        <f>"Medium"</f>
        <v/>
      </c>
      <c r="H748">
        <f>TRIM(IF(LEN(IF(LEN(INDEX('Aides'!$U$4:$U$503,245))=0,"",INDEX('Aides'!$U$4:$U$503,245)))=0,"","Owner: "&amp;IF(LEN(INDEX('Aides'!$U$4:$U$503,245))=0,"",INDEX('Aides'!$U$4:$U$503,245))&amp;". "))</f>
        <v/>
      </c>
      <c r="I748">
        <f>""</f>
        <v/>
      </c>
      <c r="J748">
        <f>IF(LEN(INDEX('Aides'!$V$4:$V$503,245))=0,"",INDEX('Aides'!$V$4:$V$503,245))</f>
        <v/>
      </c>
    </row>
    <row r="749">
      <c r="A749">
        <f>IF(AND(LEN('Aides'!A249)&gt;0,ISNUMBER('Aides'!S249)),1,0)</f>
        <v/>
      </c>
      <c r="B749">
        <f>B748+A749</f>
        <v/>
      </c>
      <c r="C749">
        <f>IF(746&gt;$B$1503,"",MATCH(746-0.5,$B$3:$B$1503,1))</f>
        <v/>
      </c>
      <c r="D749">
        <f>"CPR / First Aid – "&amp;IF(LEN(INDEX('Aides'!$A$4:$A$503,246))=0,"",INDEX('Aides'!$A$4:$A$503,246))</f>
        <v/>
      </c>
      <c r="E749">
        <f>IF(ISNUMBER(INDEX('Aides'!$S$4:$S$503,246)),TEXT(INDEX('Aides'!$S$4:$S$503,246),"yyyy-mm-dd"),"")</f>
        <v/>
      </c>
      <c r="F749">
        <f>"Training"</f>
        <v/>
      </c>
      <c r="G749">
        <f>"Medium"</f>
        <v/>
      </c>
      <c r="H749">
        <f>TRIM(IF(LEN(IF(LEN(INDEX('Aides'!$U$4:$U$503,246))=0,"",INDEX('Aides'!$U$4:$U$503,246)))=0,"","Owner: "&amp;IF(LEN(INDEX('Aides'!$U$4:$U$503,246))=0,"",INDEX('Aides'!$U$4:$U$503,246))&amp;". "))</f>
        <v/>
      </c>
      <c r="I749">
        <f>""</f>
        <v/>
      </c>
      <c r="J749">
        <f>IF(LEN(INDEX('Aides'!$V$4:$V$503,246))=0,"",INDEX('Aides'!$V$4:$V$503,246))</f>
        <v/>
      </c>
    </row>
    <row r="750">
      <c r="A750">
        <f>IF(AND(LEN('Aides'!A250)&gt;0,ISNUMBER('Aides'!S250)),1,0)</f>
        <v/>
      </c>
      <c r="B750">
        <f>B749+A750</f>
        <v/>
      </c>
      <c r="C750">
        <f>IF(747&gt;$B$1503,"",MATCH(747-0.5,$B$3:$B$1503,1))</f>
        <v/>
      </c>
      <c r="D750">
        <f>"CPR / First Aid – "&amp;IF(LEN(INDEX('Aides'!$A$4:$A$503,247))=0,"",INDEX('Aides'!$A$4:$A$503,247))</f>
        <v/>
      </c>
      <c r="E750">
        <f>IF(ISNUMBER(INDEX('Aides'!$S$4:$S$503,247)),TEXT(INDEX('Aides'!$S$4:$S$503,247),"yyyy-mm-dd"),"")</f>
        <v/>
      </c>
      <c r="F750">
        <f>"Training"</f>
        <v/>
      </c>
      <c r="G750">
        <f>"Medium"</f>
        <v/>
      </c>
      <c r="H750">
        <f>TRIM(IF(LEN(IF(LEN(INDEX('Aides'!$U$4:$U$503,247))=0,"",INDEX('Aides'!$U$4:$U$503,247)))=0,"","Owner: "&amp;IF(LEN(INDEX('Aides'!$U$4:$U$503,247))=0,"",INDEX('Aides'!$U$4:$U$503,247))&amp;". "))</f>
        <v/>
      </c>
      <c r="I750">
        <f>""</f>
        <v/>
      </c>
      <c r="J750">
        <f>IF(LEN(INDEX('Aides'!$V$4:$V$503,247))=0,"",INDEX('Aides'!$V$4:$V$503,247))</f>
        <v/>
      </c>
    </row>
    <row r="751">
      <c r="A751">
        <f>IF(AND(LEN('Aides'!A251)&gt;0,ISNUMBER('Aides'!S251)),1,0)</f>
        <v/>
      </c>
      <c r="B751">
        <f>B750+A751</f>
        <v/>
      </c>
      <c r="C751">
        <f>IF(748&gt;$B$1503,"",MATCH(748-0.5,$B$3:$B$1503,1))</f>
        <v/>
      </c>
      <c r="D751">
        <f>"CPR / First Aid – "&amp;IF(LEN(INDEX('Aides'!$A$4:$A$503,248))=0,"",INDEX('Aides'!$A$4:$A$503,248))</f>
        <v/>
      </c>
      <c r="E751">
        <f>IF(ISNUMBER(INDEX('Aides'!$S$4:$S$503,248)),TEXT(INDEX('Aides'!$S$4:$S$503,248),"yyyy-mm-dd"),"")</f>
        <v/>
      </c>
      <c r="F751">
        <f>"Training"</f>
        <v/>
      </c>
      <c r="G751">
        <f>"Medium"</f>
        <v/>
      </c>
      <c r="H751">
        <f>TRIM(IF(LEN(IF(LEN(INDEX('Aides'!$U$4:$U$503,248))=0,"",INDEX('Aides'!$U$4:$U$503,248)))=0,"","Owner: "&amp;IF(LEN(INDEX('Aides'!$U$4:$U$503,248))=0,"",INDEX('Aides'!$U$4:$U$503,248))&amp;". "))</f>
        <v/>
      </c>
      <c r="I751">
        <f>""</f>
        <v/>
      </c>
      <c r="J751">
        <f>IF(LEN(INDEX('Aides'!$V$4:$V$503,248))=0,"",INDEX('Aides'!$V$4:$V$503,248))</f>
        <v/>
      </c>
    </row>
    <row r="752">
      <c r="A752">
        <f>IF(AND(LEN('Aides'!A252)&gt;0,ISNUMBER('Aides'!S252)),1,0)</f>
        <v/>
      </c>
      <c r="B752">
        <f>B751+A752</f>
        <v/>
      </c>
      <c r="C752">
        <f>IF(749&gt;$B$1503,"",MATCH(749-0.5,$B$3:$B$1503,1))</f>
        <v/>
      </c>
      <c r="D752">
        <f>"CPR / First Aid – "&amp;IF(LEN(INDEX('Aides'!$A$4:$A$503,249))=0,"",INDEX('Aides'!$A$4:$A$503,249))</f>
        <v/>
      </c>
      <c r="E752">
        <f>IF(ISNUMBER(INDEX('Aides'!$S$4:$S$503,249)),TEXT(INDEX('Aides'!$S$4:$S$503,249),"yyyy-mm-dd"),"")</f>
        <v/>
      </c>
      <c r="F752">
        <f>"Training"</f>
        <v/>
      </c>
      <c r="G752">
        <f>"Medium"</f>
        <v/>
      </c>
      <c r="H752">
        <f>TRIM(IF(LEN(IF(LEN(INDEX('Aides'!$U$4:$U$503,249))=0,"",INDEX('Aides'!$U$4:$U$503,249)))=0,"","Owner: "&amp;IF(LEN(INDEX('Aides'!$U$4:$U$503,249))=0,"",INDEX('Aides'!$U$4:$U$503,249))&amp;". "))</f>
        <v/>
      </c>
      <c r="I752">
        <f>""</f>
        <v/>
      </c>
      <c r="J752">
        <f>IF(LEN(INDEX('Aides'!$V$4:$V$503,249))=0,"",INDEX('Aides'!$V$4:$V$503,249))</f>
        <v/>
      </c>
    </row>
    <row r="753">
      <c r="A753">
        <f>IF(AND(LEN('Aides'!A253)&gt;0,ISNUMBER('Aides'!S253)),1,0)</f>
        <v/>
      </c>
      <c r="B753">
        <f>B752+A753</f>
        <v/>
      </c>
      <c r="C753">
        <f>IF(750&gt;$B$1503,"",MATCH(750-0.5,$B$3:$B$1503,1))</f>
        <v/>
      </c>
      <c r="D753">
        <f>"CPR / First Aid – "&amp;IF(LEN(INDEX('Aides'!$A$4:$A$503,250))=0,"",INDEX('Aides'!$A$4:$A$503,250))</f>
        <v/>
      </c>
      <c r="E753">
        <f>IF(ISNUMBER(INDEX('Aides'!$S$4:$S$503,250)),TEXT(INDEX('Aides'!$S$4:$S$503,250),"yyyy-mm-dd"),"")</f>
        <v/>
      </c>
      <c r="F753">
        <f>"Training"</f>
        <v/>
      </c>
      <c r="G753">
        <f>"Medium"</f>
        <v/>
      </c>
      <c r="H753">
        <f>TRIM(IF(LEN(IF(LEN(INDEX('Aides'!$U$4:$U$503,250))=0,"",INDEX('Aides'!$U$4:$U$503,250)))=0,"","Owner: "&amp;IF(LEN(INDEX('Aides'!$U$4:$U$503,250))=0,"",INDEX('Aides'!$U$4:$U$503,250))&amp;". "))</f>
        <v/>
      </c>
      <c r="I753">
        <f>""</f>
        <v/>
      </c>
      <c r="J753">
        <f>IF(LEN(INDEX('Aides'!$V$4:$V$503,250))=0,"",INDEX('Aides'!$V$4:$V$503,250))</f>
        <v/>
      </c>
    </row>
    <row r="754">
      <c r="A754">
        <f>IF(AND(LEN('Aides'!A254)&gt;0,ISNUMBER('Aides'!S254)),1,0)</f>
        <v/>
      </c>
      <c r="B754">
        <f>B753+A754</f>
        <v/>
      </c>
      <c r="C754">
        <f>IF(751&gt;$B$1503,"",MATCH(751-0.5,$B$3:$B$1503,1))</f>
        <v/>
      </c>
      <c r="D754">
        <f>"CPR / First Aid – "&amp;IF(LEN(INDEX('Aides'!$A$4:$A$503,251))=0,"",INDEX('Aides'!$A$4:$A$503,251))</f>
        <v/>
      </c>
      <c r="E754">
        <f>IF(ISNUMBER(INDEX('Aides'!$S$4:$S$503,251)),TEXT(INDEX('Aides'!$S$4:$S$503,251),"yyyy-mm-dd"),"")</f>
        <v/>
      </c>
      <c r="F754">
        <f>"Training"</f>
        <v/>
      </c>
      <c r="G754">
        <f>"Medium"</f>
        <v/>
      </c>
      <c r="H754">
        <f>TRIM(IF(LEN(IF(LEN(INDEX('Aides'!$U$4:$U$503,251))=0,"",INDEX('Aides'!$U$4:$U$503,251)))=0,"","Owner: "&amp;IF(LEN(INDEX('Aides'!$U$4:$U$503,251))=0,"",INDEX('Aides'!$U$4:$U$503,251))&amp;". "))</f>
        <v/>
      </c>
      <c r="I754">
        <f>""</f>
        <v/>
      </c>
      <c r="J754">
        <f>IF(LEN(INDEX('Aides'!$V$4:$V$503,251))=0,"",INDEX('Aides'!$V$4:$V$503,251))</f>
        <v/>
      </c>
    </row>
    <row r="755">
      <c r="A755">
        <f>IF(AND(LEN('Aides'!A255)&gt;0,ISNUMBER('Aides'!S255)),1,0)</f>
        <v/>
      </c>
      <c r="B755">
        <f>B754+A755</f>
        <v/>
      </c>
      <c r="C755">
        <f>IF(752&gt;$B$1503,"",MATCH(752-0.5,$B$3:$B$1503,1))</f>
        <v/>
      </c>
      <c r="D755">
        <f>"CPR / First Aid – "&amp;IF(LEN(INDEX('Aides'!$A$4:$A$503,252))=0,"",INDEX('Aides'!$A$4:$A$503,252))</f>
        <v/>
      </c>
      <c r="E755">
        <f>IF(ISNUMBER(INDEX('Aides'!$S$4:$S$503,252)),TEXT(INDEX('Aides'!$S$4:$S$503,252),"yyyy-mm-dd"),"")</f>
        <v/>
      </c>
      <c r="F755">
        <f>"Training"</f>
        <v/>
      </c>
      <c r="G755">
        <f>"Medium"</f>
        <v/>
      </c>
      <c r="H755">
        <f>TRIM(IF(LEN(IF(LEN(INDEX('Aides'!$U$4:$U$503,252))=0,"",INDEX('Aides'!$U$4:$U$503,252)))=0,"","Owner: "&amp;IF(LEN(INDEX('Aides'!$U$4:$U$503,252))=0,"",INDEX('Aides'!$U$4:$U$503,252))&amp;". "))</f>
        <v/>
      </c>
      <c r="I755">
        <f>""</f>
        <v/>
      </c>
      <c r="J755">
        <f>IF(LEN(INDEX('Aides'!$V$4:$V$503,252))=0,"",INDEX('Aides'!$V$4:$V$503,252))</f>
        <v/>
      </c>
    </row>
    <row r="756">
      <c r="A756">
        <f>IF(AND(LEN('Aides'!A256)&gt;0,ISNUMBER('Aides'!S256)),1,0)</f>
        <v/>
      </c>
      <c r="B756">
        <f>B755+A756</f>
        <v/>
      </c>
      <c r="C756">
        <f>IF(753&gt;$B$1503,"",MATCH(753-0.5,$B$3:$B$1503,1))</f>
        <v/>
      </c>
      <c r="D756">
        <f>"CPR / First Aid – "&amp;IF(LEN(INDEX('Aides'!$A$4:$A$503,253))=0,"",INDEX('Aides'!$A$4:$A$503,253))</f>
        <v/>
      </c>
      <c r="E756">
        <f>IF(ISNUMBER(INDEX('Aides'!$S$4:$S$503,253)),TEXT(INDEX('Aides'!$S$4:$S$503,253),"yyyy-mm-dd"),"")</f>
        <v/>
      </c>
      <c r="F756">
        <f>"Training"</f>
        <v/>
      </c>
      <c r="G756">
        <f>"Medium"</f>
        <v/>
      </c>
      <c r="H756">
        <f>TRIM(IF(LEN(IF(LEN(INDEX('Aides'!$U$4:$U$503,253))=0,"",INDEX('Aides'!$U$4:$U$503,253)))=0,"","Owner: "&amp;IF(LEN(INDEX('Aides'!$U$4:$U$503,253))=0,"",INDEX('Aides'!$U$4:$U$503,253))&amp;". "))</f>
        <v/>
      </c>
      <c r="I756">
        <f>""</f>
        <v/>
      </c>
      <c r="J756">
        <f>IF(LEN(INDEX('Aides'!$V$4:$V$503,253))=0,"",INDEX('Aides'!$V$4:$V$503,253))</f>
        <v/>
      </c>
    </row>
    <row r="757">
      <c r="A757">
        <f>IF(AND(LEN('Aides'!A257)&gt;0,ISNUMBER('Aides'!S257)),1,0)</f>
        <v/>
      </c>
      <c r="B757">
        <f>B756+A757</f>
        <v/>
      </c>
      <c r="C757">
        <f>IF(754&gt;$B$1503,"",MATCH(754-0.5,$B$3:$B$1503,1))</f>
        <v/>
      </c>
      <c r="D757">
        <f>"CPR / First Aid – "&amp;IF(LEN(INDEX('Aides'!$A$4:$A$503,254))=0,"",INDEX('Aides'!$A$4:$A$503,254))</f>
        <v/>
      </c>
      <c r="E757">
        <f>IF(ISNUMBER(INDEX('Aides'!$S$4:$S$503,254)),TEXT(INDEX('Aides'!$S$4:$S$503,254),"yyyy-mm-dd"),"")</f>
        <v/>
      </c>
      <c r="F757">
        <f>"Training"</f>
        <v/>
      </c>
      <c r="G757">
        <f>"Medium"</f>
        <v/>
      </c>
      <c r="H757">
        <f>TRIM(IF(LEN(IF(LEN(INDEX('Aides'!$U$4:$U$503,254))=0,"",INDEX('Aides'!$U$4:$U$503,254)))=0,"","Owner: "&amp;IF(LEN(INDEX('Aides'!$U$4:$U$503,254))=0,"",INDEX('Aides'!$U$4:$U$503,254))&amp;". "))</f>
        <v/>
      </c>
      <c r="I757">
        <f>""</f>
        <v/>
      </c>
      <c r="J757">
        <f>IF(LEN(INDEX('Aides'!$V$4:$V$503,254))=0,"",INDEX('Aides'!$V$4:$V$503,254))</f>
        <v/>
      </c>
    </row>
    <row r="758">
      <c r="A758">
        <f>IF(AND(LEN('Aides'!A258)&gt;0,ISNUMBER('Aides'!S258)),1,0)</f>
        <v/>
      </c>
      <c r="B758">
        <f>B757+A758</f>
        <v/>
      </c>
      <c r="C758">
        <f>IF(755&gt;$B$1503,"",MATCH(755-0.5,$B$3:$B$1503,1))</f>
        <v/>
      </c>
      <c r="D758">
        <f>"CPR / First Aid – "&amp;IF(LEN(INDEX('Aides'!$A$4:$A$503,255))=0,"",INDEX('Aides'!$A$4:$A$503,255))</f>
        <v/>
      </c>
      <c r="E758">
        <f>IF(ISNUMBER(INDEX('Aides'!$S$4:$S$503,255)),TEXT(INDEX('Aides'!$S$4:$S$503,255),"yyyy-mm-dd"),"")</f>
        <v/>
      </c>
      <c r="F758">
        <f>"Training"</f>
        <v/>
      </c>
      <c r="G758">
        <f>"Medium"</f>
        <v/>
      </c>
      <c r="H758">
        <f>TRIM(IF(LEN(IF(LEN(INDEX('Aides'!$U$4:$U$503,255))=0,"",INDEX('Aides'!$U$4:$U$503,255)))=0,"","Owner: "&amp;IF(LEN(INDEX('Aides'!$U$4:$U$503,255))=0,"",INDEX('Aides'!$U$4:$U$503,255))&amp;". "))</f>
        <v/>
      </c>
      <c r="I758">
        <f>""</f>
        <v/>
      </c>
      <c r="J758">
        <f>IF(LEN(INDEX('Aides'!$V$4:$V$503,255))=0,"",INDEX('Aides'!$V$4:$V$503,255))</f>
        <v/>
      </c>
    </row>
    <row r="759">
      <c r="A759">
        <f>IF(AND(LEN('Aides'!A259)&gt;0,ISNUMBER('Aides'!S259)),1,0)</f>
        <v/>
      </c>
      <c r="B759">
        <f>B758+A759</f>
        <v/>
      </c>
      <c r="C759">
        <f>IF(756&gt;$B$1503,"",MATCH(756-0.5,$B$3:$B$1503,1))</f>
        <v/>
      </c>
      <c r="D759">
        <f>"CPR / First Aid – "&amp;IF(LEN(INDEX('Aides'!$A$4:$A$503,256))=0,"",INDEX('Aides'!$A$4:$A$503,256))</f>
        <v/>
      </c>
      <c r="E759">
        <f>IF(ISNUMBER(INDEX('Aides'!$S$4:$S$503,256)),TEXT(INDEX('Aides'!$S$4:$S$503,256),"yyyy-mm-dd"),"")</f>
        <v/>
      </c>
      <c r="F759">
        <f>"Training"</f>
        <v/>
      </c>
      <c r="G759">
        <f>"Medium"</f>
        <v/>
      </c>
      <c r="H759">
        <f>TRIM(IF(LEN(IF(LEN(INDEX('Aides'!$U$4:$U$503,256))=0,"",INDEX('Aides'!$U$4:$U$503,256)))=0,"","Owner: "&amp;IF(LEN(INDEX('Aides'!$U$4:$U$503,256))=0,"",INDEX('Aides'!$U$4:$U$503,256))&amp;". "))</f>
        <v/>
      </c>
      <c r="I759">
        <f>""</f>
        <v/>
      </c>
      <c r="J759">
        <f>IF(LEN(INDEX('Aides'!$V$4:$V$503,256))=0,"",INDEX('Aides'!$V$4:$V$503,256))</f>
        <v/>
      </c>
    </row>
    <row r="760">
      <c r="A760">
        <f>IF(AND(LEN('Aides'!A260)&gt;0,ISNUMBER('Aides'!S260)),1,0)</f>
        <v/>
      </c>
      <c r="B760">
        <f>B759+A760</f>
        <v/>
      </c>
      <c r="C760">
        <f>IF(757&gt;$B$1503,"",MATCH(757-0.5,$B$3:$B$1503,1))</f>
        <v/>
      </c>
      <c r="D760">
        <f>"CPR / First Aid – "&amp;IF(LEN(INDEX('Aides'!$A$4:$A$503,257))=0,"",INDEX('Aides'!$A$4:$A$503,257))</f>
        <v/>
      </c>
      <c r="E760">
        <f>IF(ISNUMBER(INDEX('Aides'!$S$4:$S$503,257)),TEXT(INDEX('Aides'!$S$4:$S$503,257),"yyyy-mm-dd"),"")</f>
        <v/>
      </c>
      <c r="F760">
        <f>"Training"</f>
        <v/>
      </c>
      <c r="G760">
        <f>"Medium"</f>
        <v/>
      </c>
      <c r="H760">
        <f>TRIM(IF(LEN(IF(LEN(INDEX('Aides'!$U$4:$U$503,257))=0,"",INDEX('Aides'!$U$4:$U$503,257)))=0,"","Owner: "&amp;IF(LEN(INDEX('Aides'!$U$4:$U$503,257))=0,"",INDEX('Aides'!$U$4:$U$503,257))&amp;". "))</f>
        <v/>
      </c>
      <c r="I760">
        <f>""</f>
        <v/>
      </c>
      <c r="J760">
        <f>IF(LEN(INDEX('Aides'!$V$4:$V$503,257))=0,"",INDEX('Aides'!$V$4:$V$503,257))</f>
        <v/>
      </c>
    </row>
    <row r="761">
      <c r="A761">
        <f>IF(AND(LEN('Aides'!A261)&gt;0,ISNUMBER('Aides'!S261)),1,0)</f>
        <v/>
      </c>
      <c r="B761">
        <f>B760+A761</f>
        <v/>
      </c>
      <c r="C761">
        <f>IF(758&gt;$B$1503,"",MATCH(758-0.5,$B$3:$B$1503,1))</f>
        <v/>
      </c>
      <c r="D761">
        <f>"CPR / First Aid – "&amp;IF(LEN(INDEX('Aides'!$A$4:$A$503,258))=0,"",INDEX('Aides'!$A$4:$A$503,258))</f>
        <v/>
      </c>
      <c r="E761">
        <f>IF(ISNUMBER(INDEX('Aides'!$S$4:$S$503,258)),TEXT(INDEX('Aides'!$S$4:$S$503,258),"yyyy-mm-dd"),"")</f>
        <v/>
      </c>
      <c r="F761">
        <f>"Training"</f>
        <v/>
      </c>
      <c r="G761">
        <f>"Medium"</f>
        <v/>
      </c>
      <c r="H761">
        <f>TRIM(IF(LEN(IF(LEN(INDEX('Aides'!$U$4:$U$503,258))=0,"",INDEX('Aides'!$U$4:$U$503,258)))=0,"","Owner: "&amp;IF(LEN(INDEX('Aides'!$U$4:$U$503,258))=0,"",INDEX('Aides'!$U$4:$U$503,258))&amp;". "))</f>
        <v/>
      </c>
      <c r="I761">
        <f>""</f>
        <v/>
      </c>
      <c r="J761">
        <f>IF(LEN(INDEX('Aides'!$V$4:$V$503,258))=0,"",INDEX('Aides'!$V$4:$V$503,258))</f>
        <v/>
      </c>
    </row>
    <row r="762">
      <c r="A762">
        <f>IF(AND(LEN('Aides'!A262)&gt;0,ISNUMBER('Aides'!S262)),1,0)</f>
        <v/>
      </c>
      <c r="B762">
        <f>B761+A762</f>
        <v/>
      </c>
      <c r="C762">
        <f>IF(759&gt;$B$1503,"",MATCH(759-0.5,$B$3:$B$1503,1))</f>
        <v/>
      </c>
      <c r="D762">
        <f>"CPR / First Aid – "&amp;IF(LEN(INDEX('Aides'!$A$4:$A$503,259))=0,"",INDEX('Aides'!$A$4:$A$503,259))</f>
        <v/>
      </c>
      <c r="E762">
        <f>IF(ISNUMBER(INDEX('Aides'!$S$4:$S$503,259)),TEXT(INDEX('Aides'!$S$4:$S$503,259),"yyyy-mm-dd"),"")</f>
        <v/>
      </c>
      <c r="F762">
        <f>"Training"</f>
        <v/>
      </c>
      <c r="G762">
        <f>"Medium"</f>
        <v/>
      </c>
      <c r="H762">
        <f>TRIM(IF(LEN(IF(LEN(INDEX('Aides'!$U$4:$U$503,259))=0,"",INDEX('Aides'!$U$4:$U$503,259)))=0,"","Owner: "&amp;IF(LEN(INDEX('Aides'!$U$4:$U$503,259))=0,"",INDEX('Aides'!$U$4:$U$503,259))&amp;". "))</f>
        <v/>
      </c>
      <c r="I762">
        <f>""</f>
        <v/>
      </c>
      <c r="J762">
        <f>IF(LEN(INDEX('Aides'!$V$4:$V$503,259))=0,"",INDEX('Aides'!$V$4:$V$503,259))</f>
        <v/>
      </c>
    </row>
    <row r="763">
      <c r="A763">
        <f>IF(AND(LEN('Aides'!A263)&gt;0,ISNUMBER('Aides'!S263)),1,0)</f>
        <v/>
      </c>
      <c r="B763">
        <f>B762+A763</f>
        <v/>
      </c>
      <c r="C763">
        <f>IF(760&gt;$B$1503,"",MATCH(760-0.5,$B$3:$B$1503,1))</f>
        <v/>
      </c>
      <c r="D763">
        <f>"CPR / First Aid – "&amp;IF(LEN(INDEX('Aides'!$A$4:$A$503,260))=0,"",INDEX('Aides'!$A$4:$A$503,260))</f>
        <v/>
      </c>
      <c r="E763">
        <f>IF(ISNUMBER(INDEX('Aides'!$S$4:$S$503,260)),TEXT(INDEX('Aides'!$S$4:$S$503,260),"yyyy-mm-dd"),"")</f>
        <v/>
      </c>
      <c r="F763">
        <f>"Training"</f>
        <v/>
      </c>
      <c r="G763">
        <f>"Medium"</f>
        <v/>
      </c>
      <c r="H763">
        <f>TRIM(IF(LEN(IF(LEN(INDEX('Aides'!$U$4:$U$503,260))=0,"",INDEX('Aides'!$U$4:$U$503,260)))=0,"","Owner: "&amp;IF(LEN(INDEX('Aides'!$U$4:$U$503,260))=0,"",INDEX('Aides'!$U$4:$U$503,260))&amp;". "))</f>
        <v/>
      </c>
      <c r="I763">
        <f>""</f>
        <v/>
      </c>
      <c r="J763">
        <f>IF(LEN(INDEX('Aides'!$V$4:$V$503,260))=0,"",INDEX('Aides'!$V$4:$V$503,260))</f>
        <v/>
      </c>
    </row>
    <row r="764">
      <c r="A764">
        <f>IF(AND(LEN('Aides'!A264)&gt;0,ISNUMBER('Aides'!S264)),1,0)</f>
        <v/>
      </c>
      <c r="B764">
        <f>B763+A764</f>
        <v/>
      </c>
      <c r="C764">
        <f>IF(761&gt;$B$1503,"",MATCH(761-0.5,$B$3:$B$1503,1))</f>
        <v/>
      </c>
      <c r="D764">
        <f>"CPR / First Aid – "&amp;IF(LEN(INDEX('Aides'!$A$4:$A$503,261))=0,"",INDEX('Aides'!$A$4:$A$503,261))</f>
        <v/>
      </c>
      <c r="E764">
        <f>IF(ISNUMBER(INDEX('Aides'!$S$4:$S$503,261)),TEXT(INDEX('Aides'!$S$4:$S$503,261),"yyyy-mm-dd"),"")</f>
        <v/>
      </c>
      <c r="F764">
        <f>"Training"</f>
        <v/>
      </c>
      <c r="G764">
        <f>"Medium"</f>
        <v/>
      </c>
      <c r="H764">
        <f>TRIM(IF(LEN(IF(LEN(INDEX('Aides'!$U$4:$U$503,261))=0,"",INDEX('Aides'!$U$4:$U$503,261)))=0,"","Owner: "&amp;IF(LEN(INDEX('Aides'!$U$4:$U$503,261))=0,"",INDEX('Aides'!$U$4:$U$503,261))&amp;". "))</f>
        <v/>
      </c>
      <c r="I764">
        <f>""</f>
        <v/>
      </c>
      <c r="J764">
        <f>IF(LEN(INDEX('Aides'!$V$4:$V$503,261))=0,"",INDEX('Aides'!$V$4:$V$503,261))</f>
        <v/>
      </c>
    </row>
    <row r="765">
      <c r="A765">
        <f>IF(AND(LEN('Aides'!A265)&gt;0,ISNUMBER('Aides'!S265)),1,0)</f>
        <v/>
      </c>
      <c r="B765">
        <f>B764+A765</f>
        <v/>
      </c>
      <c r="C765">
        <f>IF(762&gt;$B$1503,"",MATCH(762-0.5,$B$3:$B$1503,1))</f>
        <v/>
      </c>
      <c r="D765">
        <f>"CPR / First Aid – "&amp;IF(LEN(INDEX('Aides'!$A$4:$A$503,262))=0,"",INDEX('Aides'!$A$4:$A$503,262))</f>
        <v/>
      </c>
      <c r="E765">
        <f>IF(ISNUMBER(INDEX('Aides'!$S$4:$S$503,262)),TEXT(INDEX('Aides'!$S$4:$S$503,262),"yyyy-mm-dd"),"")</f>
        <v/>
      </c>
      <c r="F765">
        <f>"Training"</f>
        <v/>
      </c>
      <c r="G765">
        <f>"Medium"</f>
        <v/>
      </c>
      <c r="H765">
        <f>TRIM(IF(LEN(IF(LEN(INDEX('Aides'!$U$4:$U$503,262))=0,"",INDEX('Aides'!$U$4:$U$503,262)))=0,"","Owner: "&amp;IF(LEN(INDEX('Aides'!$U$4:$U$503,262))=0,"",INDEX('Aides'!$U$4:$U$503,262))&amp;". "))</f>
        <v/>
      </c>
      <c r="I765">
        <f>""</f>
        <v/>
      </c>
      <c r="J765">
        <f>IF(LEN(INDEX('Aides'!$V$4:$V$503,262))=0,"",INDEX('Aides'!$V$4:$V$503,262))</f>
        <v/>
      </c>
    </row>
    <row r="766">
      <c r="A766">
        <f>IF(AND(LEN('Aides'!A266)&gt;0,ISNUMBER('Aides'!S266)),1,0)</f>
        <v/>
      </c>
      <c r="B766">
        <f>B765+A766</f>
        <v/>
      </c>
      <c r="C766">
        <f>IF(763&gt;$B$1503,"",MATCH(763-0.5,$B$3:$B$1503,1))</f>
        <v/>
      </c>
      <c r="D766">
        <f>"CPR / First Aid – "&amp;IF(LEN(INDEX('Aides'!$A$4:$A$503,263))=0,"",INDEX('Aides'!$A$4:$A$503,263))</f>
        <v/>
      </c>
      <c r="E766">
        <f>IF(ISNUMBER(INDEX('Aides'!$S$4:$S$503,263)),TEXT(INDEX('Aides'!$S$4:$S$503,263),"yyyy-mm-dd"),"")</f>
        <v/>
      </c>
      <c r="F766">
        <f>"Training"</f>
        <v/>
      </c>
      <c r="G766">
        <f>"Medium"</f>
        <v/>
      </c>
      <c r="H766">
        <f>TRIM(IF(LEN(IF(LEN(INDEX('Aides'!$U$4:$U$503,263))=0,"",INDEX('Aides'!$U$4:$U$503,263)))=0,"","Owner: "&amp;IF(LEN(INDEX('Aides'!$U$4:$U$503,263))=0,"",INDEX('Aides'!$U$4:$U$503,263))&amp;". "))</f>
        <v/>
      </c>
      <c r="I766">
        <f>""</f>
        <v/>
      </c>
      <c r="J766">
        <f>IF(LEN(INDEX('Aides'!$V$4:$V$503,263))=0,"",INDEX('Aides'!$V$4:$V$503,263))</f>
        <v/>
      </c>
    </row>
    <row r="767">
      <c r="A767">
        <f>IF(AND(LEN('Aides'!A267)&gt;0,ISNUMBER('Aides'!S267)),1,0)</f>
        <v/>
      </c>
      <c r="B767">
        <f>B766+A767</f>
        <v/>
      </c>
      <c r="C767">
        <f>IF(764&gt;$B$1503,"",MATCH(764-0.5,$B$3:$B$1503,1))</f>
        <v/>
      </c>
      <c r="D767">
        <f>"CPR / First Aid – "&amp;IF(LEN(INDEX('Aides'!$A$4:$A$503,264))=0,"",INDEX('Aides'!$A$4:$A$503,264))</f>
        <v/>
      </c>
      <c r="E767">
        <f>IF(ISNUMBER(INDEX('Aides'!$S$4:$S$503,264)),TEXT(INDEX('Aides'!$S$4:$S$503,264),"yyyy-mm-dd"),"")</f>
        <v/>
      </c>
      <c r="F767">
        <f>"Training"</f>
        <v/>
      </c>
      <c r="G767">
        <f>"Medium"</f>
        <v/>
      </c>
      <c r="H767">
        <f>TRIM(IF(LEN(IF(LEN(INDEX('Aides'!$U$4:$U$503,264))=0,"",INDEX('Aides'!$U$4:$U$503,264)))=0,"","Owner: "&amp;IF(LEN(INDEX('Aides'!$U$4:$U$503,264))=0,"",INDEX('Aides'!$U$4:$U$503,264))&amp;". "))</f>
        <v/>
      </c>
      <c r="I767">
        <f>""</f>
        <v/>
      </c>
      <c r="J767">
        <f>IF(LEN(INDEX('Aides'!$V$4:$V$503,264))=0,"",INDEX('Aides'!$V$4:$V$503,264))</f>
        <v/>
      </c>
    </row>
    <row r="768">
      <c r="A768">
        <f>IF(AND(LEN('Aides'!A268)&gt;0,ISNUMBER('Aides'!S268)),1,0)</f>
        <v/>
      </c>
      <c r="B768">
        <f>B767+A768</f>
        <v/>
      </c>
      <c r="C768">
        <f>IF(765&gt;$B$1503,"",MATCH(765-0.5,$B$3:$B$1503,1))</f>
        <v/>
      </c>
      <c r="D768">
        <f>"CPR / First Aid – "&amp;IF(LEN(INDEX('Aides'!$A$4:$A$503,265))=0,"",INDEX('Aides'!$A$4:$A$503,265))</f>
        <v/>
      </c>
      <c r="E768">
        <f>IF(ISNUMBER(INDEX('Aides'!$S$4:$S$503,265)),TEXT(INDEX('Aides'!$S$4:$S$503,265),"yyyy-mm-dd"),"")</f>
        <v/>
      </c>
      <c r="F768">
        <f>"Training"</f>
        <v/>
      </c>
      <c r="G768">
        <f>"Medium"</f>
        <v/>
      </c>
      <c r="H768">
        <f>TRIM(IF(LEN(IF(LEN(INDEX('Aides'!$U$4:$U$503,265))=0,"",INDEX('Aides'!$U$4:$U$503,265)))=0,"","Owner: "&amp;IF(LEN(INDEX('Aides'!$U$4:$U$503,265))=0,"",INDEX('Aides'!$U$4:$U$503,265))&amp;". "))</f>
        <v/>
      </c>
      <c r="I768">
        <f>""</f>
        <v/>
      </c>
      <c r="J768">
        <f>IF(LEN(INDEX('Aides'!$V$4:$V$503,265))=0,"",INDEX('Aides'!$V$4:$V$503,265))</f>
        <v/>
      </c>
    </row>
    <row r="769">
      <c r="A769">
        <f>IF(AND(LEN('Aides'!A269)&gt;0,ISNUMBER('Aides'!S269)),1,0)</f>
        <v/>
      </c>
      <c r="B769">
        <f>B768+A769</f>
        <v/>
      </c>
      <c r="C769">
        <f>IF(766&gt;$B$1503,"",MATCH(766-0.5,$B$3:$B$1503,1))</f>
        <v/>
      </c>
      <c r="D769">
        <f>"CPR / First Aid – "&amp;IF(LEN(INDEX('Aides'!$A$4:$A$503,266))=0,"",INDEX('Aides'!$A$4:$A$503,266))</f>
        <v/>
      </c>
      <c r="E769">
        <f>IF(ISNUMBER(INDEX('Aides'!$S$4:$S$503,266)),TEXT(INDEX('Aides'!$S$4:$S$503,266),"yyyy-mm-dd"),"")</f>
        <v/>
      </c>
      <c r="F769">
        <f>"Training"</f>
        <v/>
      </c>
      <c r="G769">
        <f>"Medium"</f>
        <v/>
      </c>
      <c r="H769">
        <f>TRIM(IF(LEN(IF(LEN(INDEX('Aides'!$U$4:$U$503,266))=0,"",INDEX('Aides'!$U$4:$U$503,266)))=0,"","Owner: "&amp;IF(LEN(INDEX('Aides'!$U$4:$U$503,266))=0,"",INDEX('Aides'!$U$4:$U$503,266))&amp;". "))</f>
        <v/>
      </c>
      <c r="I769">
        <f>""</f>
        <v/>
      </c>
      <c r="J769">
        <f>IF(LEN(INDEX('Aides'!$V$4:$V$503,266))=0,"",INDEX('Aides'!$V$4:$V$503,266))</f>
        <v/>
      </c>
    </row>
    <row r="770">
      <c r="A770">
        <f>IF(AND(LEN('Aides'!A270)&gt;0,ISNUMBER('Aides'!S270)),1,0)</f>
        <v/>
      </c>
      <c r="B770">
        <f>B769+A770</f>
        <v/>
      </c>
      <c r="C770">
        <f>IF(767&gt;$B$1503,"",MATCH(767-0.5,$B$3:$B$1503,1))</f>
        <v/>
      </c>
      <c r="D770">
        <f>"CPR / First Aid – "&amp;IF(LEN(INDEX('Aides'!$A$4:$A$503,267))=0,"",INDEX('Aides'!$A$4:$A$503,267))</f>
        <v/>
      </c>
      <c r="E770">
        <f>IF(ISNUMBER(INDEX('Aides'!$S$4:$S$503,267)),TEXT(INDEX('Aides'!$S$4:$S$503,267),"yyyy-mm-dd"),"")</f>
        <v/>
      </c>
      <c r="F770">
        <f>"Training"</f>
        <v/>
      </c>
      <c r="G770">
        <f>"Medium"</f>
        <v/>
      </c>
      <c r="H770">
        <f>TRIM(IF(LEN(IF(LEN(INDEX('Aides'!$U$4:$U$503,267))=0,"",INDEX('Aides'!$U$4:$U$503,267)))=0,"","Owner: "&amp;IF(LEN(INDEX('Aides'!$U$4:$U$503,267))=0,"",INDEX('Aides'!$U$4:$U$503,267))&amp;". "))</f>
        <v/>
      </c>
      <c r="I770">
        <f>""</f>
        <v/>
      </c>
      <c r="J770">
        <f>IF(LEN(INDEX('Aides'!$V$4:$V$503,267))=0,"",INDEX('Aides'!$V$4:$V$503,267))</f>
        <v/>
      </c>
    </row>
    <row r="771">
      <c r="A771">
        <f>IF(AND(LEN('Aides'!A271)&gt;0,ISNUMBER('Aides'!S271)),1,0)</f>
        <v/>
      </c>
      <c r="B771">
        <f>B770+A771</f>
        <v/>
      </c>
      <c r="C771">
        <f>IF(768&gt;$B$1503,"",MATCH(768-0.5,$B$3:$B$1503,1))</f>
        <v/>
      </c>
      <c r="D771">
        <f>"CPR / First Aid – "&amp;IF(LEN(INDEX('Aides'!$A$4:$A$503,268))=0,"",INDEX('Aides'!$A$4:$A$503,268))</f>
        <v/>
      </c>
      <c r="E771">
        <f>IF(ISNUMBER(INDEX('Aides'!$S$4:$S$503,268)),TEXT(INDEX('Aides'!$S$4:$S$503,268),"yyyy-mm-dd"),"")</f>
        <v/>
      </c>
      <c r="F771">
        <f>"Training"</f>
        <v/>
      </c>
      <c r="G771">
        <f>"Medium"</f>
        <v/>
      </c>
      <c r="H771">
        <f>TRIM(IF(LEN(IF(LEN(INDEX('Aides'!$U$4:$U$503,268))=0,"",INDEX('Aides'!$U$4:$U$503,268)))=0,"","Owner: "&amp;IF(LEN(INDEX('Aides'!$U$4:$U$503,268))=0,"",INDEX('Aides'!$U$4:$U$503,268))&amp;". "))</f>
        <v/>
      </c>
      <c r="I771">
        <f>""</f>
        <v/>
      </c>
      <c r="J771">
        <f>IF(LEN(INDEX('Aides'!$V$4:$V$503,268))=0,"",INDEX('Aides'!$V$4:$V$503,268))</f>
        <v/>
      </c>
    </row>
    <row r="772">
      <c r="A772">
        <f>IF(AND(LEN('Aides'!A272)&gt;0,ISNUMBER('Aides'!S272)),1,0)</f>
        <v/>
      </c>
      <c r="B772">
        <f>B771+A772</f>
        <v/>
      </c>
      <c r="C772">
        <f>IF(769&gt;$B$1503,"",MATCH(769-0.5,$B$3:$B$1503,1))</f>
        <v/>
      </c>
      <c r="D772">
        <f>"CPR / First Aid – "&amp;IF(LEN(INDEX('Aides'!$A$4:$A$503,269))=0,"",INDEX('Aides'!$A$4:$A$503,269))</f>
        <v/>
      </c>
      <c r="E772">
        <f>IF(ISNUMBER(INDEX('Aides'!$S$4:$S$503,269)),TEXT(INDEX('Aides'!$S$4:$S$503,269),"yyyy-mm-dd"),"")</f>
        <v/>
      </c>
      <c r="F772">
        <f>"Training"</f>
        <v/>
      </c>
      <c r="G772">
        <f>"Medium"</f>
        <v/>
      </c>
      <c r="H772">
        <f>TRIM(IF(LEN(IF(LEN(INDEX('Aides'!$U$4:$U$503,269))=0,"",INDEX('Aides'!$U$4:$U$503,269)))=0,"","Owner: "&amp;IF(LEN(INDEX('Aides'!$U$4:$U$503,269))=0,"",INDEX('Aides'!$U$4:$U$503,269))&amp;". "))</f>
        <v/>
      </c>
      <c r="I772">
        <f>""</f>
        <v/>
      </c>
      <c r="J772">
        <f>IF(LEN(INDEX('Aides'!$V$4:$V$503,269))=0,"",INDEX('Aides'!$V$4:$V$503,269))</f>
        <v/>
      </c>
    </row>
    <row r="773">
      <c r="A773">
        <f>IF(AND(LEN('Aides'!A273)&gt;0,ISNUMBER('Aides'!S273)),1,0)</f>
        <v/>
      </c>
      <c r="B773">
        <f>B772+A773</f>
        <v/>
      </c>
      <c r="C773">
        <f>IF(770&gt;$B$1503,"",MATCH(770-0.5,$B$3:$B$1503,1))</f>
        <v/>
      </c>
      <c r="D773">
        <f>"CPR / First Aid – "&amp;IF(LEN(INDEX('Aides'!$A$4:$A$503,270))=0,"",INDEX('Aides'!$A$4:$A$503,270))</f>
        <v/>
      </c>
      <c r="E773">
        <f>IF(ISNUMBER(INDEX('Aides'!$S$4:$S$503,270)),TEXT(INDEX('Aides'!$S$4:$S$503,270),"yyyy-mm-dd"),"")</f>
        <v/>
      </c>
      <c r="F773">
        <f>"Training"</f>
        <v/>
      </c>
      <c r="G773">
        <f>"Medium"</f>
        <v/>
      </c>
      <c r="H773">
        <f>TRIM(IF(LEN(IF(LEN(INDEX('Aides'!$U$4:$U$503,270))=0,"",INDEX('Aides'!$U$4:$U$503,270)))=0,"","Owner: "&amp;IF(LEN(INDEX('Aides'!$U$4:$U$503,270))=0,"",INDEX('Aides'!$U$4:$U$503,270))&amp;". "))</f>
        <v/>
      </c>
      <c r="I773">
        <f>""</f>
        <v/>
      </c>
      <c r="J773">
        <f>IF(LEN(INDEX('Aides'!$V$4:$V$503,270))=0,"",INDEX('Aides'!$V$4:$V$503,270))</f>
        <v/>
      </c>
    </row>
    <row r="774">
      <c r="A774">
        <f>IF(AND(LEN('Aides'!A274)&gt;0,ISNUMBER('Aides'!S274)),1,0)</f>
        <v/>
      </c>
      <c r="B774">
        <f>B773+A774</f>
        <v/>
      </c>
      <c r="C774">
        <f>IF(771&gt;$B$1503,"",MATCH(771-0.5,$B$3:$B$1503,1))</f>
        <v/>
      </c>
      <c r="D774">
        <f>"CPR / First Aid – "&amp;IF(LEN(INDEX('Aides'!$A$4:$A$503,271))=0,"",INDEX('Aides'!$A$4:$A$503,271))</f>
        <v/>
      </c>
      <c r="E774">
        <f>IF(ISNUMBER(INDEX('Aides'!$S$4:$S$503,271)),TEXT(INDEX('Aides'!$S$4:$S$503,271),"yyyy-mm-dd"),"")</f>
        <v/>
      </c>
      <c r="F774">
        <f>"Training"</f>
        <v/>
      </c>
      <c r="G774">
        <f>"Medium"</f>
        <v/>
      </c>
      <c r="H774">
        <f>TRIM(IF(LEN(IF(LEN(INDEX('Aides'!$U$4:$U$503,271))=0,"",INDEX('Aides'!$U$4:$U$503,271)))=0,"","Owner: "&amp;IF(LEN(INDEX('Aides'!$U$4:$U$503,271))=0,"",INDEX('Aides'!$U$4:$U$503,271))&amp;". "))</f>
        <v/>
      </c>
      <c r="I774">
        <f>""</f>
        <v/>
      </c>
      <c r="J774">
        <f>IF(LEN(INDEX('Aides'!$V$4:$V$503,271))=0,"",INDEX('Aides'!$V$4:$V$503,271))</f>
        <v/>
      </c>
    </row>
    <row r="775">
      <c r="A775">
        <f>IF(AND(LEN('Aides'!A275)&gt;0,ISNUMBER('Aides'!S275)),1,0)</f>
        <v/>
      </c>
      <c r="B775">
        <f>B774+A775</f>
        <v/>
      </c>
      <c r="C775">
        <f>IF(772&gt;$B$1503,"",MATCH(772-0.5,$B$3:$B$1503,1))</f>
        <v/>
      </c>
      <c r="D775">
        <f>"CPR / First Aid – "&amp;IF(LEN(INDEX('Aides'!$A$4:$A$503,272))=0,"",INDEX('Aides'!$A$4:$A$503,272))</f>
        <v/>
      </c>
      <c r="E775">
        <f>IF(ISNUMBER(INDEX('Aides'!$S$4:$S$503,272)),TEXT(INDEX('Aides'!$S$4:$S$503,272),"yyyy-mm-dd"),"")</f>
        <v/>
      </c>
      <c r="F775">
        <f>"Training"</f>
        <v/>
      </c>
      <c r="G775">
        <f>"Medium"</f>
        <v/>
      </c>
      <c r="H775">
        <f>TRIM(IF(LEN(IF(LEN(INDEX('Aides'!$U$4:$U$503,272))=0,"",INDEX('Aides'!$U$4:$U$503,272)))=0,"","Owner: "&amp;IF(LEN(INDEX('Aides'!$U$4:$U$503,272))=0,"",INDEX('Aides'!$U$4:$U$503,272))&amp;". "))</f>
        <v/>
      </c>
      <c r="I775">
        <f>""</f>
        <v/>
      </c>
      <c r="J775">
        <f>IF(LEN(INDEX('Aides'!$V$4:$V$503,272))=0,"",INDEX('Aides'!$V$4:$V$503,272))</f>
        <v/>
      </c>
    </row>
    <row r="776">
      <c r="A776">
        <f>IF(AND(LEN('Aides'!A276)&gt;0,ISNUMBER('Aides'!S276)),1,0)</f>
        <v/>
      </c>
      <c r="B776">
        <f>B775+A776</f>
        <v/>
      </c>
      <c r="C776">
        <f>IF(773&gt;$B$1503,"",MATCH(773-0.5,$B$3:$B$1503,1))</f>
        <v/>
      </c>
      <c r="D776">
        <f>"CPR / First Aid – "&amp;IF(LEN(INDEX('Aides'!$A$4:$A$503,273))=0,"",INDEX('Aides'!$A$4:$A$503,273))</f>
        <v/>
      </c>
      <c r="E776">
        <f>IF(ISNUMBER(INDEX('Aides'!$S$4:$S$503,273)),TEXT(INDEX('Aides'!$S$4:$S$503,273),"yyyy-mm-dd"),"")</f>
        <v/>
      </c>
      <c r="F776">
        <f>"Training"</f>
        <v/>
      </c>
      <c r="G776">
        <f>"Medium"</f>
        <v/>
      </c>
      <c r="H776">
        <f>TRIM(IF(LEN(IF(LEN(INDEX('Aides'!$U$4:$U$503,273))=0,"",INDEX('Aides'!$U$4:$U$503,273)))=0,"","Owner: "&amp;IF(LEN(INDEX('Aides'!$U$4:$U$503,273))=0,"",INDEX('Aides'!$U$4:$U$503,273))&amp;". "))</f>
        <v/>
      </c>
      <c r="I776">
        <f>""</f>
        <v/>
      </c>
      <c r="J776">
        <f>IF(LEN(INDEX('Aides'!$V$4:$V$503,273))=0,"",INDEX('Aides'!$V$4:$V$503,273))</f>
        <v/>
      </c>
    </row>
    <row r="777">
      <c r="A777">
        <f>IF(AND(LEN('Aides'!A277)&gt;0,ISNUMBER('Aides'!S277)),1,0)</f>
        <v/>
      </c>
      <c r="B777">
        <f>B776+A777</f>
        <v/>
      </c>
      <c r="C777">
        <f>IF(774&gt;$B$1503,"",MATCH(774-0.5,$B$3:$B$1503,1))</f>
        <v/>
      </c>
      <c r="D777">
        <f>"CPR / First Aid – "&amp;IF(LEN(INDEX('Aides'!$A$4:$A$503,274))=0,"",INDEX('Aides'!$A$4:$A$503,274))</f>
        <v/>
      </c>
      <c r="E777">
        <f>IF(ISNUMBER(INDEX('Aides'!$S$4:$S$503,274)),TEXT(INDEX('Aides'!$S$4:$S$503,274),"yyyy-mm-dd"),"")</f>
        <v/>
      </c>
      <c r="F777">
        <f>"Training"</f>
        <v/>
      </c>
      <c r="G777">
        <f>"Medium"</f>
        <v/>
      </c>
      <c r="H777">
        <f>TRIM(IF(LEN(IF(LEN(INDEX('Aides'!$U$4:$U$503,274))=0,"",INDEX('Aides'!$U$4:$U$503,274)))=0,"","Owner: "&amp;IF(LEN(INDEX('Aides'!$U$4:$U$503,274))=0,"",INDEX('Aides'!$U$4:$U$503,274))&amp;". "))</f>
        <v/>
      </c>
      <c r="I777">
        <f>""</f>
        <v/>
      </c>
      <c r="J777">
        <f>IF(LEN(INDEX('Aides'!$V$4:$V$503,274))=0,"",INDEX('Aides'!$V$4:$V$503,274))</f>
        <v/>
      </c>
    </row>
    <row r="778">
      <c r="A778">
        <f>IF(AND(LEN('Aides'!A278)&gt;0,ISNUMBER('Aides'!S278)),1,0)</f>
        <v/>
      </c>
      <c r="B778">
        <f>B777+A778</f>
        <v/>
      </c>
      <c r="C778">
        <f>IF(775&gt;$B$1503,"",MATCH(775-0.5,$B$3:$B$1503,1))</f>
        <v/>
      </c>
      <c r="D778">
        <f>"CPR / First Aid – "&amp;IF(LEN(INDEX('Aides'!$A$4:$A$503,275))=0,"",INDEX('Aides'!$A$4:$A$503,275))</f>
        <v/>
      </c>
      <c r="E778">
        <f>IF(ISNUMBER(INDEX('Aides'!$S$4:$S$503,275)),TEXT(INDEX('Aides'!$S$4:$S$503,275),"yyyy-mm-dd"),"")</f>
        <v/>
      </c>
      <c r="F778">
        <f>"Training"</f>
        <v/>
      </c>
      <c r="G778">
        <f>"Medium"</f>
        <v/>
      </c>
      <c r="H778">
        <f>TRIM(IF(LEN(IF(LEN(INDEX('Aides'!$U$4:$U$503,275))=0,"",INDEX('Aides'!$U$4:$U$503,275)))=0,"","Owner: "&amp;IF(LEN(INDEX('Aides'!$U$4:$U$503,275))=0,"",INDEX('Aides'!$U$4:$U$503,275))&amp;". "))</f>
        <v/>
      </c>
      <c r="I778">
        <f>""</f>
        <v/>
      </c>
      <c r="J778">
        <f>IF(LEN(INDEX('Aides'!$V$4:$V$503,275))=0,"",INDEX('Aides'!$V$4:$V$503,275))</f>
        <v/>
      </c>
    </row>
    <row r="779">
      <c r="A779">
        <f>IF(AND(LEN('Aides'!A279)&gt;0,ISNUMBER('Aides'!S279)),1,0)</f>
        <v/>
      </c>
      <c r="B779">
        <f>B778+A779</f>
        <v/>
      </c>
      <c r="C779">
        <f>IF(776&gt;$B$1503,"",MATCH(776-0.5,$B$3:$B$1503,1))</f>
        <v/>
      </c>
      <c r="D779">
        <f>"CPR / First Aid – "&amp;IF(LEN(INDEX('Aides'!$A$4:$A$503,276))=0,"",INDEX('Aides'!$A$4:$A$503,276))</f>
        <v/>
      </c>
      <c r="E779">
        <f>IF(ISNUMBER(INDEX('Aides'!$S$4:$S$503,276)),TEXT(INDEX('Aides'!$S$4:$S$503,276),"yyyy-mm-dd"),"")</f>
        <v/>
      </c>
      <c r="F779">
        <f>"Training"</f>
        <v/>
      </c>
      <c r="G779">
        <f>"Medium"</f>
        <v/>
      </c>
      <c r="H779">
        <f>TRIM(IF(LEN(IF(LEN(INDEX('Aides'!$U$4:$U$503,276))=0,"",INDEX('Aides'!$U$4:$U$503,276)))=0,"","Owner: "&amp;IF(LEN(INDEX('Aides'!$U$4:$U$503,276))=0,"",INDEX('Aides'!$U$4:$U$503,276))&amp;". "))</f>
        <v/>
      </c>
      <c r="I779">
        <f>""</f>
        <v/>
      </c>
      <c r="J779">
        <f>IF(LEN(INDEX('Aides'!$V$4:$V$503,276))=0,"",INDEX('Aides'!$V$4:$V$503,276))</f>
        <v/>
      </c>
    </row>
    <row r="780">
      <c r="A780">
        <f>IF(AND(LEN('Aides'!A280)&gt;0,ISNUMBER('Aides'!S280)),1,0)</f>
        <v/>
      </c>
      <c r="B780">
        <f>B779+A780</f>
        <v/>
      </c>
      <c r="C780">
        <f>IF(777&gt;$B$1503,"",MATCH(777-0.5,$B$3:$B$1503,1))</f>
        <v/>
      </c>
      <c r="D780">
        <f>"CPR / First Aid – "&amp;IF(LEN(INDEX('Aides'!$A$4:$A$503,277))=0,"",INDEX('Aides'!$A$4:$A$503,277))</f>
        <v/>
      </c>
      <c r="E780">
        <f>IF(ISNUMBER(INDEX('Aides'!$S$4:$S$503,277)),TEXT(INDEX('Aides'!$S$4:$S$503,277),"yyyy-mm-dd"),"")</f>
        <v/>
      </c>
      <c r="F780">
        <f>"Training"</f>
        <v/>
      </c>
      <c r="G780">
        <f>"Medium"</f>
        <v/>
      </c>
      <c r="H780">
        <f>TRIM(IF(LEN(IF(LEN(INDEX('Aides'!$U$4:$U$503,277))=0,"",INDEX('Aides'!$U$4:$U$503,277)))=0,"","Owner: "&amp;IF(LEN(INDEX('Aides'!$U$4:$U$503,277))=0,"",INDEX('Aides'!$U$4:$U$503,277))&amp;". "))</f>
        <v/>
      </c>
      <c r="I780">
        <f>""</f>
        <v/>
      </c>
      <c r="J780">
        <f>IF(LEN(INDEX('Aides'!$V$4:$V$503,277))=0,"",INDEX('Aides'!$V$4:$V$503,277))</f>
        <v/>
      </c>
    </row>
    <row r="781">
      <c r="A781">
        <f>IF(AND(LEN('Aides'!A281)&gt;0,ISNUMBER('Aides'!S281)),1,0)</f>
        <v/>
      </c>
      <c r="B781">
        <f>B780+A781</f>
        <v/>
      </c>
      <c r="C781">
        <f>IF(778&gt;$B$1503,"",MATCH(778-0.5,$B$3:$B$1503,1))</f>
        <v/>
      </c>
      <c r="D781">
        <f>"CPR / First Aid – "&amp;IF(LEN(INDEX('Aides'!$A$4:$A$503,278))=0,"",INDEX('Aides'!$A$4:$A$503,278))</f>
        <v/>
      </c>
      <c r="E781">
        <f>IF(ISNUMBER(INDEX('Aides'!$S$4:$S$503,278)),TEXT(INDEX('Aides'!$S$4:$S$503,278),"yyyy-mm-dd"),"")</f>
        <v/>
      </c>
      <c r="F781">
        <f>"Training"</f>
        <v/>
      </c>
      <c r="G781">
        <f>"Medium"</f>
        <v/>
      </c>
      <c r="H781">
        <f>TRIM(IF(LEN(IF(LEN(INDEX('Aides'!$U$4:$U$503,278))=0,"",INDEX('Aides'!$U$4:$U$503,278)))=0,"","Owner: "&amp;IF(LEN(INDEX('Aides'!$U$4:$U$503,278))=0,"",INDEX('Aides'!$U$4:$U$503,278))&amp;". "))</f>
        <v/>
      </c>
      <c r="I781">
        <f>""</f>
        <v/>
      </c>
      <c r="J781">
        <f>IF(LEN(INDEX('Aides'!$V$4:$V$503,278))=0,"",INDEX('Aides'!$V$4:$V$503,278))</f>
        <v/>
      </c>
    </row>
    <row r="782">
      <c r="A782">
        <f>IF(AND(LEN('Aides'!A282)&gt;0,ISNUMBER('Aides'!S282)),1,0)</f>
        <v/>
      </c>
      <c r="B782">
        <f>B781+A782</f>
        <v/>
      </c>
      <c r="C782">
        <f>IF(779&gt;$B$1503,"",MATCH(779-0.5,$B$3:$B$1503,1))</f>
        <v/>
      </c>
      <c r="D782">
        <f>"CPR / First Aid – "&amp;IF(LEN(INDEX('Aides'!$A$4:$A$503,279))=0,"",INDEX('Aides'!$A$4:$A$503,279))</f>
        <v/>
      </c>
      <c r="E782">
        <f>IF(ISNUMBER(INDEX('Aides'!$S$4:$S$503,279)),TEXT(INDEX('Aides'!$S$4:$S$503,279),"yyyy-mm-dd"),"")</f>
        <v/>
      </c>
      <c r="F782">
        <f>"Training"</f>
        <v/>
      </c>
      <c r="G782">
        <f>"Medium"</f>
        <v/>
      </c>
      <c r="H782">
        <f>TRIM(IF(LEN(IF(LEN(INDEX('Aides'!$U$4:$U$503,279))=0,"",INDEX('Aides'!$U$4:$U$503,279)))=0,"","Owner: "&amp;IF(LEN(INDEX('Aides'!$U$4:$U$503,279))=0,"",INDEX('Aides'!$U$4:$U$503,279))&amp;". "))</f>
        <v/>
      </c>
      <c r="I782">
        <f>""</f>
        <v/>
      </c>
      <c r="J782">
        <f>IF(LEN(INDEX('Aides'!$V$4:$V$503,279))=0,"",INDEX('Aides'!$V$4:$V$503,279))</f>
        <v/>
      </c>
    </row>
    <row r="783">
      <c r="A783">
        <f>IF(AND(LEN('Aides'!A283)&gt;0,ISNUMBER('Aides'!S283)),1,0)</f>
        <v/>
      </c>
      <c r="B783">
        <f>B782+A783</f>
        <v/>
      </c>
      <c r="C783">
        <f>IF(780&gt;$B$1503,"",MATCH(780-0.5,$B$3:$B$1503,1))</f>
        <v/>
      </c>
      <c r="D783">
        <f>"CPR / First Aid – "&amp;IF(LEN(INDEX('Aides'!$A$4:$A$503,280))=0,"",INDEX('Aides'!$A$4:$A$503,280))</f>
        <v/>
      </c>
      <c r="E783">
        <f>IF(ISNUMBER(INDEX('Aides'!$S$4:$S$503,280)),TEXT(INDEX('Aides'!$S$4:$S$503,280),"yyyy-mm-dd"),"")</f>
        <v/>
      </c>
      <c r="F783">
        <f>"Training"</f>
        <v/>
      </c>
      <c r="G783">
        <f>"Medium"</f>
        <v/>
      </c>
      <c r="H783">
        <f>TRIM(IF(LEN(IF(LEN(INDEX('Aides'!$U$4:$U$503,280))=0,"",INDEX('Aides'!$U$4:$U$503,280)))=0,"","Owner: "&amp;IF(LEN(INDEX('Aides'!$U$4:$U$503,280))=0,"",INDEX('Aides'!$U$4:$U$503,280))&amp;". "))</f>
        <v/>
      </c>
      <c r="I783">
        <f>""</f>
        <v/>
      </c>
      <c r="J783">
        <f>IF(LEN(INDEX('Aides'!$V$4:$V$503,280))=0,"",INDEX('Aides'!$V$4:$V$503,280))</f>
        <v/>
      </c>
    </row>
    <row r="784">
      <c r="A784">
        <f>IF(AND(LEN('Aides'!A284)&gt;0,ISNUMBER('Aides'!S284)),1,0)</f>
        <v/>
      </c>
      <c r="B784">
        <f>B783+A784</f>
        <v/>
      </c>
      <c r="C784">
        <f>IF(781&gt;$B$1503,"",MATCH(781-0.5,$B$3:$B$1503,1))</f>
        <v/>
      </c>
      <c r="D784">
        <f>"CPR / First Aid – "&amp;IF(LEN(INDEX('Aides'!$A$4:$A$503,281))=0,"",INDEX('Aides'!$A$4:$A$503,281))</f>
        <v/>
      </c>
      <c r="E784">
        <f>IF(ISNUMBER(INDEX('Aides'!$S$4:$S$503,281)),TEXT(INDEX('Aides'!$S$4:$S$503,281),"yyyy-mm-dd"),"")</f>
        <v/>
      </c>
      <c r="F784">
        <f>"Training"</f>
        <v/>
      </c>
      <c r="G784">
        <f>"Medium"</f>
        <v/>
      </c>
      <c r="H784">
        <f>TRIM(IF(LEN(IF(LEN(INDEX('Aides'!$U$4:$U$503,281))=0,"",INDEX('Aides'!$U$4:$U$503,281)))=0,"","Owner: "&amp;IF(LEN(INDEX('Aides'!$U$4:$U$503,281))=0,"",INDEX('Aides'!$U$4:$U$503,281))&amp;". "))</f>
        <v/>
      </c>
      <c r="I784">
        <f>""</f>
        <v/>
      </c>
      <c r="J784">
        <f>IF(LEN(INDEX('Aides'!$V$4:$V$503,281))=0,"",INDEX('Aides'!$V$4:$V$503,281))</f>
        <v/>
      </c>
    </row>
    <row r="785">
      <c r="A785">
        <f>IF(AND(LEN('Aides'!A285)&gt;0,ISNUMBER('Aides'!S285)),1,0)</f>
        <v/>
      </c>
      <c r="B785">
        <f>B784+A785</f>
        <v/>
      </c>
      <c r="C785">
        <f>IF(782&gt;$B$1503,"",MATCH(782-0.5,$B$3:$B$1503,1))</f>
        <v/>
      </c>
      <c r="D785">
        <f>"CPR / First Aid – "&amp;IF(LEN(INDEX('Aides'!$A$4:$A$503,282))=0,"",INDEX('Aides'!$A$4:$A$503,282))</f>
        <v/>
      </c>
      <c r="E785">
        <f>IF(ISNUMBER(INDEX('Aides'!$S$4:$S$503,282)),TEXT(INDEX('Aides'!$S$4:$S$503,282),"yyyy-mm-dd"),"")</f>
        <v/>
      </c>
      <c r="F785">
        <f>"Training"</f>
        <v/>
      </c>
      <c r="G785">
        <f>"Medium"</f>
        <v/>
      </c>
      <c r="H785">
        <f>TRIM(IF(LEN(IF(LEN(INDEX('Aides'!$U$4:$U$503,282))=0,"",INDEX('Aides'!$U$4:$U$503,282)))=0,"","Owner: "&amp;IF(LEN(INDEX('Aides'!$U$4:$U$503,282))=0,"",INDEX('Aides'!$U$4:$U$503,282))&amp;". "))</f>
        <v/>
      </c>
      <c r="I785">
        <f>""</f>
        <v/>
      </c>
      <c r="J785">
        <f>IF(LEN(INDEX('Aides'!$V$4:$V$503,282))=0,"",INDEX('Aides'!$V$4:$V$503,282))</f>
        <v/>
      </c>
    </row>
    <row r="786">
      <c r="A786">
        <f>IF(AND(LEN('Aides'!A286)&gt;0,ISNUMBER('Aides'!S286)),1,0)</f>
        <v/>
      </c>
      <c r="B786">
        <f>B785+A786</f>
        <v/>
      </c>
      <c r="C786">
        <f>IF(783&gt;$B$1503,"",MATCH(783-0.5,$B$3:$B$1503,1))</f>
        <v/>
      </c>
      <c r="D786">
        <f>"CPR / First Aid – "&amp;IF(LEN(INDEX('Aides'!$A$4:$A$503,283))=0,"",INDEX('Aides'!$A$4:$A$503,283))</f>
        <v/>
      </c>
      <c r="E786">
        <f>IF(ISNUMBER(INDEX('Aides'!$S$4:$S$503,283)),TEXT(INDEX('Aides'!$S$4:$S$503,283),"yyyy-mm-dd"),"")</f>
        <v/>
      </c>
      <c r="F786">
        <f>"Training"</f>
        <v/>
      </c>
      <c r="G786">
        <f>"Medium"</f>
        <v/>
      </c>
      <c r="H786">
        <f>TRIM(IF(LEN(IF(LEN(INDEX('Aides'!$U$4:$U$503,283))=0,"",INDEX('Aides'!$U$4:$U$503,283)))=0,"","Owner: "&amp;IF(LEN(INDEX('Aides'!$U$4:$U$503,283))=0,"",INDEX('Aides'!$U$4:$U$503,283))&amp;". "))</f>
        <v/>
      </c>
      <c r="I786">
        <f>""</f>
        <v/>
      </c>
      <c r="J786">
        <f>IF(LEN(INDEX('Aides'!$V$4:$V$503,283))=0,"",INDEX('Aides'!$V$4:$V$503,283))</f>
        <v/>
      </c>
    </row>
    <row r="787">
      <c r="A787">
        <f>IF(AND(LEN('Aides'!A287)&gt;0,ISNUMBER('Aides'!S287)),1,0)</f>
        <v/>
      </c>
      <c r="B787">
        <f>B786+A787</f>
        <v/>
      </c>
      <c r="C787">
        <f>IF(784&gt;$B$1503,"",MATCH(784-0.5,$B$3:$B$1503,1))</f>
        <v/>
      </c>
      <c r="D787">
        <f>"CPR / First Aid – "&amp;IF(LEN(INDEX('Aides'!$A$4:$A$503,284))=0,"",INDEX('Aides'!$A$4:$A$503,284))</f>
        <v/>
      </c>
      <c r="E787">
        <f>IF(ISNUMBER(INDEX('Aides'!$S$4:$S$503,284)),TEXT(INDEX('Aides'!$S$4:$S$503,284),"yyyy-mm-dd"),"")</f>
        <v/>
      </c>
      <c r="F787">
        <f>"Training"</f>
        <v/>
      </c>
      <c r="G787">
        <f>"Medium"</f>
        <v/>
      </c>
      <c r="H787">
        <f>TRIM(IF(LEN(IF(LEN(INDEX('Aides'!$U$4:$U$503,284))=0,"",INDEX('Aides'!$U$4:$U$503,284)))=0,"","Owner: "&amp;IF(LEN(INDEX('Aides'!$U$4:$U$503,284))=0,"",INDEX('Aides'!$U$4:$U$503,284))&amp;". "))</f>
        <v/>
      </c>
      <c r="I787">
        <f>""</f>
        <v/>
      </c>
      <c r="J787">
        <f>IF(LEN(INDEX('Aides'!$V$4:$V$503,284))=0,"",INDEX('Aides'!$V$4:$V$503,284))</f>
        <v/>
      </c>
    </row>
    <row r="788">
      <c r="A788">
        <f>IF(AND(LEN('Aides'!A288)&gt;0,ISNUMBER('Aides'!S288)),1,0)</f>
        <v/>
      </c>
      <c r="B788">
        <f>B787+A788</f>
        <v/>
      </c>
      <c r="C788">
        <f>IF(785&gt;$B$1503,"",MATCH(785-0.5,$B$3:$B$1503,1))</f>
        <v/>
      </c>
      <c r="D788">
        <f>"CPR / First Aid – "&amp;IF(LEN(INDEX('Aides'!$A$4:$A$503,285))=0,"",INDEX('Aides'!$A$4:$A$503,285))</f>
        <v/>
      </c>
      <c r="E788">
        <f>IF(ISNUMBER(INDEX('Aides'!$S$4:$S$503,285)),TEXT(INDEX('Aides'!$S$4:$S$503,285),"yyyy-mm-dd"),"")</f>
        <v/>
      </c>
      <c r="F788">
        <f>"Training"</f>
        <v/>
      </c>
      <c r="G788">
        <f>"Medium"</f>
        <v/>
      </c>
      <c r="H788">
        <f>TRIM(IF(LEN(IF(LEN(INDEX('Aides'!$U$4:$U$503,285))=0,"",INDEX('Aides'!$U$4:$U$503,285)))=0,"","Owner: "&amp;IF(LEN(INDEX('Aides'!$U$4:$U$503,285))=0,"",INDEX('Aides'!$U$4:$U$503,285))&amp;". "))</f>
        <v/>
      </c>
      <c r="I788">
        <f>""</f>
        <v/>
      </c>
      <c r="J788">
        <f>IF(LEN(INDEX('Aides'!$V$4:$V$503,285))=0,"",INDEX('Aides'!$V$4:$V$503,285))</f>
        <v/>
      </c>
    </row>
    <row r="789">
      <c r="A789">
        <f>IF(AND(LEN('Aides'!A289)&gt;0,ISNUMBER('Aides'!S289)),1,0)</f>
        <v/>
      </c>
      <c r="B789">
        <f>B788+A789</f>
        <v/>
      </c>
      <c r="C789">
        <f>IF(786&gt;$B$1503,"",MATCH(786-0.5,$B$3:$B$1503,1))</f>
        <v/>
      </c>
      <c r="D789">
        <f>"CPR / First Aid – "&amp;IF(LEN(INDEX('Aides'!$A$4:$A$503,286))=0,"",INDEX('Aides'!$A$4:$A$503,286))</f>
        <v/>
      </c>
      <c r="E789">
        <f>IF(ISNUMBER(INDEX('Aides'!$S$4:$S$503,286)),TEXT(INDEX('Aides'!$S$4:$S$503,286),"yyyy-mm-dd"),"")</f>
        <v/>
      </c>
      <c r="F789">
        <f>"Training"</f>
        <v/>
      </c>
      <c r="G789">
        <f>"Medium"</f>
        <v/>
      </c>
      <c r="H789">
        <f>TRIM(IF(LEN(IF(LEN(INDEX('Aides'!$U$4:$U$503,286))=0,"",INDEX('Aides'!$U$4:$U$503,286)))=0,"","Owner: "&amp;IF(LEN(INDEX('Aides'!$U$4:$U$503,286))=0,"",INDEX('Aides'!$U$4:$U$503,286))&amp;". "))</f>
        <v/>
      </c>
      <c r="I789">
        <f>""</f>
        <v/>
      </c>
      <c r="J789">
        <f>IF(LEN(INDEX('Aides'!$V$4:$V$503,286))=0,"",INDEX('Aides'!$V$4:$V$503,286))</f>
        <v/>
      </c>
    </row>
    <row r="790">
      <c r="A790">
        <f>IF(AND(LEN('Aides'!A290)&gt;0,ISNUMBER('Aides'!S290)),1,0)</f>
        <v/>
      </c>
      <c r="B790">
        <f>B789+A790</f>
        <v/>
      </c>
      <c r="C790">
        <f>IF(787&gt;$B$1503,"",MATCH(787-0.5,$B$3:$B$1503,1))</f>
        <v/>
      </c>
      <c r="D790">
        <f>"CPR / First Aid – "&amp;IF(LEN(INDEX('Aides'!$A$4:$A$503,287))=0,"",INDEX('Aides'!$A$4:$A$503,287))</f>
        <v/>
      </c>
      <c r="E790">
        <f>IF(ISNUMBER(INDEX('Aides'!$S$4:$S$503,287)),TEXT(INDEX('Aides'!$S$4:$S$503,287),"yyyy-mm-dd"),"")</f>
        <v/>
      </c>
      <c r="F790">
        <f>"Training"</f>
        <v/>
      </c>
      <c r="G790">
        <f>"Medium"</f>
        <v/>
      </c>
      <c r="H790">
        <f>TRIM(IF(LEN(IF(LEN(INDEX('Aides'!$U$4:$U$503,287))=0,"",INDEX('Aides'!$U$4:$U$503,287)))=0,"","Owner: "&amp;IF(LEN(INDEX('Aides'!$U$4:$U$503,287))=0,"",INDEX('Aides'!$U$4:$U$503,287))&amp;". "))</f>
        <v/>
      </c>
      <c r="I790">
        <f>""</f>
        <v/>
      </c>
      <c r="J790">
        <f>IF(LEN(INDEX('Aides'!$V$4:$V$503,287))=0,"",INDEX('Aides'!$V$4:$V$503,287))</f>
        <v/>
      </c>
    </row>
    <row r="791">
      <c r="A791">
        <f>IF(AND(LEN('Aides'!A291)&gt;0,ISNUMBER('Aides'!S291)),1,0)</f>
        <v/>
      </c>
      <c r="B791">
        <f>B790+A791</f>
        <v/>
      </c>
      <c r="C791">
        <f>IF(788&gt;$B$1503,"",MATCH(788-0.5,$B$3:$B$1503,1))</f>
        <v/>
      </c>
      <c r="D791">
        <f>"CPR / First Aid – "&amp;IF(LEN(INDEX('Aides'!$A$4:$A$503,288))=0,"",INDEX('Aides'!$A$4:$A$503,288))</f>
        <v/>
      </c>
      <c r="E791">
        <f>IF(ISNUMBER(INDEX('Aides'!$S$4:$S$503,288)),TEXT(INDEX('Aides'!$S$4:$S$503,288),"yyyy-mm-dd"),"")</f>
        <v/>
      </c>
      <c r="F791">
        <f>"Training"</f>
        <v/>
      </c>
      <c r="G791">
        <f>"Medium"</f>
        <v/>
      </c>
      <c r="H791">
        <f>TRIM(IF(LEN(IF(LEN(INDEX('Aides'!$U$4:$U$503,288))=0,"",INDEX('Aides'!$U$4:$U$503,288)))=0,"","Owner: "&amp;IF(LEN(INDEX('Aides'!$U$4:$U$503,288))=0,"",INDEX('Aides'!$U$4:$U$503,288))&amp;". "))</f>
        <v/>
      </c>
      <c r="I791">
        <f>""</f>
        <v/>
      </c>
      <c r="J791">
        <f>IF(LEN(INDEX('Aides'!$V$4:$V$503,288))=0,"",INDEX('Aides'!$V$4:$V$503,288))</f>
        <v/>
      </c>
    </row>
    <row r="792">
      <c r="A792">
        <f>IF(AND(LEN('Aides'!A292)&gt;0,ISNUMBER('Aides'!S292)),1,0)</f>
        <v/>
      </c>
      <c r="B792">
        <f>B791+A792</f>
        <v/>
      </c>
      <c r="C792">
        <f>IF(789&gt;$B$1503,"",MATCH(789-0.5,$B$3:$B$1503,1))</f>
        <v/>
      </c>
      <c r="D792">
        <f>"CPR / First Aid – "&amp;IF(LEN(INDEX('Aides'!$A$4:$A$503,289))=0,"",INDEX('Aides'!$A$4:$A$503,289))</f>
        <v/>
      </c>
      <c r="E792">
        <f>IF(ISNUMBER(INDEX('Aides'!$S$4:$S$503,289)),TEXT(INDEX('Aides'!$S$4:$S$503,289),"yyyy-mm-dd"),"")</f>
        <v/>
      </c>
      <c r="F792">
        <f>"Training"</f>
        <v/>
      </c>
      <c r="G792">
        <f>"Medium"</f>
        <v/>
      </c>
      <c r="H792">
        <f>TRIM(IF(LEN(IF(LEN(INDEX('Aides'!$U$4:$U$503,289))=0,"",INDEX('Aides'!$U$4:$U$503,289)))=0,"","Owner: "&amp;IF(LEN(INDEX('Aides'!$U$4:$U$503,289))=0,"",INDEX('Aides'!$U$4:$U$503,289))&amp;". "))</f>
        <v/>
      </c>
      <c r="I792">
        <f>""</f>
        <v/>
      </c>
      <c r="J792">
        <f>IF(LEN(INDEX('Aides'!$V$4:$V$503,289))=0,"",INDEX('Aides'!$V$4:$V$503,289))</f>
        <v/>
      </c>
    </row>
    <row r="793">
      <c r="A793">
        <f>IF(AND(LEN('Aides'!A293)&gt;0,ISNUMBER('Aides'!S293)),1,0)</f>
        <v/>
      </c>
      <c r="B793">
        <f>B792+A793</f>
        <v/>
      </c>
      <c r="C793">
        <f>IF(790&gt;$B$1503,"",MATCH(790-0.5,$B$3:$B$1503,1))</f>
        <v/>
      </c>
      <c r="D793">
        <f>"CPR / First Aid – "&amp;IF(LEN(INDEX('Aides'!$A$4:$A$503,290))=0,"",INDEX('Aides'!$A$4:$A$503,290))</f>
        <v/>
      </c>
      <c r="E793">
        <f>IF(ISNUMBER(INDEX('Aides'!$S$4:$S$503,290)),TEXT(INDEX('Aides'!$S$4:$S$503,290),"yyyy-mm-dd"),"")</f>
        <v/>
      </c>
      <c r="F793">
        <f>"Training"</f>
        <v/>
      </c>
      <c r="G793">
        <f>"Medium"</f>
        <v/>
      </c>
      <c r="H793">
        <f>TRIM(IF(LEN(IF(LEN(INDEX('Aides'!$U$4:$U$503,290))=0,"",INDEX('Aides'!$U$4:$U$503,290)))=0,"","Owner: "&amp;IF(LEN(INDEX('Aides'!$U$4:$U$503,290))=0,"",INDEX('Aides'!$U$4:$U$503,290))&amp;". "))</f>
        <v/>
      </c>
      <c r="I793">
        <f>""</f>
        <v/>
      </c>
      <c r="J793">
        <f>IF(LEN(INDEX('Aides'!$V$4:$V$503,290))=0,"",INDEX('Aides'!$V$4:$V$503,290))</f>
        <v/>
      </c>
    </row>
    <row r="794">
      <c r="A794">
        <f>IF(AND(LEN('Aides'!A294)&gt;0,ISNUMBER('Aides'!S294)),1,0)</f>
        <v/>
      </c>
      <c r="B794">
        <f>B793+A794</f>
        <v/>
      </c>
      <c r="C794">
        <f>IF(791&gt;$B$1503,"",MATCH(791-0.5,$B$3:$B$1503,1))</f>
        <v/>
      </c>
      <c r="D794">
        <f>"CPR / First Aid – "&amp;IF(LEN(INDEX('Aides'!$A$4:$A$503,291))=0,"",INDEX('Aides'!$A$4:$A$503,291))</f>
        <v/>
      </c>
      <c r="E794">
        <f>IF(ISNUMBER(INDEX('Aides'!$S$4:$S$503,291)),TEXT(INDEX('Aides'!$S$4:$S$503,291),"yyyy-mm-dd"),"")</f>
        <v/>
      </c>
      <c r="F794">
        <f>"Training"</f>
        <v/>
      </c>
      <c r="G794">
        <f>"Medium"</f>
        <v/>
      </c>
      <c r="H794">
        <f>TRIM(IF(LEN(IF(LEN(INDEX('Aides'!$U$4:$U$503,291))=0,"",INDEX('Aides'!$U$4:$U$503,291)))=0,"","Owner: "&amp;IF(LEN(INDEX('Aides'!$U$4:$U$503,291))=0,"",INDEX('Aides'!$U$4:$U$503,291))&amp;". "))</f>
        <v/>
      </c>
      <c r="I794">
        <f>""</f>
        <v/>
      </c>
      <c r="J794">
        <f>IF(LEN(INDEX('Aides'!$V$4:$V$503,291))=0,"",INDEX('Aides'!$V$4:$V$503,291))</f>
        <v/>
      </c>
    </row>
    <row r="795">
      <c r="A795">
        <f>IF(AND(LEN('Aides'!A295)&gt;0,ISNUMBER('Aides'!S295)),1,0)</f>
        <v/>
      </c>
      <c r="B795">
        <f>B794+A795</f>
        <v/>
      </c>
      <c r="C795">
        <f>IF(792&gt;$B$1503,"",MATCH(792-0.5,$B$3:$B$1503,1))</f>
        <v/>
      </c>
      <c r="D795">
        <f>"CPR / First Aid – "&amp;IF(LEN(INDEX('Aides'!$A$4:$A$503,292))=0,"",INDEX('Aides'!$A$4:$A$503,292))</f>
        <v/>
      </c>
      <c r="E795">
        <f>IF(ISNUMBER(INDEX('Aides'!$S$4:$S$503,292)),TEXT(INDEX('Aides'!$S$4:$S$503,292),"yyyy-mm-dd"),"")</f>
        <v/>
      </c>
      <c r="F795">
        <f>"Training"</f>
        <v/>
      </c>
      <c r="G795">
        <f>"Medium"</f>
        <v/>
      </c>
      <c r="H795">
        <f>TRIM(IF(LEN(IF(LEN(INDEX('Aides'!$U$4:$U$503,292))=0,"",INDEX('Aides'!$U$4:$U$503,292)))=0,"","Owner: "&amp;IF(LEN(INDEX('Aides'!$U$4:$U$503,292))=0,"",INDEX('Aides'!$U$4:$U$503,292))&amp;". "))</f>
        <v/>
      </c>
      <c r="I795">
        <f>""</f>
        <v/>
      </c>
      <c r="J795">
        <f>IF(LEN(INDEX('Aides'!$V$4:$V$503,292))=0,"",INDEX('Aides'!$V$4:$V$503,292))</f>
        <v/>
      </c>
    </row>
    <row r="796">
      <c r="A796">
        <f>IF(AND(LEN('Aides'!A296)&gt;0,ISNUMBER('Aides'!S296)),1,0)</f>
        <v/>
      </c>
      <c r="B796">
        <f>B795+A796</f>
        <v/>
      </c>
      <c r="C796">
        <f>IF(793&gt;$B$1503,"",MATCH(793-0.5,$B$3:$B$1503,1))</f>
        <v/>
      </c>
      <c r="D796">
        <f>"CPR / First Aid – "&amp;IF(LEN(INDEX('Aides'!$A$4:$A$503,293))=0,"",INDEX('Aides'!$A$4:$A$503,293))</f>
        <v/>
      </c>
      <c r="E796">
        <f>IF(ISNUMBER(INDEX('Aides'!$S$4:$S$503,293)),TEXT(INDEX('Aides'!$S$4:$S$503,293),"yyyy-mm-dd"),"")</f>
        <v/>
      </c>
      <c r="F796">
        <f>"Training"</f>
        <v/>
      </c>
      <c r="G796">
        <f>"Medium"</f>
        <v/>
      </c>
      <c r="H796">
        <f>TRIM(IF(LEN(IF(LEN(INDEX('Aides'!$U$4:$U$503,293))=0,"",INDEX('Aides'!$U$4:$U$503,293)))=0,"","Owner: "&amp;IF(LEN(INDEX('Aides'!$U$4:$U$503,293))=0,"",INDEX('Aides'!$U$4:$U$503,293))&amp;". "))</f>
        <v/>
      </c>
      <c r="I796">
        <f>""</f>
        <v/>
      </c>
      <c r="J796">
        <f>IF(LEN(INDEX('Aides'!$V$4:$V$503,293))=0,"",INDEX('Aides'!$V$4:$V$503,293))</f>
        <v/>
      </c>
    </row>
    <row r="797">
      <c r="A797">
        <f>IF(AND(LEN('Aides'!A297)&gt;0,ISNUMBER('Aides'!S297)),1,0)</f>
        <v/>
      </c>
      <c r="B797">
        <f>B796+A797</f>
        <v/>
      </c>
      <c r="C797">
        <f>IF(794&gt;$B$1503,"",MATCH(794-0.5,$B$3:$B$1503,1))</f>
        <v/>
      </c>
      <c r="D797">
        <f>"CPR / First Aid – "&amp;IF(LEN(INDEX('Aides'!$A$4:$A$503,294))=0,"",INDEX('Aides'!$A$4:$A$503,294))</f>
        <v/>
      </c>
      <c r="E797">
        <f>IF(ISNUMBER(INDEX('Aides'!$S$4:$S$503,294)),TEXT(INDEX('Aides'!$S$4:$S$503,294),"yyyy-mm-dd"),"")</f>
        <v/>
      </c>
      <c r="F797">
        <f>"Training"</f>
        <v/>
      </c>
      <c r="G797">
        <f>"Medium"</f>
        <v/>
      </c>
      <c r="H797">
        <f>TRIM(IF(LEN(IF(LEN(INDEX('Aides'!$U$4:$U$503,294))=0,"",INDEX('Aides'!$U$4:$U$503,294)))=0,"","Owner: "&amp;IF(LEN(INDEX('Aides'!$U$4:$U$503,294))=0,"",INDEX('Aides'!$U$4:$U$503,294))&amp;". "))</f>
        <v/>
      </c>
      <c r="I797">
        <f>""</f>
        <v/>
      </c>
      <c r="J797">
        <f>IF(LEN(INDEX('Aides'!$V$4:$V$503,294))=0,"",INDEX('Aides'!$V$4:$V$503,294))</f>
        <v/>
      </c>
    </row>
    <row r="798">
      <c r="A798">
        <f>IF(AND(LEN('Aides'!A298)&gt;0,ISNUMBER('Aides'!S298)),1,0)</f>
        <v/>
      </c>
      <c r="B798">
        <f>B797+A798</f>
        <v/>
      </c>
      <c r="C798">
        <f>IF(795&gt;$B$1503,"",MATCH(795-0.5,$B$3:$B$1503,1))</f>
        <v/>
      </c>
      <c r="D798">
        <f>"CPR / First Aid – "&amp;IF(LEN(INDEX('Aides'!$A$4:$A$503,295))=0,"",INDEX('Aides'!$A$4:$A$503,295))</f>
        <v/>
      </c>
      <c r="E798">
        <f>IF(ISNUMBER(INDEX('Aides'!$S$4:$S$503,295)),TEXT(INDEX('Aides'!$S$4:$S$503,295),"yyyy-mm-dd"),"")</f>
        <v/>
      </c>
      <c r="F798">
        <f>"Training"</f>
        <v/>
      </c>
      <c r="G798">
        <f>"Medium"</f>
        <v/>
      </c>
      <c r="H798">
        <f>TRIM(IF(LEN(IF(LEN(INDEX('Aides'!$U$4:$U$503,295))=0,"",INDEX('Aides'!$U$4:$U$503,295)))=0,"","Owner: "&amp;IF(LEN(INDEX('Aides'!$U$4:$U$503,295))=0,"",INDEX('Aides'!$U$4:$U$503,295))&amp;". "))</f>
        <v/>
      </c>
      <c r="I798">
        <f>""</f>
        <v/>
      </c>
      <c r="J798">
        <f>IF(LEN(INDEX('Aides'!$V$4:$V$503,295))=0,"",INDEX('Aides'!$V$4:$V$503,295))</f>
        <v/>
      </c>
    </row>
    <row r="799">
      <c r="A799">
        <f>IF(AND(LEN('Aides'!A299)&gt;0,ISNUMBER('Aides'!S299)),1,0)</f>
        <v/>
      </c>
      <c r="B799">
        <f>B798+A799</f>
        <v/>
      </c>
      <c r="C799">
        <f>IF(796&gt;$B$1503,"",MATCH(796-0.5,$B$3:$B$1503,1))</f>
        <v/>
      </c>
      <c r="D799">
        <f>"CPR / First Aid – "&amp;IF(LEN(INDEX('Aides'!$A$4:$A$503,296))=0,"",INDEX('Aides'!$A$4:$A$503,296))</f>
        <v/>
      </c>
      <c r="E799">
        <f>IF(ISNUMBER(INDEX('Aides'!$S$4:$S$503,296)),TEXT(INDEX('Aides'!$S$4:$S$503,296),"yyyy-mm-dd"),"")</f>
        <v/>
      </c>
      <c r="F799">
        <f>"Training"</f>
        <v/>
      </c>
      <c r="G799">
        <f>"Medium"</f>
        <v/>
      </c>
      <c r="H799">
        <f>TRIM(IF(LEN(IF(LEN(INDEX('Aides'!$U$4:$U$503,296))=0,"",INDEX('Aides'!$U$4:$U$503,296)))=0,"","Owner: "&amp;IF(LEN(INDEX('Aides'!$U$4:$U$503,296))=0,"",INDEX('Aides'!$U$4:$U$503,296))&amp;". "))</f>
        <v/>
      </c>
      <c r="I799">
        <f>""</f>
        <v/>
      </c>
      <c r="J799">
        <f>IF(LEN(INDEX('Aides'!$V$4:$V$503,296))=0,"",INDEX('Aides'!$V$4:$V$503,296))</f>
        <v/>
      </c>
    </row>
    <row r="800">
      <c r="A800">
        <f>IF(AND(LEN('Aides'!A300)&gt;0,ISNUMBER('Aides'!S300)),1,0)</f>
        <v/>
      </c>
      <c r="B800">
        <f>B799+A800</f>
        <v/>
      </c>
      <c r="C800">
        <f>IF(797&gt;$B$1503,"",MATCH(797-0.5,$B$3:$B$1503,1))</f>
        <v/>
      </c>
      <c r="D800">
        <f>"CPR / First Aid – "&amp;IF(LEN(INDEX('Aides'!$A$4:$A$503,297))=0,"",INDEX('Aides'!$A$4:$A$503,297))</f>
        <v/>
      </c>
      <c r="E800">
        <f>IF(ISNUMBER(INDEX('Aides'!$S$4:$S$503,297)),TEXT(INDEX('Aides'!$S$4:$S$503,297),"yyyy-mm-dd"),"")</f>
        <v/>
      </c>
      <c r="F800">
        <f>"Training"</f>
        <v/>
      </c>
      <c r="G800">
        <f>"Medium"</f>
        <v/>
      </c>
      <c r="H800">
        <f>TRIM(IF(LEN(IF(LEN(INDEX('Aides'!$U$4:$U$503,297))=0,"",INDEX('Aides'!$U$4:$U$503,297)))=0,"","Owner: "&amp;IF(LEN(INDEX('Aides'!$U$4:$U$503,297))=0,"",INDEX('Aides'!$U$4:$U$503,297))&amp;". "))</f>
        <v/>
      </c>
      <c r="I800">
        <f>""</f>
        <v/>
      </c>
      <c r="J800">
        <f>IF(LEN(INDEX('Aides'!$V$4:$V$503,297))=0,"",INDEX('Aides'!$V$4:$V$503,297))</f>
        <v/>
      </c>
    </row>
    <row r="801">
      <c r="A801">
        <f>IF(AND(LEN('Aides'!A301)&gt;0,ISNUMBER('Aides'!S301)),1,0)</f>
        <v/>
      </c>
      <c r="B801">
        <f>B800+A801</f>
        <v/>
      </c>
      <c r="C801">
        <f>IF(798&gt;$B$1503,"",MATCH(798-0.5,$B$3:$B$1503,1))</f>
        <v/>
      </c>
      <c r="D801">
        <f>"CPR / First Aid – "&amp;IF(LEN(INDEX('Aides'!$A$4:$A$503,298))=0,"",INDEX('Aides'!$A$4:$A$503,298))</f>
        <v/>
      </c>
      <c r="E801">
        <f>IF(ISNUMBER(INDEX('Aides'!$S$4:$S$503,298)),TEXT(INDEX('Aides'!$S$4:$S$503,298),"yyyy-mm-dd"),"")</f>
        <v/>
      </c>
      <c r="F801">
        <f>"Training"</f>
        <v/>
      </c>
      <c r="G801">
        <f>"Medium"</f>
        <v/>
      </c>
      <c r="H801">
        <f>TRIM(IF(LEN(IF(LEN(INDEX('Aides'!$U$4:$U$503,298))=0,"",INDEX('Aides'!$U$4:$U$503,298)))=0,"","Owner: "&amp;IF(LEN(INDEX('Aides'!$U$4:$U$503,298))=0,"",INDEX('Aides'!$U$4:$U$503,298))&amp;". "))</f>
        <v/>
      </c>
      <c r="I801">
        <f>""</f>
        <v/>
      </c>
      <c r="J801">
        <f>IF(LEN(INDEX('Aides'!$V$4:$V$503,298))=0,"",INDEX('Aides'!$V$4:$V$503,298))</f>
        <v/>
      </c>
    </row>
    <row r="802">
      <c r="A802">
        <f>IF(AND(LEN('Aides'!A302)&gt;0,ISNUMBER('Aides'!S302)),1,0)</f>
        <v/>
      </c>
      <c r="B802">
        <f>B801+A802</f>
        <v/>
      </c>
      <c r="C802">
        <f>IF(799&gt;$B$1503,"",MATCH(799-0.5,$B$3:$B$1503,1))</f>
        <v/>
      </c>
      <c r="D802">
        <f>"CPR / First Aid – "&amp;IF(LEN(INDEX('Aides'!$A$4:$A$503,299))=0,"",INDEX('Aides'!$A$4:$A$503,299))</f>
        <v/>
      </c>
      <c r="E802">
        <f>IF(ISNUMBER(INDEX('Aides'!$S$4:$S$503,299)),TEXT(INDEX('Aides'!$S$4:$S$503,299),"yyyy-mm-dd"),"")</f>
        <v/>
      </c>
      <c r="F802">
        <f>"Training"</f>
        <v/>
      </c>
      <c r="G802">
        <f>"Medium"</f>
        <v/>
      </c>
      <c r="H802">
        <f>TRIM(IF(LEN(IF(LEN(INDEX('Aides'!$U$4:$U$503,299))=0,"",INDEX('Aides'!$U$4:$U$503,299)))=0,"","Owner: "&amp;IF(LEN(INDEX('Aides'!$U$4:$U$503,299))=0,"",INDEX('Aides'!$U$4:$U$503,299))&amp;". "))</f>
        <v/>
      </c>
      <c r="I802">
        <f>""</f>
        <v/>
      </c>
      <c r="J802">
        <f>IF(LEN(INDEX('Aides'!$V$4:$V$503,299))=0,"",INDEX('Aides'!$V$4:$V$503,299))</f>
        <v/>
      </c>
    </row>
    <row r="803">
      <c r="A803">
        <f>IF(AND(LEN('Aides'!A303)&gt;0,ISNUMBER('Aides'!S303)),1,0)</f>
        <v/>
      </c>
      <c r="B803">
        <f>B802+A803</f>
        <v/>
      </c>
      <c r="C803">
        <f>IF(800&gt;$B$1503,"",MATCH(800-0.5,$B$3:$B$1503,1))</f>
        <v/>
      </c>
      <c r="D803">
        <f>"CPR / First Aid – "&amp;IF(LEN(INDEX('Aides'!$A$4:$A$503,300))=0,"",INDEX('Aides'!$A$4:$A$503,300))</f>
        <v/>
      </c>
      <c r="E803">
        <f>IF(ISNUMBER(INDEX('Aides'!$S$4:$S$503,300)),TEXT(INDEX('Aides'!$S$4:$S$503,300),"yyyy-mm-dd"),"")</f>
        <v/>
      </c>
      <c r="F803">
        <f>"Training"</f>
        <v/>
      </c>
      <c r="G803">
        <f>"Medium"</f>
        <v/>
      </c>
      <c r="H803">
        <f>TRIM(IF(LEN(IF(LEN(INDEX('Aides'!$U$4:$U$503,300))=0,"",INDEX('Aides'!$U$4:$U$503,300)))=0,"","Owner: "&amp;IF(LEN(INDEX('Aides'!$U$4:$U$503,300))=0,"",INDEX('Aides'!$U$4:$U$503,300))&amp;". "))</f>
        <v/>
      </c>
      <c r="I803">
        <f>""</f>
        <v/>
      </c>
      <c r="J803">
        <f>IF(LEN(INDEX('Aides'!$V$4:$V$503,300))=0,"",INDEX('Aides'!$V$4:$V$503,300))</f>
        <v/>
      </c>
    </row>
    <row r="804">
      <c r="A804">
        <f>IF(AND(LEN('Aides'!A304)&gt;0,ISNUMBER('Aides'!S304)),1,0)</f>
        <v/>
      </c>
      <c r="B804">
        <f>B803+A804</f>
        <v/>
      </c>
      <c r="C804">
        <f>IF(801&gt;$B$1503,"",MATCH(801-0.5,$B$3:$B$1503,1))</f>
        <v/>
      </c>
      <c r="D804">
        <f>"CPR / First Aid – "&amp;IF(LEN(INDEX('Aides'!$A$4:$A$503,301))=0,"",INDEX('Aides'!$A$4:$A$503,301))</f>
        <v/>
      </c>
      <c r="E804">
        <f>IF(ISNUMBER(INDEX('Aides'!$S$4:$S$503,301)),TEXT(INDEX('Aides'!$S$4:$S$503,301),"yyyy-mm-dd"),"")</f>
        <v/>
      </c>
      <c r="F804">
        <f>"Training"</f>
        <v/>
      </c>
      <c r="G804">
        <f>"Medium"</f>
        <v/>
      </c>
      <c r="H804">
        <f>TRIM(IF(LEN(IF(LEN(INDEX('Aides'!$U$4:$U$503,301))=0,"",INDEX('Aides'!$U$4:$U$503,301)))=0,"","Owner: "&amp;IF(LEN(INDEX('Aides'!$U$4:$U$503,301))=0,"",INDEX('Aides'!$U$4:$U$503,301))&amp;". "))</f>
        <v/>
      </c>
      <c r="I804">
        <f>""</f>
        <v/>
      </c>
      <c r="J804">
        <f>IF(LEN(INDEX('Aides'!$V$4:$V$503,301))=0,"",INDEX('Aides'!$V$4:$V$503,301))</f>
        <v/>
      </c>
    </row>
    <row r="805">
      <c r="A805">
        <f>IF(AND(LEN('Aides'!A305)&gt;0,ISNUMBER('Aides'!S305)),1,0)</f>
        <v/>
      </c>
      <c r="B805">
        <f>B804+A805</f>
        <v/>
      </c>
      <c r="C805">
        <f>IF(802&gt;$B$1503,"",MATCH(802-0.5,$B$3:$B$1503,1))</f>
        <v/>
      </c>
      <c r="D805">
        <f>"CPR / First Aid – "&amp;IF(LEN(INDEX('Aides'!$A$4:$A$503,302))=0,"",INDEX('Aides'!$A$4:$A$503,302))</f>
        <v/>
      </c>
      <c r="E805">
        <f>IF(ISNUMBER(INDEX('Aides'!$S$4:$S$503,302)),TEXT(INDEX('Aides'!$S$4:$S$503,302),"yyyy-mm-dd"),"")</f>
        <v/>
      </c>
      <c r="F805">
        <f>"Training"</f>
        <v/>
      </c>
      <c r="G805">
        <f>"Medium"</f>
        <v/>
      </c>
      <c r="H805">
        <f>TRIM(IF(LEN(IF(LEN(INDEX('Aides'!$U$4:$U$503,302))=0,"",INDEX('Aides'!$U$4:$U$503,302)))=0,"","Owner: "&amp;IF(LEN(INDEX('Aides'!$U$4:$U$503,302))=0,"",INDEX('Aides'!$U$4:$U$503,302))&amp;". "))</f>
        <v/>
      </c>
      <c r="I805">
        <f>""</f>
        <v/>
      </c>
      <c r="J805">
        <f>IF(LEN(INDEX('Aides'!$V$4:$V$503,302))=0,"",INDEX('Aides'!$V$4:$V$503,302))</f>
        <v/>
      </c>
    </row>
    <row r="806">
      <c r="A806">
        <f>IF(AND(LEN('Aides'!A306)&gt;0,ISNUMBER('Aides'!S306)),1,0)</f>
        <v/>
      </c>
      <c r="B806">
        <f>B805+A806</f>
        <v/>
      </c>
      <c r="C806">
        <f>IF(803&gt;$B$1503,"",MATCH(803-0.5,$B$3:$B$1503,1))</f>
        <v/>
      </c>
      <c r="D806">
        <f>"CPR / First Aid – "&amp;IF(LEN(INDEX('Aides'!$A$4:$A$503,303))=0,"",INDEX('Aides'!$A$4:$A$503,303))</f>
        <v/>
      </c>
      <c r="E806">
        <f>IF(ISNUMBER(INDEX('Aides'!$S$4:$S$503,303)),TEXT(INDEX('Aides'!$S$4:$S$503,303),"yyyy-mm-dd"),"")</f>
        <v/>
      </c>
      <c r="F806">
        <f>"Training"</f>
        <v/>
      </c>
      <c r="G806">
        <f>"Medium"</f>
        <v/>
      </c>
      <c r="H806">
        <f>TRIM(IF(LEN(IF(LEN(INDEX('Aides'!$U$4:$U$503,303))=0,"",INDEX('Aides'!$U$4:$U$503,303)))=0,"","Owner: "&amp;IF(LEN(INDEX('Aides'!$U$4:$U$503,303))=0,"",INDEX('Aides'!$U$4:$U$503,303))&amp;". "))</f>
        <v/>
      </c>
      <c r="I806">
        <f>""</f>
        <v/>
      </c>
      <c r="J806">
        <f>IF(LEN(INDEX('Aides'!$V$4:$V$503,303))=0,"",INDEX('Aides'!$V$4:$V$503,303))</f>
        <v/>
      </c>
    </row>
    <row r="807">
      <c r="A807">
        <f>IF(AND(LEN('Aides'!A307)&gt;0,ISNUMBER('Aides'!S307)),1,0)</f>
        <v/>
      </c>
      <c r="B807">
        <f>B806+A807</f>
        <v/>
      </c>
      <c r="C807">
        <f>IF(804&gt;$B$1503,"",MATCH(804-0.5,$B$3:$B$1503,1))</f>
        <v/>
      </c>
      <c r="D807">
        <f>"CPR / First Aid – "&amp;IF(LEN(INDEX('Aides'!$A$4:$A$503,304))=0,"",INDEX('Aides'!$A$4:$A$503,304))</f>
        <v/>
      </c>
      <c r="E807">
        <f>IF(ISNUMBER(INDEX('Aides'!$S$4:$S$503,304)),TEXT(INDEX('Aides'!$S$4:$S$503,304),"yyyy-mm-dd"),"")</f>
        <v/>
      </c>
      <c r="F807">
        <f>"Training"</f>
        <v/>
      </c>
      <c r="G807">
        <f>"Medium"</f>
        <v/>
      </c>
      <c r="H807">
        <f>TRIM(IF(LEN(IF(LEN(INDEX('Aides'!$U$4:$U$503,304))=0,"",INDEX('Aides'!$U$4:$U$503,304)))=0,"","Owner: "&amp;IF(LEN(INDEX('Aides'!$U$4:$U$503,304))=0,"",INDEX('Aides'!$U$4:$U$503,304))&amp;". "))</f>
        <v/>
      </c>
      <c r="I807">
        <f>""</f>
        <v/>
      </c>
      <c r="J807">
        <f>IF(LEN(INDEX('Aides'!$V$4:$V$503,304))=0,"",INDEX('Aides'!$V$4:$V$503,304))</f>
        <v/>
      </c>
    </row>
    <row r="808">
      <c r="A808">
        <f>IF(AND(LEN('Aides'!A308)&gt;0,ISNUMBER('Aides'!S308)),1,0)</f>
        <v/>
      </c>
      <c r="B808">
        <f>B807+A808</f>
        <v/>
      </c>
      <c r="C808">
        <f>IF(805&gt;$B$1503,"",MATCH(805-0.5,$B$3:$B$1503,1))</f>
        <v/>
      </c>
      <c r="D808">
        <f>"CPR / First Aid – "&amp;IF(LEN(INDEX('Aides'!$A$4:$A$503,305))=0,"",INDEX('Aides'!$A$4:$A$503,305))</f>
        <v/>
      </c>
      <c r="E808">
        <f>IF(ISNUMBER(INDEX('Aides'!$S$4:$S$503,305)),TEXT(INDEX('Aides'!$S$4:$S$503,305),"yyyy-mm-dd"),"")</f>
        <v/>
      </c>
      <c r="F808">
        <f>"Training"</f>
        <v/>
      </c>
      <c r="G808">
        <f>"Medium"</f>
        <v/>
      </c>
      <c r="H808">
        <f>TRIM(IF(LEN(IF(LEN(INDEX('Aides'!$U$4:$U$503,305))=0,"",INDEX('Aides'!$U$4:$U$503,305)))=0,"","Owner: "&amp;IF(LEN(INDEX('Aides'!$U$4:$U$503,305))=0,"",INDEX('Aides'!$U$4:$U$503,305))&amp;". "))</f>
        <v/>
      </c>
      <c r="I808">
        <f>""</f>
        <v/>
      </c>
      <c r="J808">
        <f>IF(LEN(INDEX('Aides'!$V$4:$V$503,305))=0,"",INDEX('Aides'!$V$4:$V$503,305))</f>
        <v/>
      </c>
    </row>
    <row r="809">
      <c r="A809">
        <f>IF(AND(LEN('Aides'!A309)&gt;0,ISNUMBER('Aides'!S309)),1,0)</f>
        <v/>
      </c>
      <c r="B809">
        <f>B808+A809</f>
        <v/>
      </c>
      <c r="C809">
        <f>IF(806&gt;$B$1503,"",MATCH(806-0.5,$B$3:$B$1503,1))</f>
        <v/>
      </c>
      <c r="D809">
        <f>"CPR / First Aid – "&amp;IF(LEN(INDEX('Aides'!$A$4:$A$503,306))=0,"",INDEX('Aides'!$A$4:$A$503,306))</f>
        <v/>
      </c>
      <c r="E809">
        <f>IF(ISNUMBER(INDEX('Aides'!$S$4:$S$503,306)),TEXT(INDEX('Aides'!$S$4:$S$503,306),"yyyy-mm-dd"),"")</f>
        <v/>
      </c>
      <c r="F809">
        <f>"Training"</f>
        <v/>
      </c>
      <c r="G809">
        <f>"Medium"</f>
        <v/>
      </c>
      <c r="H809">
        <f>TRIM(IF(LEN(IF(LEN(INDEX('Aides'!$U$4:$U$503,306))=0,"",INDEX('Aides'!$U$4:$U$503,306)))=0,"","Owner: "&amp;IF(LEN(INDEX('Aides'!$U$4:$U$503,306))=0,"",INDEX('Aides'!$U$4:$U$503,306))&amp;". "))</f>
        <v/>
      </c>
      <c r="I809">
        <f>""</f>
        <v/>
      </c>
      <c r="J809">
        <f>IF(LEN(INDEX('Aides'!$V$4:$V$503,306))=0,"",INDEX('Aides'!$V$4:$V$503,306))</f>
        <v/>
      </c>
    </row>
    <row r="810">
      <c r="A810">
        <f>IF(AND(LEN('Aides'!A310)&gt;0,ISNUMBER('Aides'!S310)),1,0)</f>
        <v/>
      </c>
      <c r="B810">
        <f>B809+A810</f>
        <v/>
      </c>
      <c r="C810">
        <f>IF(807&gt;$B$1503,"",MATCH(807-0.5,$B$3:$B$1503,1))</f>
        <v/>
      </c>
      <c r="D810">
        <f>"CPR / First Aid – "&amp;IF(LEN(INDEX('Aides'!$A$4:$A$503,307))=0,"",INDEX('Aides'!$A$4:$A$503,307))</f>
        <v/>
      </c>
      <c r="E810">
        <f>IF(ISNUMBER(INDEX('Aides'!$S$4:$S$503,307)),TEXT(INDEX('Aides'!$S$4:$S$503,307),"yyyy-mm-dd"),"")</f>
        <v/>
      </c>
      <c r="F810">
        <f>"Training"</f>
        <v/>
      </c>
      <c r="G810">
        <f>"Medium"</f>
        <v/>
      </c>
      <c r="H810">
        <f>TRIM(IF(LEN(IF(LEN(INDEX('Aides'!$U$4:$U$503,307))=0,"",INDEX('Aides'!$U$4:$U$503,307)))=0,"","Owner: "&amp;IF(LEN(INDEX('Aides'!$U$4:$U$503,307))=0,"",INDEX('Aides'!$U$4:$U$503,307))&amp;". "))</f>
        <v/>
      </c>
      <c r="I810">
        <f>""</f>
        <v/>
      </c>
      <c r="J810">
        <f>IF(LEN(INDEX('Aides'!$V$4:$V$503,307))=0,"",INDEX('Aides'!$V$4:$V$503,307))</f>
        <v/>
      </c>
    </row>
    <row r="811">
      <c r="A811">
        <f>IF(AND(LEN('Aides'!A311)&gt;0,ISNUMBER('Aides'!S311)),1,0)</f>
        <v/>
      </c>
      <c r="B811">
        <f>B810+A811</f>
        <v/>
      </c>
      <c r="C811">
        <f>IF(808&gt;$B$1503,"",MATCH(808-0.5,$B$3:$B$1503,1))</f>
        <v/>
      </c>
      <c r="D811">
        <f>"CPR / First Aid – "&amp;IF(LEN(INDEX('Aides'!$A$4:$A$503,308))=0,"",INDEX('Aides'!$A$4:$A$503,308))</f>
        <v/>
      </c>
      <c r="E811">
        <f>IF(ISNUMBER(INDEX('Aides'!$S$4:$S$503,308)),TEXT(INDEX('Aides'!$S$4:$S$503,308),"yyyy-mm-dd"),"")</f>
        <v/>
      </c>
      <c r="F811">
        <f>"Training"</f>
        <v/>
      </c>
      <c r="G811">
        <f>"Medium"</f>
        <v/>
      </c>
      <c r="H811">
        <f>TRIM(IF(LEN(IF(LEN(INDEX('Aides'!$U$4:$U$503,308))=0,"",INDEX('Aides'!$U$4:$U$503,308)))=0,"","Owner: "&amp;IF(LEN(INDEX('Aides'!$U$4:$U$503,308))=0,"",INDEX('Aides'!$U$4:$U$503,308))&amp;". "))</f>
        <v/>
      </c>
      <c r="I811">
        <f>""</f>
        <v/>
      </c>
      <c r="J811">
        <f>IF(LEN(INDEX('Aides'!$V$4:$V$503,308))=0,"",INDEX('Aides'!$V$4:$V$503,308))</f>
        <v/>
      </c>
    </row>
    <row r="812">
      <c r="A812">
        <f>IF(AND(LEN('Aides'!A312)&gt;0,ISNUMBER('Aides'!S312)),1,0)</f>
        <v/>
      </c>
      <c r="B812">
        <f>B811+A812</f>
        <v/>
      </c>
      <c r="C812">
        <f>IF(809&gt;$B$1503,"",MATCH(809-0.5,$B$3:$B$1503,1))</f>
        <v/>
      </c>
      <c r="D812">
        <f>"CPR / First Aid – "&amp;IF(LEN(INDEX('Aides'!$A$4:$A$503,309))=0,"",INDEX('Aides'!$A$4:$A$503,309))</f>
        <v/>
      </c>
      <c r="E812">
        <f>IF(ISNUMBER(INDEX('Aides'!$S$4:$S$503,309)),TEXT(INDEX('Aides'!$S$4:$S$503,309),"yyyy-mm-dd"),"")</f>
        <v/>
      </c>
      <c r="F812">
        <f>"Training"</f>
        <v/>
      </c>
      <c r="G812">
        <f>"Medium"</f>
        <v/>
      </c>
      <c r="H812">
        <f>TRIM(IF(LEN(IF(LEN(INDEX('Aides'!$U$4:$U$503,309))=0,"",INDEX('Aides'!$U$4:$U$503,309)))=0,"","Owner: "&amp;IF(LEN(INDEX('Aides'!$U$4:$U$503,309))=0,"",INDEX('Aides'!$U$4:$U$503,309))&amp;". "))</f>
        <v/>
      </c>
      <c r="I812">
        <f>""</f>
        <v/>
      </c>
      <c r="J812">
        <f>IF(LEN(INDEX('Aides'!$V$4:$V$503,309))=0,"",INDEX('Aides'!$V$4:$V$503,309))</f>
        <v/>
      </c>
    </row>
    <row r="813">
      <c r="A813">
        <f>IF(AND(LEN('Aides'!A313)&gt;0,ISNUMBER('Aides'!S313)),1,0)</f>
        <v/>
      </c>
      <c r="B813">
        <f>B812+A813</f>
        <v/>
      </c>
      <c r="C813">
        <f>IF(810&gt;$B$1503,"",MATCH(810-0.5,$B$3:$B$1503,1))</f>
        <v/>
      </c>
      <c r="D813">
        <f>"CPR / First Aid – "&amp;IF(LEN(INDEX('Aides'!$A$4:$A$503,310))=0,"",INDEX('Aides'!$A$4:$A$503,310))</f>
        <v/>
      </c>
      <c r="E813">
        <f>IF(ISNUMBER(INDEX('Aides'!$S$4:$S$503,310)),TEXT(INDEX('Aides'!$S$4:$S$503,310),"yyyy-mm-dd"),"")</f>
        <v/>
      </c>
      <c r="F813">
        <f>"Training"</f>
        <v/>
      </c>
      <c r="G813">
        <f>"Medium"</f>
        <v/>
      </c>
      <c r="H813">
        <f>TRIM(IF(LEN(IF(LEN(INDEX('Aides'!$U$4:$U$503,310))=0,"",INDEX('Aides'!$U$4:$U$503,310)))=0,"","Owner: "&amp;IF(LEN(INDEX('Aides'!$U$4:$U$503,310))=0,"",INDEX('Aides'!$U$4:$U$503,310))&amp;". "))</f>
        <v/>
      </c>
      <c r="I813">
        <f>""</f>
        <v/>
      </c>
      <c r="J813">
        <f>IF(LEN(INDEX('Aides'!$V$4:$V$503,310))=0,"",INDEX('Aides'!$V$4:$V$503,310))</f>
        <v/>
      </c>
    </row>
    <row r="814">
      <c r="A814">
        <f>IF(AND(LEN('Aides'!A314)&gt;0,ISNUMBER('Aides'!S314)),1,0)</f>
        <v/>
      </c>
      <c r="B814">
        <f>B813+A814</f>
        <v/>
      </c>
      <c r="C814">
        <f>IF(811&gt;$B$1503,"",MATCH(811-0.5,$B$3:$B$1503,1))</f>
        <v/>
      </c>
      <c r="D814">
        <f>"CPR / First Aid – "&amp;IF(LEN(INDEX('Aides'!$A$4:$A$503,311))=0,"",INDEX('Aides'!$A$4:$A$503,311))</f>
        <v/>
      </c>
      <c r="E814">
        <f>IF(ISNUMBER(INDEX('Aides'!$S$4:$S$503,311)),TEXT(INDEX('Aides'!$S$4:$S$503,311),"yyyy-mm-dd"),"")</f>
        <v/>
      </c>
      <c r="F814">
        <f>"Training"</f>
        <v/>
      </c>
      <c r="G814">
        <f>"Medium"</f>
        <v/>
      </c>
      <c r="H814">
        <f>TRIM(IF(LEN(IF(LEN(INDEX('Aides'!$U$4:$U$503,311))=0,"",INDEX('Aides'!$U$4:$U$503,311)))=0,"","Owner: "&amp;IF(LEN(INDEX('Aides'!$U$4:$U$503,311))=0,"",INDEX('Aides'!$U$4:$U$503,311))&amp;". "))</f>
        <v/>
      </c>
      <c r="I814">
        <f>""</f>
        <v/>
      </c>
      <c r="J814">
        <f>IF(LEN(INDEX('Aides'!$V$4:$V$503,311))=0,"",INDEX('Aides'!$V$4:$V$503,311))</f>
        <v/>
      </c>
    </row>
    <row r="815">
      <c r="A815">
        <f>IF(AND(LEN('Aides'!A315)&gt;0,ISNUMBER('Aides'!S315)),1,0)</f>
        <v/>
      </c>
      <c r="B815">
        <f>B814+A815</f>
        <v/>
      </c>
      <c r="C815">
        <f>IF(812&gt;$B$1503,"",MATCH(812-0.5,$B$3:$B$1503,1))</f>
        <v/>
      </c>
      <c r="D815">
        <f>"CPR / First Aid – "&amp;IF(LEN(INDEX('Aides'!$A$4:$A$503,312))=0,"",INDEX('Aides'!$A$4:$A$503,312))</f>
        <v/>
      </c>
      <c r="E815">
        <f>IF(ISNUMBER(INDEX('Aides'!$S$4:$S$503,312)),TEXT(INDEX('Aides'!$S$4:$S$503,312),"yyyy-mm-dd"),"")</f>
        <v/>
      </c>
      <c r="F815">
        <f>"Training"</f>
        <v/>
      </c>
      <c r="G815">
        <f>"Medium"</f>
        <v/>
      </c>
      <c r="H815">
        <f>TRIM(IF(LEN(IF(LEN(INDEX('Aides'!$U$4:$U$503,312))=0,"",INDEX('Aides'!$U$4:$U$503,312)))=0,"","Owner: "&amp;IF(LEN(INDEX('Aides'!$U$4:$U$503,312))=0,"",INDEX('Aides'!$U$4:$U$503,312))&amp;". "))</f>
        <v/>
      </c>
      <c r="I815">
        <f>""</f>
        <v/>
      </c>
      <c r="J815">
        <f>IF(LEN(INDEX('Aides'!$V$4:$V$503,312))=0,"",INDEX('Aides'!$V$4:$V$503,312))</f>
        <v/>
      </c>
    </row>
    <row r="816">
      <c r="A816">
        <f>IF(AND(LEN('Aides'!A316)&gt;0,ISNUMBER('Aides'!S316)),1,0)</f>
        <v/>
      </c>
      <c r="B816">
        <f>B815+A816</f>
        <v/>
      </c>
      <c r="C816">
        <f>IF(813&gt;$B$1503,"",MATCH(813-0.5,$B$3:$B$1503,1))</f>
        <v/>
      </c>
      <c r="D816">
        <f>"CPR / First Aid – "&amp;IF(LEN(INDEX('Aides'!$A$4:$A$503,313))=0,"",INDEX('Aides'!$A$4:$A$503,313))</f>
        <v/>
      </c>
      <c r="E816">
        <f>IF(ISNUMBER(INDEX('Aides'!$S$4:$S$503,313)),TEXT(INDEX('Aides'!$S$4:$S$503,313),"yyyy-mm-dd"),"")</f>
        <v/>
      </c>
      <c r="F816">
        <f>"Training"</f>
        <v/>
      </c>
      <c r="G816">
        <f>"Medium"</f>
        <v/>
      </c>
      <c r="H816">
        <f>TRIM(IF(LEN(IF(LEN(INDEX('Aides'!$U$4:$U$503,313))=0,"",INDEX('Aides'!$U$4:$U$503,313)))=0,"","Owner: "&amp;IF(LEN(INDEX('Aides'!$U$4:$U$503,313))=0,"",INDEX('Aides'!$U$4:$U$503,313))&amp;". "))</f>
        <v/>
      </c>
      <c r="I816">
        <f>""</f>
        <v/>
      </c>
      <c r="J816">
        <f>IF(LEN(INDEX('Aides'!$V$4:$V$503,313))=0,"",INDEX('Aides'!$V$4:$V$503,313))</f>
        <v/>
      </c>
    </row>
    <row r="817">
      <c r="A817">
        <f>IF(AND(LEN('Aides'!A317)&gt;0,ISNUMBER('Aides'!S317)),1,0)</f>
        <v/>
      </c>
      <c r="B817">
        <f>B816+A817</f>
        <v/>
      </c>
      <c r="C817">
        <f>IF(814&gt;$B$1503,"",MATCH(814-0.5,$B$3:$B$1503,1))</f>
        <v/>
      </c>
      <c r="D817">
        <f>"CPR / First Aid – "&amp;IF(LEN(INDEX('Aides'!$A$4:$A$503,314))=0,"",INDEX('Aides'!$A$4:$A$503,314))</f>
        <v/>
      </c>
      <c r="E817">
        <f>IF(ISNUMBER(INDEX('Aides'!$S$4:$S$503,314)),TEXT(INDEX('Aides'!$S$4:$S$503,314),"yyyy-mm-dd"),"")</f>
        <v/>
      </c>
      <c r="F817">
        <f>"Training"</f>
        <v/>
      </c>
      <c r="G817">
        <f>"Medium"</f>
        <v/>
      </c>
      <c r="H817">
        <f>TRIM(IF(LEN(IF(LEN(INDEX('Aides'!$U$4:$U$503,314))=0,"",INDEX('Aides'!$U$4:$U$503,314)))=0,"","Owner: "&amp;IF(LEN(INDEX('Aides'!$U$4:$U$503,314))=0,"",INDEX('Aides'!$U$4:$U$503,314))&amp;". "))</f>
        <v/>
      </c>
      <c r="I817">
        <f>""</f>
        <v/>
      </c>
      <c r="J817">
        <f>IF(LEN(INDEX('Aides'!$V$4:$V$503,314))=0,"",INDEX('Aides'!$V$4:$V$503,314))</f>
        <v/>
      </c>
    </row>
    <row r="818">
      <c r="A818">
        <f>IF(AND(LEN('Aides'!A318)&gt;0,ISNUMBER('Aides'!S318)),1,0)</f>
        <v/>
      </c>
      <c r="B818">
        <f>B817+A818</f>
        <v/>
      </c>
      <c r="C818">
        <f>IF(815&gt;$B$1503,"",MATCH(815-0.5,$B$3:$B$1503,1))</f>
        <v/>
      </c>
      <c r="D818">
        <f>"CPR / First Aid – "&amp;IF(LEN(INDEX('Aides'!$A$4:$A$503,315))=0,"",INDEX('Aides'!$A$4:$A$503,315))</f>
        <v/>
      </c>
      <c r="E818">
        <f>IF(ISNUMBER(INDEX('Aides'!$S$4:$S$503,315)),TEXT(INDEX('Aides'!$S$4:$S$503,315),"yyyy-mm-dd"),"")</f>
        <v/>
      </c>
      <c r="F818">
        <f>"Training"</f>
        <v/>
      </c>
      <c r="G818">
        <f>"Medium"</f>
        <v/>
      </c>
      <c r="H818">
        <f>TRIM(IF(LEN(IF(LEN(INDEX('Aides'!$U$4:$U$503,315))=0,"",INDEX('Aides'!$U$4:$U$503,315)))=0,"","Owner: "&amp;IF(LEN(INDEX('Aides'!$U$4:$U$503,315))=0,"",INDEX('Aides'!$U$4:$U$503,315))&amp;". "))</f>
        <v/>
      </c>
      <c r="I818">
        <f>""</f>
        <v/>
      </c>
      <c r="J818">
        <f>IF(LEN(INDEX('Aides'!$V$4:$V$503,315))=0,"",INDEX('Aides'!$V$4:$V$503,315))</f>
        <v/>
      </c>
    </row>
    <row r="819">
      <c r="A819">
        <f>IF(AND(LEN('Aides'!A319)&gt;0,ISNUMBER('Aides'!S319)),1,0)</f>
        <v/>
      </c>
      <c r="B819">
        <f>B818+A819</f>
        <v/>
      </c>
      <c r="C819">
        <f>IF(816&gt;$B$1503,"",MATCH(816-0.5,$B$3:$B$1503,1))</f>
        <v/>
      </c>
      <c r="D819">
        <f>"CPR / First Aid – "&amp;IF(LEN(INDEX('Aides'!$A$4:$A$503,316))=0,"",INDEX('Aides'!$A$4:$A$503,316))</f>
        <v/>
      </c>
      <c r="E819">
        <f>IF(ISNUMBER(INDEX('Aides'!$S$4:$S$503,316)),TEXT(INDEX('Aides'!$S$4:$S$503,316),"yyyy-mm-dd"),"")</f>
        <v/>
      </c>
      <c r="F819">
        <f>"Training"</f>
        <v/>
      </c>
      <c r="G819">
        <f>"Medium"</f>
        <v/>
      </c>
      <c r="H819">
        <f>TRIM(IF(LEN(IF(LEN(INDEX('Aides'!$U$4:$U$503,316))=0,"",INDEX('Aides'!$U$4:$U$503,316)))=0,"","Owner: "&amp;IF(LEN(INDEX('Aides'!$U$4:$U$503,316))=0,"",INDEX('Aides'!$U$4:$U$503,316))&amp;". "))</f>
        <v/>
      </c>
      <c r="I819">
        <f>""</f>
        <v/>
      </c>
      <c r="J819">
        <f>IF(LEN(INDEX('Aides'!$V$4:$V$503,316))=0,"",INDEX('Aides'!$V$4:$V$503,316))</f>
        <v/>
      </c>
    </row>
    <row r="820">
      <c r="A820">
        <f>IF(AND(LEN('Aides'!A320)&gt;0,ISNUMBER('Aides'!S320)),1,0)</f>
        <v/>
      </c>
      <c r="B820">
        <f>B819+A820</f>
        <v/>
      </c>
      <c r="C820">
        <f>IF(817&gt;$B$1503,"",MATCH(817-0.5,$B$3:$B$1503,1))</f>
        <v/>
      </c>
      <c r="D820">
        <f>"CPR / First Aid – "&amp;IF(LEN(INDEX('Aides'!$A$4:$A$503,317))=0,"",INDEX('Aides'!$A$4:$A$503,317))</f>
        <v/>
      </c>
      <c r="E820">
        <f>IF(ISNUMBER(INDEX('Aides'!$S$4:$S$503,317)),TEXT(INDEX('Aides'!$S$4:$S$503,317),"yyyy-mm-dd"),"")</f>
        <v/>
      </c>
      <c r="F820">
        <f>"Training"</f>
        <v/>
      </c>
      <c r="G820">
        <f>"Medium"</f>
        <v/>
      </c>
      <c r="H820">
        <f>TRIM(IF(LEN(IF(LEN(INDEX('Aides'!$U$4:$U$503,317))=0,"",INDEX('Aides'!$U$4:$U$503,317)))=0,"","Owner: "&amp;IF(LEN(INDEX('Aides'!$U$4:$U$503,317))=0,"",INDEX('Aides'!$U$4:$U$503,317))&amp;". "))</f>
        <v/>
      </c>
      <c r="I820">
        <f>""</f>
        <v/>
      </c>
      <c r="J820">
        <f>IF(LEN(INDEX('Aides'!$V$4:$V$503,317))=0,"",INDEX('Aides'!$V$4:$V$503,317))</f>
        <v/>
      </c>
    </row>
    <row r="821">
      <c r="A821">
        <f>IF(AND(LEN('Aides'!A321)&gt;0,ISNUMBER('Aides'!S321)),1,0)</f>
        <v/>
      </c>
      <c r="B821">
        <f>B820+A821</f>
        <v/>
      </c>
      <c r="C821">
        <f>IF(818&gt;$B$1503,"",MATCH(818-0.5,$B$3:$B$1503,1))</f>
        <v/>
      </c>
      <c r="D821">
        <f>"CPR / First Aid – "&amp;IF(LEN(INDEX('Aides'!$A$4:$A$503,318))=0,"",INDEX('Aides'!$A$4:$A$503,318))</f>
        <v/>
      </c>
      <c r="E821">
        <f>IF(ISNUMBER(INDEX('Aides'!$S$4:$S$503,318)),TEXT(INDEX('Aides'!$S$4:$S$503,318),"yyyy-mm-dd"),"")</f>
        <v/>
      </c>
      <c r="F821">
        <f>"Training"</f>
        <v/>
      </c>
      <c r="G821">
        <f>"Medium"</f>
        <v/>
      </c>
      <c r="H821">
        <f>TRIM(IF(LEN(IF(LEN(INDEX('Aides'!$U$4:$U$503,318))=0,"",INDEX('Aides'!$U$4:$U$503,318)))=0,"","Owner: "&amp;IF(LEN(INDEX('Aides'!$U$4:$U$503,318))=0,"",INDEX('Aides'!$U$4:$U$503,318))&amp;". "))</f>
        <v/>
      </c>
      <c r="I821">
        <f>""</f>
        <v/>
      </c>
      <c r="J821">
        <f>IF(LEN(INDEX('Aides'!$V$4:$V$503,318))=0,"",INDEX('Aides'!$V$4:$V$503,318))</f>
        <v/>
      </c>
    </row>
    <row r="822">
      <c r="A822">
        <f>IF(AND(LEN('Aides'!A322)&gt;0,ISNUMBER('Aides'!S322)),1,0)</f>
        <v/>
      </c>
      <c r="B822">
        <f>B821+A822</f>
        <v/>
      </c>
      <c r="C822">
        <f>IF(819&gt;$B$1503,"",MATCH(819-0.5,$B$3:$B$1503,1))</f>
        <v/>
      </c>
      <c r="D822">
        <f>"CPR / First Aid – "&amp;IF(LEN(INDEX('Aides'!$A$4:$A$503,319))=0,"",INDEX('Aides'!$A$4:$A$503,319))</f>
        <v/>
      </c>
      <c r="E822">
        <f>IF(ISNUMBER(INDEX('Aides'!$S$4:$S$503,319)),TEXT(INDEX('Aides'!$S$4:$S$503,319),"yyyy-mm-dd"),"")</f>
        <v/>
      </c>
      <c r="F822">
        <f>"Training"</f>
        <v/>
      </c>
      <c r="G822">
        <f>"Medium"</f>
        <v/>
      </c>
      <c r="H822">
        <f>TRIM(IF(LEN(IF(LEN(INDEX('Aides'!$U$4:$U$503,319))=0,"",INDEX('Aides'!$U$4:$U$503,319)))=0,"","Owner: "&amp;IF(LEN(INDEX('Aides'!$U$4:$U$503,319))=0,"",INDEX('Aides'!$U$4:$U$503,319))&amp;". "))</f>
        <v/>
      </c>
      <c r="I822">
        <f>""</f>
        <v/>
      </c>
      <c r="J822">
        <f>IF(LEN(INDEX('Aides'!$V$4:$V$503,319))=0,"",INDEX('Aides'!$V$4:$V$503,319))</f>
        <v/>
      </c>
    </row>
    <row r="823">
      <c r="A823">
        <f>IF(AND(LEN('Aides'!A323)&gt;0,ISNUMBER('Aides'!S323)),1,0)</f>
        <v/>
      </c>
      <c r="B823">
        <f>B822+A823</f>
        <v/>
      </c>
      <c r="C823">
        <f>IF(820&gt;$B$1503,"",MATCH(820-0.5,$B$3:$B$1503,1))</f>
        <v/>
      </c>
      <c r="D823">
        <f>"CPR / First Aid – "&amp;IF(LEN(INDEX('Aides'!$A$4:$A$503,320))=0,"",INDEX('Aides'!$A$4:$A$503,320))</f>
        <v/>
      </c>
      <c r="E823">
        <f>IF(ISNUMBER(INDEX('Aides'!$S$4:$S$503,320)),TEXT(INDEX('Aides'!$S$4:$S$503,320),"yyyy-mm-dd"),"")</f>
        <v/>
      </c>
      <c r="F823">
        <f>"Training"</f>
        <v/>
      </c>
      <c r="G823">
        <f>"Medium"</f>
        <v/>
      </c>
      <c r="H823">
        <f>TRIM(IF(LEN(IF(LEN(INDEX('Aides'!$U$4:$U$503,320))=0,"",INDEX('Aides'!$U$4:$U$503,320)))=0,"","Owner: "&amp;IF(LEN(INDEX('Aides'!$U$4:$U$503,320))=0,"",INDEX('Aides'!$U$4:$U$503,320))&amp;". "))</f>
        <v/>
      </c>
      <c r="I823">
        <f>""</f>
        <v/>
      </c>
      <c r="J823">
        <f>IF(LEN(INDEX('Aides'!$V$4:$V$503,320))=0,"",INDEX('Aides'!$V$4:$V$503,320))</f>
        <v/>
      </c>
    </row>
    <row r="824">
      <c r="A824">
        <f>IF(AND(LEN('Aides'!A324)&gt;0,ISNUMBER('Aides'!S324)),1,0)</f>
        <v/>
      </c>
      <c r="B824">
        <f>B823+A824</f>
        <v/>
      </c>
      <c r="C824">
        <f>IF(821&gt;$B$1503,"",MATCH(821-0.5,$B$3:$B$1503,1))</f>
        <v/>
      </c>
      <c r="D824">
        <f>"CPR / First Aid – "&amp;IF(LEN(INDEX('Aides'!$A$4:$A$503,321))=0,"",INDEX('Aides'!$A$4:$A$503,321))</f>
        <v/>
      </c>
      <c r="E824">
        <f>IF(ISNUMBER(INDEX('Aides'!$S$4:$S$503,321)),TEXT(INDEX('Aides'!$S$4:$S$503,321),"yyyy-mm-dd"),"")</f>
        <v/>
      </c>
      <c r="F824">
        <f>"Training"</f>
        <v/>
      </c>
      <c r="G824">
        <f>"Medium"</f>
        <v/>
      </c>
      <c r="H824">
        <f>TRIM(IF(LEN(IF(LEN(INDEX('Aides'!$U$4:$U$503,321))=0,"",INDEX('Aides'!$U$4:$U$503,321)))=0,"","Owner: "&amp;IF(LEN(INDEX('Aides'!$U$4:$U$503,321))=0,"",INDEX('Aides'!$U$4:$U$503,321))&amp;". "))</f>
        <v/>
      </c>
      <c r="I824">
        <f>""</f>
        <v/>
      </c>
      <c r="J824">
        <f>IF(LEN(INDEX('Aides'!$V$4:$V$503,321))=0,"",INDEX('Aides'!$V$4:$V$503,321))</f>
        <v/>
      </c>
    </row>
    <row r="825">
      <c r="A825">
        <f>IF(AND(LEN('Aides'!A325)&gt;0,ISNUMBER('Aides'!S325)),1,0)</f>
        <v/>
      </c>
      <c r="B825">
        <f>B824+A825</f>
        <v/>
      </c>
      <c r="C825">
        <f>IF(822&gt;$B$1503,"",MATCH(822-0.5,$B$3:$B$1503,1))</f>
        <v/>
      </c>
      <c r="D825">
        <f>"CPR / First Aid – "&amp;IF(LEN(INDEX('Aides'!$A$4:$A$503,322))=0,"",INDEX('Aides'!$A$4:$A$503,322))</f>
        <v/>
      </c>
      <c r="E825">
        <f>IF(ISNUMBER(INDEX('Aides'!$S$4:$S$503,322)),TEXT(INDEX('Aides'!$S$4:$S$503,322),"yyyy-mm-dd"),"")</f>
        <v/>
      </c>
      <c r="F825">
        <f>"Training"</f>
        <v/>
      </c>
      <c r="G825">
        <f>"Medium"</f>
        <v/>
      </c>
      <c r="H825">
        <f>TRIM(IF(LEN(IF(LEN(INDEX('Aides'!$U$4:$U$503,322))=0,"",INDEX('Aides'!$U$4:$U$503,322)))=0,"","Owner: "&amp;IF(LEN(INDEX('Aides'!$U$4:$U$503,322))=0,"",INDEX('Aides'!$U$4:$U$503,322))&amp;". "))</f>
        <v/>
      </c>
      <c r="I825">
        <f>""</f>
        <v/>
      </c>
      <c r="J825">
        <f>IF(LEN(INDEX('Aides'!$V$4:$V$503,322))=0,"",INDEX('Aides'!$V$4:$V$503,322))</f>
        <v/>
      </c>
    </row>
    <row r="826">
      <c r="A826">
        <f>IF(AND(LEN('Aides'!A326)&gt;0,ISNUMBER('Aides'!S326)),1,0)</f>
        <v/>
      </c>
      <c r="B826">
        <f>B825+A826</f>
        <v/>
      </c>
      <c r="C826">
        <f>IF(823&gt;$B$1503,"",MATCH(823-0.5,$B$3:$B$1503,1))</f>
        <v/>
      </c>
      <c r="D826">
        <f>"CPR / First Aid – "&amp;IF(LEN(INDEX('Aides'!$A$4:$A$503,323))=0,"",INDEX('Aides'!$A$4:$A$503,323))</f>
        <v/>
      </c>
      <c r="E826">
        <f>IF(ISNUMBER(INDEX('Aides'!$S$4:$S$503,323)),TEXT(INDEX('Aides'!$S$4:$S$503,323),"yyyy-mm-dd"),"")</f>
        <v/>
      </c>
      <c r="F826">
        <f>"Training"</f>
        <v/>
      </c>
      <c r="G826">
        <f>"Medium"</f>
        <v/>
      </c>
      <c r="H826">
        <f>TRIM(IF(LEN(IF(LEN(INDEX('Aides'!$U$4:$U$503,323))=0,"",INDEX('Aides'!$U$4:$U$503,323)))=0,"","Owner: "&amp;IF(LEN(INDEX('Aides'!$U$4:$U$503,323))=0,"",INDEX('Aides'!$U$4:$U$503,323))&amp;". "))</f>
        <v/>
      </c>
      <c r="I826">
        <f>""</f>
        <v/>
      </c>
      <c r="J826">
        <f>IF(LEN(INDEX('Aides'!$V$4:$V$503,323))=0,"",INDEX('Aides'!$V$4:$V$503,323))</f>
        <v/>
      </c>
    </row>
    <row r="827">
      <c r="A827">
        <f>IF(AND(LEN('Aides'!A327)&gt;0,ISNUMBER('Aides'!S327)),1,0)</f>
        <v/>
      </c>
      <c r="B827">
        <f>B826+A827</f>
        <v/>
      </c>
      <c r="C827">
        <f>IF(824&gt;$B$1503,"",MATCH(824-0.5,$B$3:$B$1503,1))</f>
        <v/>
      </c>
      <c r="D827">
        <f>"CPR / First Aid – "&amp;IF(LEN(INDEX('Aides'!$A$4:$A$503,324))=0,"",INDEX('Aides'!$A$4:$A$503,324))</f>
        <v/>
      </c>
      <c r="E827">
        <f>IF(ISNUMBER(INDEX('Aides'!$S$4:$S$503,324)),TEXT(INDEX('Aides'!$S$4:$S$503,324),"yyyy-mm-dd"),"")</f>
        <v/>
      </c>
      <c r="F827">
        <f>"Training"</f>
        <v/>
      </c>
      <c r="G827">
        <f>"Medium"</f>
        <v/>
      </c>
      <c r="H827">
        <f>TRIM(IF(LEN(IF(LEN(INDEX('Aides'!$U$4:$U$503,324))=0,"",INDEX('Aides'!$U$4:$U$503,324)))=0,"","Owner: "&amp;IF(LEN(INDEX('Aides'!$U$4:$U$503,324))=0,"",INDEX('Aides'!$U$4:$U$503,324))&amp;". "))</f>
        <v/>
      </c>
      <c r="I827">
        <f>""</f>
        <v/>
      </c>
      <c r="J827">
        <f>IF(LEN(INDEX('Aides'!$V$4:$V$503,324))=0,"",INDEX('Aides'!$V$4:$V$503,324))</f>
        <v/>
      </c>
    </row>
    <row r="828">
      <c r="A828">
        <f>IF(AND(LEN('Aides'!A328)&gt;0,ISNUMBER('Aides'!S328)),1,0)</f>
        <v/>
      </c>
      <c r="B828">
        <f>B827+A828</f>
        <v/>
      </c>
      <c r="C828">
        <f>IF(825&gt;$B$1503,"",MATCH(825-0.5,$B$3:$B$1503,1))</f>
        <v/>
      </c>
      <c r="D828">
        <f>"CPR / First Aid – "&amp;IF(LEN(INDEX('Aides'!$A$4:$A$503,325))=0,"",INDEX('Aides'!$A$4:$A$503,325))</f>
        <v/>
      </c>
      <c r="E828">
        <f>IF(ISNUMBER(INDEX('Aides'!$S$4:$S$503,325)),TEXT(INDEX('Aides'!$S$4:$S$503,325),"yyyy-mm-dd"),"")</f>
        <v/>
      </c>
      <c r="F828">
        <f>"Training"</f>
        <v/>
      </c>
      <c r="G828">
        <f>"Medium"</f>
        <v/>
      </c>
      <c r="H828">
        <f>TRIM(IF(LEN(IF(LEN(INDEX('Aides'!$U$4:$U$503,325))=0,"",INDEX('Aides'!$U$4:$U$503,325)))=0,"","Owner: "&amp;IF(LEN(INDEX('Aides'!$U$4:$U$503,325))=0,"",INDEX('Aides'!$U$4:$U$503,325))&amp;". "))</f>
        <v/>
      </c>
      <c r="I828">
        <f>""</f>
        <v/>
      </c>
      <c r="J828">
        <f>IF(LEN(INDEX('Aides'!$V$4:$V$503,325))=0,"",INDEX('Aides'!$V$4:$V$503,325))</f>
        <v/>
      </c>
    </row>
    <row r="829">
      <c r="A829">
        <f>IF(AND(LEN('Aides'!A329)&gt;0,ISNUMBER('Aides'!S329)),1,0)</f>
        <v/>
      </c>
      <c r="B829">
        <f>B828+A829</f>
        <v/>
      </c>
      <c r="C829">
        <f>IF(826&gt;$B$1503,"",MATCH(826-0.5,$B$3:$B$1503,1))</f>
        <v/>
      </c>
      <c r="D829">
        <f>"CPR / First Aid – "&amp;IF(LEN(INDEX('Aides'!$A$4:$A$503,326))=0,"",INDEX('Aides'!$A$4:$A$503,326))</f>
        <v/>
      </c>
      <c r="E829">
        <f>IF(ISNUMBER(INDEX('Aides'!$S$4:$S$503,326)),TEXT(INDEX('Aides'!$S$4:$S$503,326),"yyyy-mm-dd"),"")</f>
        <v/>
      </c>
      <c r="F829">
        <f>"Training"</f>
        <v/>
      </c>
      <c r="G829">
        <f>"Medium"</f>
        <v/>
      </c>
      <c r="H829">
        <f>TRIM(IF(LEN(IF(LEN(INDEX('Aides'!$U$4:$U$503,326))=0,"",INDEX('Aides'!$U$4:$U$503,326)))=0,"","Owner: "&amp;IF(LEN(INDEX('Aides'!$U$4:$U$503,326))=0,"",INDEX('Aides'!$U$4:$U$503,326))&amp;". "))</f>
        <v/>
      </c>
      <c r="I829">
        <f>""</f>
        <v/>
      </c>
      <c r="J829">
        <f>IF(LEN(INDEX('Aides'!$V$4:$V$503,326))=0,"",INDEX('Aides'!$V$4:$V$503,326))</f>
        <v/>
      </c>
    </row>
    <row r="830">
      <c r="A830">
        <f>IF(AND(LEN('Aides'!A330)&gt;0,ISNUMBER('Aides'!S330)),1,0)</f>
        <v/>
      </c>
      <c r="B830">
        <f>B829+A830</f>
        <v/>
      </c>
      <c r="C830">
        <f>IF(827&gt;$B$1503,"",MATCH(827-0.5,$B$3:$B$1503,1))</f>
        <v/>
      </c>
      <c r="D830">
        <f>"CPR / First Aid – "&amp;IF(LEN(INDEX('Aides'!$A$4:$A$503,327))=0,"",INDEX('Aides'!$A$4:$A$503,327))</f>
        <v/>
      </c>
      <c r="E830">
        <f>IF(ISNUMBER(INDEX('Aides'!$S$4:$S$503,327)),TEXT(INDEX('Aides'!$S$4:$S$503,327),"yyyy-mm-dd"),"")</f>
        <v/>
      </c>
      <c r="F830">
        <f>"Training"</f>
        <v/>
      </c>
      <c r="G830">
        <f>"Medium"</f>
        <v/>
      </c>
      <c r="H830">
        <f>TRIM(IF(LEN(IF(LEN(INDEX('Aides'!$U$4:$U$503,327))=0,"",INDEX('Aides'!$U$4:$U$503,327)))=0,"","Owner: "&amp;IF(LEN(INDEX('Aides'!$U$4:$U$503,327))=0,"",INDEX('Aides'!$U$4:$U$503,327))&amp;". "))</f>
        <v/>
      </c>
      <c r="I830">
        <f>""</f>
        <v/>
      </c>
      <c r="J830">
        <f>IF(LEN(INDEX('Aides'!$V$4:$V$503,327))=0,"",INDEX('Aides'!$V$4:$V$503,327))</f>
        <v/>
      </c>
    </row>
    <row r="831">
      <c r="A831">
        <f>IF(AND(LEN('Aides'!A331)&gt;0,ISNUMBER('Aides'!S331)),1,0)</f>
        <v/>
      </c>
      <c r="B831">
        <f>B830+A831</f>
        <v/>
      </c>
      <c r="C831">
        <f>IF(828&gt;$B$1503,"",MATCH(828-0.5,$B$3:$B$1503,1))</f>
        <v/>
      </c>
      <c r="D831">
        <f>"CPR / First Aid – "&amp;IF(LEN(INDEX('Aides'!$A$4:$A$503,328))=0,"",INDEX('Aides'!$A$4:$A$503,328))</f>
        <v/>
      </c>
      <c r="E831">
        <f>IF(ISNUMBER(INDEX('Aides'!$S$4:$S$503,328)),TEXT(INDEX('Aides'!$S$4:$S$503,328),"yyyy-mm-dd"),"")</f>
        <v/>
      </c>
      <c r="F831">
        <f>"Training"</f>
        <v/>
      </c>
      <c r="G831">
        <f>"Medium"</f>
        <v/>
      </c>
      <c r="H831">
        <f>TRIM(IF(LEN(IF(LEN(INDEX('Aides'!$U$4:$U$503,328))=0,"",INDEX('Aides'!$U$4:$U$503,328)))=0,"","Owner: "&amp;IF(LEN(INDEX('Aides'!$U$4:$U$503,328))=0,"",INDEX('Aides'!$U$4:$U$503,328))&amp;". "))</f>
        <v/>
      </c>
      <c r="I831">
        <f>""</f>
        <v/>
      </c>
      <c r="J831">
        <f>IF(LEN(INDEX('Aides'!$V$4:$V$503,328))=0,"",INDEX('Aides'!$V$4:$V$503,328))</f>
        <v/>
      </c>
    </row>
    <row r="832">
      <c r="A832">
        <f>IF(AND(LEN('Aides'!A332)&gt;0,ISNUMBER('Aides'!S332)),1,0)</f>
        <v/>
      </c>
      <c r="B832">
        <f>B831+A832</f>
        <v/>
      </c>
      <c r="C832">
        <f>IF(829&gt;$B$1503,"",MATCH(829-0.5,$B$3:$B$1503,1))</f>
        <v/>
      </c>
      <c r="D832">
        <f>"CPR / First Aid – "&amp;IF(LEN(INDEX('Aides'!$A$4:$A$503,329))=0,"",INDEX('Aides'!$A$4:$A$503,329))</f>
        <v/>
      </c>
      <c r="E832">
        <f>IF(ISNUMBER(INDEX('Aides'!$S$4:$S$503,329)),TEXT(INDEX('Aides'!$S$4:$S$503,329),"yyyy-mm-dd"),"")</f>
        <v/>
      </c>
      <c r="F832">
        <f>"Training"</f>
        <v/>
      </c>
      <c r="G832">
        <f>"Medium"</f>
        <v/>
      </c>
      <c r="H832">
        <f>TRIM(IF(LEN(IF(LEN(INDEX('Aides'!$U$4:$U$503,329))=0,"",INDEX('Aides'!$U$4:$U$503,329)))=0,"","Owner: "&amp;IF(LEN(INDEX('Aides'!$U$4:$U$503,329))=0,"",INDEX('Aides'!$U$4:$U$503,329))&amp;". "))</f>
        <v/>
      </c>
      <c r="I832">
        <f>""</f>
        <v/>
      </c>
      <c r="J832">
        <f>IF(LEN(INDEX('Aides'!$V$4:$V$503,329))=0,"",INDEX('Aides'!$V$4:$V$503,329))</f>
        <v/>
      </c>
    </row>
    <row r="833">
      <c r="A833">
        <f>IF(AND(LEN('Aides'!A333)&gt;0,ISNUMBER('Aides'!S333)),1,0)</f>
        <v/>
      </c>
      <c r="B833">
        <f>B832+A833</f>
        <v/>
      </c>
      <c r="C833">
        <f>IF(830&gt;$B$1503,"",MATCH(830-0.5,$B$3:$B$1503,1))</f>
        <v/>
      </c>
      <c r="D833">
        <f>"CPR / First Aid – "&amp;IF(LEN(INDEX('Aides'!$A$4:$A$503,330))=0,"",INDEX('Aides'!$A$4:$A$503,330))</f>
        <v/>
      </c>
      <c r="E833">
        <f>IF(ISNUMBER(INDEX('Aides'!$S$4:$S$503,330)),TEXT(INDEX('Aides'!$S$4:$S$503,330),"yyyy-mm-dd"),"")</f>
        <v/>
      </c>
      <c r="F833">
        <f>"Training"</f>
        <v/>
      </c>
      <c r="G833">
        <f>"Medium"</f>
        <v/>
      </c>
      <c r="H833">
        <f>TRIM(IF(LEN(IF(LEN(INDEX('Aides'!$U$4:$U$503,330))=0,"",INDEX('Aides'!$U$4:$U$503,330)))=0,"","Owner: "&amp;IF(LEN(INDEX('Aides'!$U$4:$U$503,330))=0,"",INDEX('Aides'!$U$4:$U$503,330))&amp;". "))</f>
        <v/>
      </c>
      <c r="I833">
        <f>""</f>
        <v/>
      </c>
      <c r="J833">
        <f>IF(LEN(INDEX('Aides'!$V$4:$V$503,330))=0,"",INDEX('Aides'!$V$4:$V$503,330))</f>
        <v/>
      </c>
    </row>
    <row r="834">
      <c r="A834">
        <f>IF(AND(LEN('Aides'!A334)&gt;0,ISNUMBER('Aides'!S334)),1,0)</f>
        <v/>
      </c>
      <c r="B834">
        <f>B833+A834</f>
        <v/>
      </c>
      <c r="C834">
        <f>IF(831&gt;$B$1503,"",MATCH(831-0.5,$B$3:$B$1503,1))</f>
        <v/>
      </c>
      <c r="D834">
        <f>"CPR / First Aid – "&amp;IF(LEN(INDEX('Aides'!$A$4:$A$503,331))=0,"",INDEX('Aides'!$A$4:$A$503,331))</f>
        <v/>
      </c>
      <c r="E834">
        <f>IF(ISNUMBER(INDEX('Aides'!$S$4:$S$503,331)),TEXT(INDEX('Aides'!$S$4:$S$503,331),"yyyy-mm-dd"),"")</f>
        <v/>
      </c>
      <c r="F834">
        <f>"Training"</f>
        <v/>
      </c>
      <c r="G834">
        <f>"Medium"</f>
        <v/>
      </c>
      <c r="H834">
        <f>TRIM(IF(LEN(IF(LEN(INDEX('Aides'!$U$4:$U$503,331))=0,"",INDEX('Aides'!$U$4:$U$503,331)))=0,"","Owner: "&amp;IF(LEN(INDEX('Aides'!$U$4:$U$503,331))=0,"",INDEX('Aides'!$U$4:$U$503,331))&amp;". "))</f>
        <v/>
      </c>
      <c r="I834">
        <f>""</f>
        <v/>
      </c>
      <c r="J834">
        <f>IF(LEN(INDEX('Aides'!$V$4:$V$503,331))=0,"",INDEX('Aides'!$V$4:$V$503,331))</f>
        <v/>
      </c>
    </row>
    <row r="835">
      <c r="A835">
        <f>IF(AND(LEN('Aides'!A335)&gt;0,ISNUMBER('Aides'!S335)),1,0)</f>
        <v/>
      </c>
      <c r="B835">
        <f>B834+A835</f>
        <v/>
      </c>
      <c r="C835">
        <f>IF(832&gt;$B$1503,"",MATCH(832-0.5,$B$3:$B$1503,1))</f>
        <v/>
      </c>
      <c r="D835">
        <f>"CPR / First Aid – "&amp;IF(LEN(INDEX('Aides'!$A$4:$A$503,332))=0,"",INDEX('Aides'!$A$4:$A$503,332))</f>
        <v/>
      </c>
      <c r="E835">
        <f>IF(ISNUMBER(INDEX('Aides'!$S$4:$S$503,332)),TEXT(INDEX('Aides'!$S$4:$S$503,332),"yyyy-mm-dd"),"")</f>
        <v/>
      </c>
      <c r="F835">
        <f>"Training"</f>
        <v/>
      </c>
      <c r="G835">
        <f>"Medium"</f>
        <v/>
      </c>
      <c r="H835">
        <f>TRIM(IF(LEN(IF(LEN(INDEX('Aides'!$U$4:$U$503,332))=0,"",INDEX('Aides'!$U$4:$U$503,332)))=0,"","Owner: "&amp;IF(LEN(INDEX('Aides'!$U$4:$U$503,332))=0,"",INDEX('Aides'!$U$4:$U$503,332))&amp;". "))</f>
        <v/>
      </c>
      <c r="I835">
        <f>""</f>
        <v/>
      </c>
      <c r="J835">
        <f>IF(LEN(INDEX('Aides'!$V$4:$V$503,332))=0,"",INDEX('Aides'!$V$4:$V$503,332))</f>
        <v/>
      </c>
    </row>
    <row r="836">
      <c r="A836">
        <f>IF(AND(LEN('Aides'!A336)&gt;0,ISNUMBER('Aides'!S336)),1,0)</f>
        <v/>
      </c>
      <c r="B836">
        <f>B835+A836</f>
        <v/>
      </c>
      <c r="C836">
        <f>IF(833&gt;$B$1503,"",MATCH(833-0.5,$B$3:$B$1503,1))</f>
        <v/>
      </c>
      <c r="D836">
        <f>"CPR / First Aid – "&amp;IF(LEN(INDEX('Aides'!$A$4:$A$503,333))=0,"",INDEX('Aides'!$A$4:$A$503,333))</f>
        <v/>
      </c>
      <c r="E836">
        <f>IF(ISNUMBER(INDEX('Aides'!$S$4:$S$503,333)),TEXT(INDEX('Aides'!$S$4:$S$503,333),"yyyy-mm-dd"),"")</f>
        <v/>
      </c>
      <c r="F836">
        <f>"Training"</f>
        <v/>
      </c>
      <c r="G836">
        <f>"Medium"</f>
        <v/>
      </c>
      <c r="H836">
        <f>TRIM(IF(LEN(IF(LEN(INDEX('Aides'!$U$4:$U$503,333))=0,"",INDEX('Aides'!$U$4:$U$503,333)))=0,"","Owner: "&amp;IF(LEN(INDEX('Aides'!$U$4:$U$503,333))=0,"",INDEX('Aides'!$U$4:$U$503,333))&amp;". "))</f>
        <v/>
      </c>
      <c r="I836">
        <f>""</f>
        <v/>
      </c>
      <c r="J836">
        <f>IF(LEN(INDEX('Aides'!$V$4:$V$503,333))=0,"",INDEX('Aides'!$V$4:$V$503,333))</f>
        <v/>
      </c>
    </row>
    <row r="837">
      <c r="A837">
        <f>IF(AND(LEN('Aides'!A337)&gt;0,ISNUMBER('Aides'!S337)),1,0)</f>
        <v/>
      </c>
      <c r="B837">
        <f>B836+A837</f>
        <v/>
      </c>
      <c r="C837">
        <f>IF(834&gt;$B$1503,"",MATCH(834-0.5,$B$3:$B$1503,1))</f>
        <v/>
      </c>
      <c r="D837">
        <f>"CPR / First Aid – "&amp;IF(LEN(INDEX('Aides'!$A$4:$A$503,334))=0,"",INDEX('Aides'!$A$4:$A$503,334))</f>
        <v/>
      </c>
      <c r="E837">
        <f>IF(ISNUMBER(INDEX('Aides'!$S$4:$S$503,334)),TEXT(INDEX('Aides'!$S$4:$S$503,334),"yyyy-mm-dd"),"")</f>
        <v/>
      </c>
      <c r="F837">
        <f>"Training"</f>
        <v/>
      </c>
      <c r="G837">
        <f>"Medium"</f>
        <v/>
      </c>
      <c r="H837">
        <f>TRIM(IF(LEN(IF(LEN(INDEX('Aides'!$U$4:$U$503,334))=0,"",INDEX('Aides'!$U$4:$U$503,334)))=0,"","Owner: "&amp;IF(LEN(INDEX('Aides'!$U$4:$U$503,334))=0,"",INDEX('Aides'!$U$4:$U$503,334))&amp;". "))</f>
        <v/>
      </c>
      <c r="I837">
        <f>""</f>
        <v/>
      </c>
      <c r="J837">
        <f>IF(LEN(INDEX('Aides'!$V$4:$V$503,334))=0,"",INDEX('Aides'!$V$4:$V$503,334))</f>
        <v/>
      </c>
    </row>
    <row r="838">
      <c r="A838">
        <f>IF(AND(LEN('Aides'!A338)&gt;0,ISNUMBER('Aides'!S338)),1,0)</f>
        <v/>
      </c>
      <c r="B838">
        <f>B837+A838</f>
        <v/>
      </c>
      <c r="C838">
        <f>IF(835&gt;$B$1503,"",MATCH(835-0.5,$B$3:$B$1503,1))</f>
        <v/>
      </c>
      <c r="D838">
        <f>"CPR / First Aid – "&amp;IF(LEN(INDEX('Aides'!$A$4:$A$503,335))=0,"",INDEX('Aides'!$A$4:$A$503,335))</f>
        <v/>
      </c>
      <c r="E838">
        <f>IF(ISNUMBER(INDEX('Aides'!$S$4:$S$503,335)),TEXT(INDEX('Aides'!$S$4:$S$503,335),"yyyy-mm-dd"),"")</f>
        <v/>
      </c>
      <c r="F838">
        <f>"Training"</f>
        <v/>
      </c>
      <c r="G838">
        <f>"Medium"</f>
        <v/>
      </c>
      <c r="H838">
        <f>TRIM(IF(LEN(IF(LEN(INDEX('Aides'!$U$4:$U$503,335))=0,"",INDEX('Aides'!$U$4:$U$503,335)))=0,"","Owner: "&amp;IF(LEN(INDEX('Aides'!$U$4:$U$503,335))=0,"",INDEX('Aides'!$U$4:$U$503,335))&amp;". "))</f>
        <v/>
      </c>
      <c r="I838">
        <f>""</f>
        <v/>
      </c>
      <c r="J838">
        <f>IF(LEN(INDEX('Aides'!$V$4:$V$503,335))=0,"",INDEX('Aides'!$V$4:$V$503,335))</f>
        <v/>
      </c>
    </row>
    <row r="839">
      <c r="A839">
        <f>IF(AND(LEN('Aides'!A339)&gt;0,ISNUMBER('Aides'!S339)),1,0)</f>
        <v/>
      </c>
      <c r="B839">
        <f>B838+A839</f>
        <v/>
      </c>
      <c r="C839">
        <f>IF(836&gt;$B$1503,"",MATCH(836-0.5,$B$3:$B$1503,1))</f>
        <v/>
      </c>
      <c r="D839">
        <f>"CPR / First Aid – "&amp;IF(LEN(INDEX('Aides'!$A$4:$A$503,336))=0,"",INDEX('Aides'!$A$4:$A$503,336))</f>
        <v/>
      </c>
      <c r="E839">
        <f>IF(ISNUMBER(INDEX('Aides'!$S$4:$S$503,336)),TEXT(INDEX('Aides'!$S$4:$S$503,336),"yyyy-mm-dd"),"")</f>
        <v/>
      </c>
      <c r="F839">
        <f>"Training"</f>
        <v/>
      </c>
      <c r="G839">
        <f>"Medium"</f>
        <v/>
      </c>
      <c r="H839">
        <f>TRIM(IF(LEN(IF(LEN(INDEX('Aides'!$U$4:$U$503,336))=0,"",INDEX('Aides'!$U$4:$U$503,336)))=0,"","Owner: "&amp;IF(LEN(INDEX('Aides'!$U$4:$U$503,336))=0,"",INDEX('Aides'!$U$4:$U$503,336))&amp;". "))</f>
        <v/>
      </c>
      <c r="I839">
        <f>""</f>
        <v/>
      </c>
      <c r="J839">
        <f>IF(LEN(INDEX('Aides'!$V$4:$V$503,336))=0,"",INDEX('Aides'!$V$4:$V$503,336))</f>
        <v/>
      </c>
    </row>
    <row r="840">
      <c r="A840">
        <f>IF(AND(LEN('Aides'!A340)&gt;0,ISNUMBER('Aides'!S340)),1,0)</f>
        <v/>
      </c>
      <c r="B840">
        <f>B839+A840</f>
        <v/>
      </c>
      <c r="C840">
        <f>IF(837&gt;$B$1503,"",MATCH(837-0.5,$B$3:$B$1503,1))</f>
        <v/>
      </c>
      <c r="D840">
        <f>"CPR / First Aid – "&amp;IF(LEN(INDEX('Aides'!$A$4:$A$503,337))=0,"",INDEX('Aides'!$A$4:$A$503,337))</f>
        <v/>
      </c>
      <c r="E840">
        <f>IF(ISNUMBER(INDEX('Aides'!$S$4:$S$503,337)),TEXT(INDEX('Aides'!$S$4:$S$503,337),"yyyy-mm-dd"),"")</f>
        <v/>
      </c>
      <c r="F840">
        <f>"Training"</f>
        <v/>
      </c>
      <c r="G840">
        <f>"Medium"</f>
        <v/>
      </c>
      <c r="H840">
        <f>TRIM(IF(LEN(IF(LEN(INDEX('Aides'!$U$4:$U$503,337))=0,"",INDEX('Aides'!$U$4:$U$503,337)))=0,"","Owner: "&amp;IF(LEN(INDEX('Aides'!$U$4:$U$503,337))=0,"",INDEX('Aides'!$U$4:$U$503,337))&amp;". "))</f>
        <v/>
      </c>
      <c r="I840">
        <f>""</f>
        <v/>
      </c>
      <c r="J840">
        <f>IF(LEN(INDEX('Aides'!$V$4:$V$503,337))=0,"",INDEX('Aides'!$V$4:$V$503,337))</f>
        <v/>
      </c>
    </row>
    <row r="841">
      <c r="A841">
        <f>IF(AND(LEN('Aides'!A341)&gt;0,ISNUMBER('Aides'!S341)),1,0)</f>
        <v/>
      </c>
      <c r="B841">
        <f>B840+A841</f>
        <v/>
      </c>
      <c r="C841">
        <f>IF(838&gt;$B$1503,"",MATCH(838-0.5,$B$3:$B$1503,1))</f>
        <v/>
      </c>
      <c r="D841">
        <f>"CPR / First Aid – "&amp;IF(LEN(INDEX('Aides'!$A$4:$A$503,338))=0,"",INDEX('Aides'!$A$4:$A$503,338))</f>
        <v/>
      </c>
      <c r="E841">
        <f>IF(ISNUMBER(INDEX('Aides'!$S$4:$S$503,338)),TEXT(INDEX('Aides'!$S$4:$S$503,338),"yyyy-mm-dd"),"")</f>
        <v/>
      </c>
      <c r="F841">
        <f>"Training"</f>
        <v/>
      </c>
      <c r="G841">
        <f>"Medium"</f>
        <v/>
      </c>
      <c r="H841">
        <f>TRIM(IF(LEN(IF(LEN(INDEX('Aides'!$U$4:$U$503,338))=0,"",INDEX('Aides'!$U$4:$U$503,338)))=0,"","Owner: "&amp;IF(LEN(INDEX('Aides'!$U$4:$U$503,338))=0,"",INDEX('Aides'!$U$4:$U$503,338))&amp;". "))</f>
        <v/>
      </c>
      <c r="I841">
        <f>""</f>
        <v/>
      </c>
      <c r="J841">
        <f>IF(LEN(INDEX('Aides'!$V$4:$V$503,338))=0,"",INDEX('Aides'!$V$4:$V$503,338))</f>
        <v/>
      </c>
    </row>
    <row r="842">
      <c r="A842">
        <f>IF(AND(LEN('Aides'!A342)&gt;0,ISNUMBER('Aides'!S342)),1,0)</f>
        <v/>
      </c>
      <c r="B842">
        <f>B841+A842</f>
        <v/>
      </c>
      <c r="C842">
        <f>IF(839&gt;$B$1503,"",MATCH(839-0.5,$B$3:$B$1503,1))</f>
        <v/>
      </c>
      <c r="D842">
        <f>"CPR / First Aid – "&amp;IF(LEN(INDEX('Aides'!$A$4:$A$503,339))=0,"",INDEX('Aides'!$A$4:$A$503,339))</f>
        <v/>
      </c>
      <c r="E842">
        <f>IF(ISNUMBER(INDEX('Aides'!$S$4:$S$503,339)),TEXT(INDEX('Aides'!$S$4:$S$503,339),"yyyy-mm-dd"),"")</f>
        <v/>
      </c>
      <c r="F842">
        <f>"Training"</f>
        <v/>
      </c>
      <c r="G842">
        <f>"Medium"</f>
        <v/>
      </c>
      <c r="H842">
        <f>TRIM(IF(LEN(IF(LEN(INDEX('Aides'!$U$4:$U$503,339))=0,"",INDEX('Aides'!$U$4:$U$503,339)))=0,"","Owner: "&amp;IF(LEN(INDEX('Aides'!$U$4:$U$503,339))=0,"",INDEX('Aides'!$U$4:$U$503,339))&amp;". "))</f>
        <v/>
      </c>
      <c r="I842">
        <f>""</f>
        <v/>
      </c>
      <c r="J842">
        <f>IF(LEN(INDEX('Aides'!$V$4:$V$503,339))=0,"",INDEX('Aides'!$V$4:$V$503,339))</f>
        <v/>
      </c>
    </row>
    <row r="843">
      <c r="A843">
        <f>IF(AND(LEN('Aides'!A343)&gt;0,ISNUMBER('Aides'!S343)),1,0)</f>
        <v/>
      </c>
      <c r="B843">
        <f>B842+A843</f>
        <v/>
      </c>
      <c r="C843">
        <f>IF(840&gt;$B$1503,"",MATCH(840-0.5,$B$3:$B$1503,1))</f>
        <v/>
      </c>
      <c r="D843">
        <f>"CPR / First Aid – "&amp;IF(LEN(INDEX('Aides'!$A$4:$A$503,340))=0,"",INDEX('Aides'!$A$4:$A$503,340))</f>
        <v/>
      </c>
      <c r="E843">
        <f>IF(ISNUMBER(INDEX('Aides'!$S$4:$S$503,340)),TEXT(INDEX('Aides'!$S$4:$S$503,340),"yyyy-mm-dd"),"")</f>
        <v/>
      </c>
      <c r="F843">
        <f>"Training"</f>
        <v/>
      </c>
      <c r="G843">
        <f>"Medium"</f>
        <v/>
      </c>
      <c r="H843">
        <f>TRIM(IF(LEN(IF(LEN(INDEX('Aides'!$U$4:$U$503,340))=0,"",INDEX('Aides'!$U$4:$U$503,340)))=0,"","Owner: "&amp;IF(LEN(INDEX('Aides'!$U$4:$U$503,340))=0,"",INDEX('Aides'!$U$4:$U$503,340))&amp;". "))</f>
        <v/>
      </c>
      <c r="I843">
        <f>""</f>
        <v/>
      </c>
      <c r="J843">
        <f>IF(LEN(INDEX('Aides'!$V$4:$V$503,340))=0,"",INDEX('Aides'!$V$4:$V$503,340))</f>
        <v/>
      </c>
    </row>
    <row r="844">
      <c r="A844">
        <f>IF(AND(LEN('Aides'!A344)&gt;0,ISNUMBER('Aides'!S344)),1,0)</f>
        <v/>
      </c>
      <c r="B844">
        <f>B843+A844</f>
        <v/>
      </c>
      <c r="C844">
        <f>IF(841&gt;$B$1503,"",MATCH(841-0.5,$B$3:$B$1503,1))</f>
        <v/>
      </c>
      <c r="D844">
        <f>"CPR / First Aid – "&amp;IF(LEN(INDEX('Aides'!$A$4:$A$503,341))=0,"",INDEX('Aides'!$A$4:$A$503,341))</f>
        <v/>
      </c>
      <c r="E844">
        <f>IF(ISNUMBER(INDEX('Aides'!$S$4:$S$503,341)),TEXT(INDEX('Aides'!$S$4:$S$503,341),"yyyy-mm-dd"),"")</f>
        <v/>
      </c>
      <c r="F844">
        <f>"Training"</f>
        <v/>
      </c>
      <c r="G844">
        <f>"Medium"</f>
        <v/>
      </c>
      <c r="H844">
        <f>TRIM(IF(LEN(IF(LEN(INDEX('Aides'!$U$4:$U$503,341))=0,"",INDEX('Aides'!$U$4:$U$503,341)))=0,"","Owner: "&amp;IF(LEN(INDEX('Aides'!$U$4:$U$503,341))=0,"",INDEX('Aides'!$U$4:$U$503,341))&amp;". "))</f>
        <v/>
      </c>
      <c r="I844">
        <f>""</f>
        <v/>
      </c>
      <c r="J844">
        <f>IF(LEN(INDEX('Aides'!$V$4:$V$503,341))=0,"",INDEX('Aides'!$V$4:$V$503,341))</f>
        <v/>
      </c>
    </row>
    <row r="845">
      <c r="A845">
        <f>IF(AND(LEN('Aides'!A345)&gt;0,ISNUMBER('Aides'!S345)),1,0)</f>
        <v/>
      </c>
      <c r="B845">
        <f>B844+A845</f>
        <v/>
      </c>
      <c r="C845">
        <f>IF(842&gt;$B$1503,"",MATCH(842-0.5,$B$3:$B$1503,1))</f>
        <v/>
      </c>
      <c r="D845">
        <f>"CPR / First Aid – "&amp;IF(LEN(INDEX('Aides'!$A$4:$A$503,342))=0,"",INDEX('Aides'!$A$4:$A$503,342))</f>
        <v/>
      </c>
      <c r="E845">
        <f>IF(ISNUMBER(INDEX('Aides'!$S$4:$S$503,342)),TEXT(INDEX('Aides'!$S$4:$S$503,342),"yyyy-mm-dd"),"")</f>
        <v/>
      </c>
      <c r="F845">
        <f>"Training"</f>
        <v/>
      </c>
      <c r="G845">
        <f>"Medium"</f>
        <v/>
      </c>
      <c r="H845">
        <f>TRIM(IF(LEN(IF(LEN(INDEX('Aides'!$U$4:$U$503,342))=0,"",INDEX('Aides'!$U$4:$U$503,342)))=0,"","Owner: "&amp;IF(LEN(INDEX('Aides'!$U$4:$U$503,342))=0,"",INDEX('Aides'!$U$4:$U$503,342))&amp;". "))</f>
        <v/>
      </c>
      <c r="I845">
        <f>""</f>
        <v/>
      </c>
      <c r="J845">
        <f>IF(LEN(INDEX('Aides'!$V$4:$V$503,342))=0,"",INDEX('Aides'!$V$4:$V$503,342))</f>
        <v/>
      </c>
    </row>
    <row r="846">
      <c r="A846">
        <f>IF(AND(LEN('Aides'!A346)&gt;0,ISNUMBER('Aides'!S346)),1,0)</f>
        <v/>
      </c>
      <c r="B846">
        <f>B845+A846</f>
        <v/>
      </c>
      <c r="C846">
        <f>IF(843&gt;$B$1503,"",MATCH(843-0.5,$B$3:$B$1503,1))</f>
        <v/>
      </c>
      <c r="D846">
        <f>"CPR / First Aid – "&amp;IF(LEN(INDEX('Aides'!$A$4:$A$503,343))=0,"",INDEX('Aides'!$A$4:$A$503,343))</f>
        <v/>
      </c>
      <c r="E846">
        <f>IF(ISNUMBER(INDEX('Aides'!$S$4:$S$503,343)),TEXT(INDEX('Aides'!$S$4:$S$503,343),"yyyy-mm-dd"),"")</f>
        <v/>
      </c>
      <c r="F846">
        <f>"Training"</f>
        <v/>
      </c>
      <c r="G846">
        <f>"Medium"</f>
        <v/>
      </c>
      <c r="H846">
        <f>TRIM(IF(LEN(IF(LEN(INDEX('Aides'!$U$4:$U$503,343))=0,"",INDEX('Aides'!$U$4:$U$503,343)))=0,"","Owner: "&amp;IF(LEN(INDEX('Aides'!$U$4:$U$503,343))=0,"",INDEX('Aides'!$U$4:$U$503,343))&amp;". "))</f>
        <v/>
      </c>
      <c r="I846">
        <f>""</f>
        <v/>
      </c>
      <c r="J846">
        <f>IF(LEN(INDEX('Aides'!$V$4:$V$503,343))=0,"",INDEX('Aides'!$V$4:$V$503,343))</f>
        <v/>
      </c>
    </row>
    <row r="847">
      <c r="A847">
        <f>IF(AND(LEN('Aides'!A347)&gt;0,ISNUMBER('Aides'!S347)),1,0)</f>
        <v/>
      </c>
      <c r="B847">
        <f>B846+A847</f>
        <v/>
      </c>
      <c r="C847">
        <f>IF(844&gt;$B$1503,"",MATCH(844-0.5,$B$3:$B$1503,1))</f>
        <v/>
      </c>
      <c r="D847">
        <f>"CPR / First Aid – "&amp;IF(LEN(INDEX('Aides'!$A$4:$A$503,344))=0,"",INDEX('Aides'!$A$4:$A$503,344))</f>
        <v/>
      </c>
      <c r="E847">
        <f>IF(ISNUMBER(INDEX('Aides'!$S$4:$S$503,344)),TEXT(INDEX('Aides'!$S$4:$S$503,344),"yyyy-mm-dd"),"")</f>
        <v/>
      </c>
      <c r="F847">
        <f>"Training"</f>
        <v/>
      </c>
      <c r="G847">
        <f>"Medium"</f>
        <v/>
      </c>
      <c r="H847">
        <f>TRIM(IF(LEN(IF(LEN(INDEX('Aides'!$U$4:$U$503,344))=0,"",INDEX('Aides'!$U$4:$U$503,344)))=0,"","Owner: "&amp;IF(LEN(INDEX('Aides'!$U$4:$U$503,344))=0,"",INDEX('Aides'!$U$4:$U$503,344))&amp;". "))</f>
        <v/>
      </c>
      <c r="I847">
        <f>""</f>
        <v/>
      </c>
      <c r="J847">
        <f>IF(LEN(INDEX('Aides'!$V$4:$V$503,344))=0,"",INDEX('Aides'!$V$4:$V$503,344))</f>
        <v/>
      </c>
    </row>
    <row r="848">
      <c r="A848">
        <f>IF(AND(LEN('Aides'!A348)&gt;0,ISNUMBER('Aides'!S348)),1,0)</f>
        <v/>
      </c>
      <c r="B848">
        <f>B847+A848</f>
        <v/>
      </c>
      <c r="C848">
        <f>IF(845&gt;$B$1503,"",MATCH(845-0.5,$B$3:$B$1503,1))</f>
        <v/>
      </c>
      <c r="D848">
        <f>"CPR / First Aid – "&amp;IF(LEN(INDEX('Aides'!$A$4:$A$503,345))=0,"",INDEX('Aides'!$A$4:$A$503,345))</f>
        <v/>
      </c>
      <c r="E848">
        <f>IF(ISNUMBER(INDEX('Aides'!$S$4:$S$503,345)),TEXT(INDEX('Aides'!$S$4:$S$503,345),"yyyy-mm-dd"),"")</f>
        <v/>
      </c>
      <c r="F848">
        <f>"Training"</f>
        <v/>
      </c>
      <c r="G848">
        <f>"Medium"</f>
        <v/>
      </c>
      <c r="H848">
        <f>TRIM(IF(LEN(IF(LEN(INDEX('Aides'!$U$4:$U$503,345))=0,"",INDEX('Aides'!$U$4:$U$503,345)))=0,"","Owner: "&amp;IF(LEN(INDEX('Aides'!$U$4:$U$503,345))=0,"",INDEX('Aides'!$U$4:$U$503,345))&amp;". "))</f>
        <v/>
      </c>
      <c r="I848">
        <f>""</f>
        <v/>
      </c>
      <c r="J848">
        <f>IF(LEN(INDEX('Aides'!$V$4:$V$503,345))=0,"",INDEX('Aides'!$V$4:$V$503,345))</f>
        <v/>
      </c>
    </row>
    <row r="849">
      <c r="A849">
        <f>IF(AND(LEN('Aides'!A349)&gt;0,ISNUMBER('Aides'!S349)),1,0)</f>
        <v/>
      </c>
      <c r="B849">
        <f>B848+A849</f>
        <v/>
      </c>
      <c r="C849">
        <f>IF(846&gt;$B$1503,"",MATCH(846-0.5,$B$3:$B$1503,1))</f>
        <v/>
      </c>
      <c r="D849">
        <f>"CPR / First Aid – "&amp;IF(LEN(INDEX('Aides'!$A$4:$A$503,346))=0,"",INDEX('Aides'!$A$4:$A$503,346))</f>
        <v/>
      </c>
      <c r="E849">
        <f>IF(ISNUMBER(INDEX('Aides'!$S$4:$S$503,346)),TEXT(INDEX('Aides'!$S$4:$S$503,346),"yyyy-mm-dd"),"")</f>
        <v/>
      </c>
      <c r="F849">
        <f>"Training"</f>
        <v/>
      </c>
      <c r="G849">
        <f>"Medium"</f>
        <v/>
      </c>
      <c r="H849">
        <f>TRIM(IF(LEN(IF(LEN(INDEX('Aides'!$U$4:$U$503,346))=0,"",INDEX('Aides'!$U$4:$U$503,346)))=0,"","Owner: "&amp;IF(LEN(INDEX('Aides'!$U$4:$U$503,346))=0,"",INDEX('Aides'!$U$4:$U$503,346))&amp;". "))</f>
        <v/>
      </c>
      <c r="I849">
        <f>""</f>
        <v/>
      </c>
      <c r="J849">
        <f>IF(LEN(INDEX('Aides'!$V$4:$V$503,346))=0,"",INDEX('Aides'!$V$4:$V$503,346))</f>
        <v/>
      </c>
    </row>
    <row r="850">
      <c r="A850">
        <f>IF(AND(LEN('Aides'!A350)&gt;0,ISNUMBER('Aides'!S350)),1,0)</f>
        <v/>
      </c>
      <c r="B850">
        <f>B849+A850</f>
        <v/>
      </c>
      <c r="C850">
        <f>IF(847&gt;$B$1503,"",MATCH(847-0.5,$B$3:$B$1503,1))</f>
        <v/>
      </c>
      <c r="D850">
        <f>"CPR / First Aid – "&amp;IF(LEN(INDEX('Aides'!$A$4:$A$503,347))=0,"",INDEX('Aides'!$A$4:$A$503,347))</f>
        <v/>
      </c>
      <c r="E850">
        <f>IF(ISNUMBER(INDEX('Aides'!$S$4:$S$503,347)),TEXT(INDEX('Aides'!$S$4:$S$503,347),"yyyy-mm-dd"),"")</f>
        <v/>
      </c>
      <c r="F850">
        <f>"Training"</f>
        <v/>
      </c>
      <c r="G850">
        <f>"Medium"</f>
        <v/>
      </c>
      <c r="H850">
        <f>TRIM(IF(LEN(IF(LEN(INDEX('Aides'!$U$4:$U$503,347))=0,"",INDEX('Aides'!$U$4:$U$503,347)))=0,"","Owner: "&amp;IF(LEN(INDEX('Aides'!$U$4:$U$503,347))=0,"",INDEX('Aides'!$U$4:$U$503,347))&amp;". "))</f>
        <v/>
      </c>
      <c r="I850">
        <f>""</f>
        <v/>
      </c>
      <c r="J850">
        <f>IF(LEN(INDEX('Aides'!$V$4:$V$503,347))=0,"",INDEX('Aides'!$V$4:$V$503,347))</f>
        <v/>
      </c>
    </row>
    <row r="851">
      <c r="A851">
        <f>IF(AND(LEN('Aides'!A351)&gt;0,ISNUMBER('Aides'!S351)),1,0)</f>
        <v/>
      </c>
      <c r="B851">
        <f>B850+A851</f>
        <v/>
      </c>
      <c r="C851">
        <f>IF(848&gt;$B$1503,"",MATCH(848-0.5,$B$3:$B$1503,1))</f>
        <v/>
      </c>
      <c r="D851">
        <f>"CPR / First Aid – "&amp;IF(LEN(INDEX('Aides'!$A$4:$A$503,348))=0,"",INDEX('Aides'!$A$4:$A$503,348))</f>
        <v/>
      </c>
      <c r="E851">
        <f>IF(ISNUMBER(INDEX('Aides'!$S$4:$S$503,348)),TEXT(INDEX('Aides'!$S$4:$S$503,348),"yyyy-mm-dd"),"")</f>
        <v/>
      </c>
      <c r="F851">
        <f>"Training"</f>
        <v/>
      </c>
      <c r="G851">
        <f>"Medium"</f>
        <v/>
      </c>
      <c r="H851">
        <f>TRIM(IF(LEN(IF(LEN(INDEX('Aides'!$U$4:$U$503,348))=0,"",INDEX('Aides'!$U$4:$U$503,348)))=0,"","Owner: "&amp;IF(LEN(INDEX('Aides'!$U$4:$U$503,348))=0,"",INDEX('Aides'!$U$4:$U$503,348))&amp;". "))</f>
        <v/>
      </c>
      <c r="I851">
        <f>""</f>
        <v/>
      </c>
      <c r="J851">
        <f>IF(LEN(INDEX('Aides'!$V$4:$V$503,348))=0,"",INDEX('Aides'!$V$4:$V$503,348))</f>
        <v/>
      </c>
    </row>
    <row r="852">
      <c r="A852">
        <f>IF(AND(LEN('Aides'!A352)&gt;0,ISNUMBER('Aides'!S352)),1,0)</f>
        <v/>
      </c>
      <c r="B852">
        <f>B851+A852</f>
        <v/>
      </c>
      <c r="C852">
        <f>IF(849&gt;$B$1503,"",MATCH(849-0.5,$B$3:$B$1503,1))</f>
        <v/>
      </c>
      <c r="D852">
        <f>"CPR / First Aid – "&amp;IF(LEN(INDEX('Aides'!$A$4:$A$503,349))=0,"",INDEX('Aides'!$A$4:$A$503,349))</f>
        <v/>
      </c>
      <c r="E852">
        <f>IF(ISNUMBER(INDEX('Aides'!$S$4:$S$503,349)),TEXT(INDEX('Aides'!$S$4:$S$503,349),"yyyy-mm-dd"),"")</f>
        <v/>
      </c>
      <c r="F852">
        <f>"Training"</f>
        <v/>
      </c>
      <c r="G852">
        <f>"Medium"</f>
        <v/>
      </c>
      <c r="H852">
        <f>TRIM(IF(LEN(IF(LEN(INDEX('Aides'!$U$4:$U$503,349))=0,"",INDEX('Aides'!$U$4:$U$503,349)))=0,"","Owner: "&amp;IF(LEN(INDEX('Aides'!$U$4:$U$503,349))=0,"",INDEX('Aides'!$U$4:$U$503,349))&amp;". "))</f>
        <v/>
      </c>
      <c r="I852">
        <f>""</f>
        <v/>
      </c>
      <c r="J852">
        <f>IF(LEN(INDEX('Aides'!$V$4:$V$503,349))=0,"",INDEX('Aides'!$V$4:$V$503,349))</f>
        <v/>
      </c>
    </row>
    <row r="853">
      <c r="A853">
        <f>IF(AND(LEN('Aides'!A353)&gt;0,ISNUMBER('Aides'!S353)),1,0)</f>
        <v/>
      </c>
      <c r="B853">
        <f>B852+A853</f>
        <v/>
      </c>
      <c r="C853">
        <f>IF(850&gt;$B$1503,"",MATCH(850-0.5,$B$3:$B$1503,1))</f>
        <v/>
      </c>
      <c r="D853">
        <f>"CPR / First Aid – "&amp;IF(LEN(INDEX('Aides'!$A$4:$A$503,350))=0,"",INDEX('Aides'!$A$4:$A$503,350))</f>
        <v/>
      </c>
      <c r="E853">
        <f>IF(ISNUMBER(INDEX('Aides'!$S$4:$S$503,350)),TEXT(INDEX('Aides'!$S$4:$S$503,350),"yyyy-mm-dd"),"")</f>
        <v/>
      </c>
      <c r="F853">
        <f>"Training"</f>
        <v/>
      </c>
      <c r="G853">
        <f>"Medium"</f>
        <v/>
      </c>
      <c r="H853">
        <f>TRIM(IF(LEN(IF(LEN(INDEX('Aides'!$U$4:$U$503,350))=0,"",INDEX('Aides'!$U$4:$U$503,350)))=0,"","Owner: "&amp;IF(LEN(INDEX('Aides'!$U$4:$U$503,350))=0,"",INDEX('Aides'!$U$4:$U$503,350))&amp;". "))</f>
        <v/>
      </c>
      <c r="I853">
        <f>""</f>
        <v/>
      </c>
      <c r="J853">
        <f>IF(LEN(INDEX('Aides'!$V$4:$V$503,350))=0,"",INDEX('Aides'!$V$4:$V$503,350))</f>
        <v/>
      </c>
    </row>
    <row r="854">
      <c r="A854">
        <f>IF(AND(LEN('Aides'!A354)&gt;0,ISNUMBER('Aides'!S354)),1,0)</f>
        <v/>
      </c>
      <c r="B854">
        <f>B853+A854</f>
        <v/>
      </c>
      <c r="C854">
        <f>IF(851&gt;$B$1503,"",MATCH(851-0.5,$B$3:$B$1503,1))</f>
        <v/>
      </c>
      <c r="D854">
        <f>"CPR / First Aid – "&amp;IF(LEN(INDEX('Aides'!$A$4:$A$503,351))=0,"",INDEX('Aides'!$A$4:$A$503,351))</f>
        <v/>
      </c>
      <c r="E854">
        <f>IF(ISNUMBER(INDEX('Aides'!$S$4:$S$503,351)),TEXT(INDEX('Aides'!$S$4:$S$503,351),"yyyy-mm-dd"),"")</f>
        <v/>
      </c>
      <c r="F854">
        <f>"Training"</f>
        <v/>
      </c>
      <c r="G854">
        <f>"Medium"</f>
        <v/>
      </c>
      <c r="H854">
        <f>TRIM(IF(LEN(IF(LEN(INDEX('Aides'!$U$4:$U$503,351))=0,"",INDEX('Aides'!$U$4:$U$503,351)))=0,"","Owner: "&amp;IF(LEN(INDEX('Aides'!$U$4:$U$503,351))=0,"",INDEX('Aides'!$U$4:$U$503,351))&amp;". "))</f>
        <v/>
      </c>
      <c r="I854">
        <f>""</f>
        <v/>
      </c>
      <c r="J854">
        <f>IF(LEN(INDEX('Aides'!$V$4:$V$503,351))=0,"",INDEX('Aides'!$V$4:$V$503,351))</f>
        <v/>
      </c>
    </row>
    <row r="855">
      <c r="A855">
        <f>IF(AND(LEN('Aides'!A355)&gt;0,ISNUMBER('Aides'!S355)),1,0)</f>
        <v/>
      </c>
      <c r="B855">
        <f>B854+A855</f>
        <v/>
      </c>
      <c r="C855">
        <f>IF(852&gt;$B$1503,"",MATCH(852-0.5,$B$3:$B$1503,1))</f>
        <v/>
      </c>
      <c r="D855">
        <f>"CPR / First Aid – "&amp;IF(LEN(INDEX('Aides'!$A$4:$A$503,352))=0,"",INDEX('Aides'!$A$4:$A$503,352))</f>
        <v/>
      </c>
      <c r="E855">
        <f>IF(ISNUMBER(INDEX('Aides'!$S$4:$S$503,352)),TEXT(INDEX('Aides'!$S$4:$S$503,352),"yyyy-mm-dd"),"")</f>
        <v/>
      </c>
      <c r="F855">
        <f>"Training"</f>
        <v/>
      </c>
      <c r="G855">
        <f>"Medium"</f>
        <v/>
      </c>
      <c r="H855">
        <f>TRIM(IF(LEN(IF(LEN(INDEX('Aides'!$U$4:$U$503,352))=0,"",INDEX('Aides'!$U$4:$U$503,352)))=0,"","Owner: "&amp;IF(LEN(INDEX('Aides'!$U$4:$U$503,352))=0,"",INDEX('Aides'!$U$4:$U$503,352))&amp;". "))</f>
        <v/>
      </c>
      <c r="I855">
        <f>""</f>
        <v/>
      </c>
      <c r="J855">
        <f>IF(LEN(INDEX('Aides'!$V$4:$V$503,352))=0,"",INDEX('Aides'!$V$4:$V$503,352))</f>
        <v/>
      </c>
    </row>
    <row r="856">
      <c r="A856">
        <f>IF(AND(LEN('Aides'!A356)&gt;0,ISNUMBER('Aides'!S356)),1,0)</f>
        <v/>
      </c>
      <c r="B856">
        <f>B855+A856</f>
        <v/>
      </c>
      <c r="C856">
        <f>IF(853&gt;$B$1503,"",MATCH(853-0.5,$B$3:$B$1503,1))</f>
        <v/>
      </c>
      <c r="D856">
        <f>"CPR / First Aid – "&amp;IF(LEN(INDEX('Aides'!$A$4:$A$503,353))=0,"",INDEX('Aides'!$A$4:$A$503,353))</f>
        <v/>
      </c>
      <c r="E856">
        <f>IF(ISNUMBER(INDEX('Aides'!$S$4:$S$503,353)),TEXT(INDEX('Aides'!$S$4:$S$503,353),"yyyy-mm-dd"),"")</f>
        <v/>
      </c>
      <c r="F856">
        <f>"Training"</f>
        <v/>
      </c>
      <c r="G856">
        <f>"Medium"</f>
        <v/>
      </c>
      <c r="H856">
        <f>TRIM(IF(LEN(IF(LEN(INDEX('Aides'!$U$4:$U$503,353))=0,"",INDEX('Aides'!$U$4:$U$503,353)))=0,"","Owner: "&amp;IF(LEN(INDEX('Aides'!$U$4:$U$503,353))=0,"",INDEX('Aides'!$U$4:$U$503,353))&amp;". "))</f>
        <v/>
      </c>
      <c r="I856">
        <f>""</f>
        <v/>
      </c>
      <c r="J856">
        <f>IF(LEN(INDEX('Aides'!$V$4:$V$503,353))=0,"",INDEX('Aides'!$V$4:$V$503,353))</f>
        <v/>
      </c>
    </row>
    <row r="857">
      <c r="A857">
        <f>IF(AND(LEN('Aides'!A357)&gt;0,ISNUMBER('Aides'!S357)),1,0)</f>
        <v/>
      </c>
      <c r="B857">
        <f>B856+A857</f>
        <v/>
      </c>
      <c r="C857">
        <f>IF(854&gt;$B$1503,"",MATCH(854-0.5,$B$3:$B$1503,1))</f>
        <v/>
      </c>
      <c r="D857">
        <f>"CPR / First Aid – "&amp;IF(LEN(INDEX('Aides'!$A$4:$A$503,354))=0,"",INDEX('Aides'!$A$4:$A$503,354))</f>
        <v/>
      </c>
      <c r="E857">
        <f>IF(ISNUMBER(INDEX('Aides'!$S$4:$S$503,354)),TEXT(INDEX('Aides'!$S$4:$S$503,354),"yyyy-mm-dd"),"")</f>
        <v/>
      </c>
      <c r="F857">
        <f>"Training"</f>
        <v/>
      </c>
      <c r="G857">
        <f>"Medium"</f>
        <v/>
      </c>
      <c r="H857">
        <f>TRIM(IF(LEN(IF(LEN(INDEX('Aides'!$U$4:$U$503,354))=0,"",INDEX('Aides'!$U$4:$U$503,354)))=0,"","Owner: "&amp;IF(LEN(INDEX('Aides'!$U$4:$U$503,354))=0,"",INDEX('Aides'!$U$4:$U$503,354))&amp;". "))</f>
        <v/>
      </c>
      <c r="I857">
        <f>""</f>
        <v/>
      </c>
      <c r="J857">
        <f>IF(LEN(INDEX('Aides'!$V$4:$V$503,354))=0,"",INDEX('Aides'!$V$4:$V$503,354))</f>
        <v/>
      </c>
    </row>
    <row r="858">
      <c r="A858">
        <f>IF(AND(LEN('Aides'!A358)&gt;0,ISNUMBER('Aides'!S358)),1,0)</f>
        <v/>
      </c>
      <c r="B858">
        <f>B857+A858</f>
        <v/>
      </c>
      <c r="C858">
        <f>IF(855&gt;$B$1503,"",MATCH(855-0.5,$B$3:$B$1503,1))</f>
        <v/>
      </c>
      <c r="D858">
        <f>"CPR / First Aid – "&amp;IF(LEN(INDEX('Aides'!$A$4:$A$503,355))=0,"",INDEX('Aides'!$A$4:$A$503,355))</f>
        <v/>
      </c>
      <c r="E858">
        <f>IF(ISNUMBER(INDEX('Aides'!$S$4:$S$503,355)),TEXT(INDEX('Aides'!$S$4:$S$503,355),"yyyy-mm-dd"),"")</f>
        <v/>
      </c>
      <c r="F858">
        <f>"Training"</f>
        <v/>
      </c>
      <c r="G858">
        <f>"Medium"</f>
        <v/>
      </c>
      <c r="H858">
        <f>TRIM(IF(LEN(IF(LEN(INDEX('Aides'!$U$4:$U$503,355))=0,"",INDEX('Aides'!$U$4:$U$503,355)))=0,"","Owner: "&amp;IF(LEN(INDEX('Aides'!$U$4:$U$503,355))=0,"",INDEX('Aides'!$U$4:$U$503,355))&amp;". "))</f>
        <v/>
      </c>
      <c r="I858">
        <f>""</f>
        <v/>
      </c>
      <c r="J858">
        <f>IF(LEN(INDEX('Aides'!$V$4:$V$503,355))=0,"",INDEX('Aides'!$V$4:$V$503,355))</f>
        <v/>
      </c>
    </row>
    <row r="859">
      <c r="A859">
        <f>IF(AND(LEN('Aides'!A359)&gt;0,ISNUMBER('Aides'!S359)),1,0)</f>
        <v/>
      </c>
      <c r="B859">
        <f>B858+A859</f>
        <v/>
      </c>
      <c r="C859">
        <f>IF(856&gt;$B$1503,"",MATCH(856-0.5,$B$3:$B$1503,1))</f>
        <v/>
      </c>
      <c r="D859">
        <f>"CPR / First Aid – "&amp;IF(LEN(INDEX('Aides'!$A$4:$A$503,356))=0,"",INDEX('Aides'!$A$4:$A$503,356))</f>
        <v/>
      </c>
      <c r="E859">
        <f>IF(ISNUMBER(INDEX('Aides'!$S$4:$S$503,356)),TEXT(INDEX('Aides'!$S$4:$S$503,356),"yyyy-mm-dd"),"")</f>
        <v/>
      </c>
      <c r="F859">
        <f>"Training"</f>
        <v/>
      </c>
      <c r="G859">
        <f>"Medium"</f>
        <v/>
      </c>
      <c r="H859">
        <f>TRIM(IF(LEN(IF(LEN(INDEX('Aides'!$U$4:$U$503,356))=0,"",INDEX('Aides'!$U$4:$U$503,356)))=0,"","Owner: "&amp;IF(LEN(INDEX('Aides'!$U$4:$U$503,356))=0,"",INDEX('Aides'!$U$4:$U$503,356))&amp;". "))</f>
        <v/>
      </c>
      <c r="I859">
        <f>""</f>
        <v/>
      </c>
      <c r="J859">
        <f>IF(LEN(INDEX('Aides'!$V$4:$V$503,356))=0,"",INDEX('Aides'!$V$4:$V$503,356))</f>
        <v/>
      </c>
    </row>
    <row r="860">
      <c r="A860">
        <f>IF(AND(LEN('Aides'!A360)&gt;0,ISNUMBER('Aides'!S360)),1,0)</f>
        <v/>
      </c>
      <c r="B860">
        <f>B859+A860</f>
        <v/>
      </c>
      <c r="C860">
        <f>IF(857&gt;$B$1503,"",MATCH(857-0.5,$B$3:$B$1503,1))</f>
        <v/>
      </c>
      <c r="D860">
        <f>"CPR / First Aid – "&amp;IF(LEN(INDEX('Aides'!$A$4:$A$503,357))=0,"",INDEX('Aides'!$A$4:$A$503,357))</f>
        <v/>
      </c>
      <c r="E860">
        <f>IF(ISNUMBER(INDEX('Aides'!$S$4:$S$503,357)),TEXT(INDEX('Aides'!$S$4:$S$503,357),"yyyy-mm-dd"),"")</f>
        <v/>
      </c>
      <c r="F860">
        <f>"Training"</f>
        <v/>
      </c>
      <c r="G860">
        <f>"Medium"</f>
        <v/>
      </c>
      <c r="H860">
        <f>TRIM(IF(LEN(IF(LEN(INDEX('Aides'!$U$4:$U$503,357))=0,"",INDEX('Aides'!$U$4:$U$503,357)))=0,"","Owner: "&amp;IF(LEN(INDEX('Aides'!$U$4:$U$503,357))=0,"",INDEX('Aides'!$U$4:$U$503,357))&amp;". "))</f>
        <v/>
      </c>
      <c r="I860">
        <f>""</f>
        <v/>
      </c>
      <c r="J860">
        <f>IF(LEN(INDEX('Aides'!$V$4:$V$503,357))=0,"",INDEX('Aides'!$V$4:$V$503,357))</f>
        <v/>
      </c>
    </row>
    <row r="861">
      <c r="A861">
        <f>IF(AND(LEN('Aides'!A361)&gt;0,ISNUMBER('Aides'!S361)),1,0)</f>
        <v/>
      </c>
      <c r="B861">
        <f>B860+A861</f>
        <v/>
      </c>
      <c r="C861">
        <f>IF(858&gt;$B$1503,"",MATCH(858-0.5,$B$3:$B$1503,1))</f>
        <v/>
      </c>
      <c r="D861">
        <f>"CPR / First Aid – "&amp;IF(LEN(INDEX('Aides'!$A$4:$A$503,358))=0,"",INDEX('Aides'!$A$4:$A$503,358))</f>
        <v/>
      </c>
      <c r="E861">
        <f>IF(ISNUMBER(INDEX('Aides'!$S$4:$S$503,358)),TEXT(INDEX('Aides'!$S$4:$S$503,358),"yyyy-mm-dd"),"")</f>
        <v/>
      </c>
      <c r="F861">
        <f>"Training"</f>
        <v/>
      </c>
      <c r="G861">
        <f>"Medium"</f>
        <v/>
      </c>
      <c r="H861">
        <f>TRIM(IF(LEN(IF(LEN(INDEX('Aides'!$U$4:$U$503,358))=0,"",INDEX('Aides'!$U$4:$U$503,358)))=0,"","Owner: "&amp;IF(LEN(INDEX('Aides'!$U$4:$U$503,358))=0,"",INDEX('Aides'!$U$4:$U$503,358))&amp;". "))</f>
        <v/>
      </c>
      <c r="I861">
        <f>""</f>
        <v/>
      </c>
      <c r="J861">
        <f>IF(LEN(INDEX('Aides'!$V$4:$V$503,358))=0,"",INDEX('Aides'!$V$4:$V$503,358))</f>
        <v/>
      </c>
    </row>
    <row r="862">
      <c r="A862">
        <f>IF(AND(LEN('Aides'!A362)&gt;0,ISNUMBER('Aides'!S362)),1,0)</f>
        <v/>
      </c>
      <c r="B862">
        <f>B861+A862</f>
        <v/>
      </c>
      <c r="C862">
        <f>IF(859&gt;$B$1503,"",MATCH(859-0.5,$B$3:$B$1503,1))</f>
        <v/>
      </c>
      <c r="D862">
        <f>"CPR / First Aid – "&amp;IF(LEN(INDEX('Aides'!$A$4:$A$503,359))=0,"",INDEX('Aides'!$A$4:$A$503,359))</f>
        <v/>
      </c>
      <c r="E862">
        <f>IF(ISNUMBER(INDEX('Aides'!$S$4:$S$503,359)),TEXT(INDEX('Aides'!$S$4:$S$503,359),"yyyy-mm-dd"),"")</f>
        <v/>
      </c>
      <c r="F862">
        <f>"Training"</f>
        <v/>
      </c>
      <c r="G862">
        <f>"Medium"</f>
        <v/>
      </c>
      <c r="H862">
        <f>TRIM(IF(LEN(IF(LEN(INDEX('Aides'!$U$4:$U$503,359))=0,"",INDEX('Aides'!$U$4:$U$503,359)))=0,"","Owner: "&amp;IF(LEN(INDEX('Aides'!$U$4:$U$503,359))=0,"",INDEX('Aides'!$U$4:$U$503,359))&amp;". "))</f>
        <v/>
      </c>
      <c r="I862">
        <f>""</f>
        <v/>
      </c>
      <c r="J862">
        <f>IF(LEN(INDEX('Aides'!$V$4:$V$503,359))=0,"",INDEX('Aides'!$V$4:$V$503,359))</f>
        <v/>
      </c>
    </row>
    <row r="863">
      <c r="A863">
        <f>IF(AND(LEN('Aides'!A363)&gt;0,ISNUMBER('Aides'!S363)),1,0)</f>
        <v/>
      </c>
      <c r="B863">
        <f>B862+A863</f>
        <v/>
      </c>
      <c r="C863">
        <f>IF(860&gt;$B$1503,"",MATCH(860-0.5,$B$3:$B$1503,1))</f>
        <v/>
      </c>
      <c r="D863">
        <f>"CPR / First Aid – "&amp;IF(LEN(INDEX('Aides'!$A$4:$A$503,360))=0,"",INDEX('Aides'!$A$4:$A$503,360))</f>
        <v/>
      </c>
      <c r="E863">
        <f>IF(ISNUMBER(INDEX('Aides'!$S$4:$S$503,360)),TEXT(INDEX('Aides'!$S$4:$S$503,360),"yyyy-mm-dd"),"")</f>
        <v/>
      </c>
      <c r="F863">
        <f>"Training"</f>
        <v/>
      </c>
      <c r="G863">
        <f>"Medium"</f>
        <v/>
      </c>
      <c r="H863">
        <f>TRIM(IF(LEN(IF(LEN(INDEX('Aides'!$U$4:$U$503,360))=0,"",INDEX('Aides'!$U$4:$U$503,360)))=0,"","Owner: "&amp;IF(LEN(INDEX('Aides'!$U$4:$U$503,360))=0,"",INDEX('Aides'!$U$4:$U$503,360))&amp;". "))</f>
        <v/>
      </c>
      <c r="I863">
        <f>""</f>
        <v/>
      </c>
      <c r="J863">
        <f>IF(LEN(INDEX('Aides'!$V$4:$V$503,360))=0,"",INDEX('Aides'!$V$4:$V$503,360))</f>
        <v/>
      </c>
    </row>
    <row r="864">
      <c r="A864">
        <f>IF(AND(LEN('Aides'!A364)&gt;0,ISNUMBER('Aides'!S364)),1,0)</f>
        <v/>
      </c>
      <c r="B864">
        <f>B863+A864</f>
        <v/>
      </c>
      <c r="C864">
        <f>IF(861&gt;$B$1503,"",MATCH(861-0.5,$B$3:$B$1503,1))</f>
        <v/>
      </c>
      <c r="D864">
        <f>"CPR / First Aid – "&amp;IF(LEN(INDEX('Aides'!$A$4:$A$503,361))=0,"",INDEX('Aides'!$A$4:$A$503,361))</f>
        <v/>
      </c>
      <c r="E864">
        <f>IF(ISNUMBER(INDEX('Aides'!$S$4:$S$503,361)),TEXT(INDEX('Aides'!$S$4:$S$503,361),"yyyy-mm-dd"),"")</f>
        <v/>
      </c>
      <c r="F864">
        <f>"Training"</f>
        <v/>
      </c>
      <c r="G864">
        <f>"Medium"</f>
        <v/>
      </c>
      <c r="H864">
        <f>TRIM(IF(LEN(IF(LEN(INDEX('Aides'!$U$4:$U$503,361))=0,"",INDEX('Aides'!$U$4:$U$503,361)))=0,"","Owner: "&amp;IF(LEN(INDEX('Aides'!$U$4:$U$503,361))=0,"",INDEX('Aides'!$U$4:$U$503,361))&amp;". "))</f>
        <v/>
      </c>
      <c r="I864">
        <f>""</f>
        <v/>
      </c>
      <c r="J864">
        <f>IF(LEN(INDEX('Aides'!$V$4:$V$503,361))=0,"",INDEX('Aides'!$V$4:$V$503,361))</f>
        <v/>
      </c>
    </row>
    <row r="865">
      <c r="A865">
        <f>IF(AND(LEN('Aides'!A365)&gt;0,ISNUMBER('Aides'!S365)),1,0)</f>
        <v/>
      </c>
      <c r="B865">
        <f>B864+A865</f>
        <v/>
      </c>
      <c r="C865">
        <f>IF(862&gt;$B$1503,"",MATCH(862-0.5,$B$3:$B$1503,1))</f>
        <v/>
      </c>
      <c r="D865">
        <f>"CPR / First Aid – "&amp;IF(LEN(INDEX('Aides'!$A$4:$A$503,362))=0,"",INDEX('Aides'!$A$4:$A$503,362))</f>
        <v/>
      </c>
      <c r="E865">
        <f>IF(ISNUMBER(INDEX('Aides'!$S$4:$S$503,362)),TEXT(INDEX('Aides'!$S$4:$S$503,362),"yyyy-mm-dd"),"")</f>
        <v/>
      </c>
      <c r="F865">
        <f>"Training"</f>
        <v/>
      </c>
      <c r="G865">
        <f>"Medium"</f>
        <v/>
      </c>
      <c r="H865">
        <f>TRIM(IF(LEN(IF(LEN(INDEX('Aides'!$U$4:$U$503,362))=0,"",INDEX('Aides'!$U$4:$U$503,362)))=0,"","Owner: "&amp;IF(LEN(INDEX('Aides'!$U$4:$U$503,362))=0,"",INDEX('Aides'!$U$4:$U$503,362))&amp;". "))</f>
        <v/>
      </c>
      <c r="I865">
        <f>""</f>
        <v/>
      </c>
      <c r="J865">
        <f>IF(LEN(INDEX('Aides'!$V$4:$V$503,362))=0,"",INDEX('Aides'!$V$4:$V$503,362))</f>
        <v/>
      </c>
    </row>
    <row r="866">
      <c r="A866">
        <f>IF(AND(LEN('Aides'!A366)&gt;0,ISNUMBER('Aides'!S366)),1,0)</f>
        <v/>
      </c>
      <c r="B866">
        <f>B865+A866</f>
        <v/>
      </c>
      <c r="C866">
        <f>IF(863&gt;$B$1503,"",MATCH(863-0.5,$B$3:$B$1503,1))</f>
        <v/>
      </c>
      <c r="D866">
        <f>"CPR / First Aid – "&amp;IF(LEN(INDEX('Aides'!$A$4:$A$503,363))=0,"",INDEX('Aides'!$A$4:$A$503,363))</f>
        <v/>
      </c>
      <c r="E866">
        <f>IF(ISNUMBER(INDEX('Aides'!$S$4:$S$503,363)),TEXT(INDEX('Aides'!$S$4:$S$503,363),"yyyy-mm-dd"),"")</f>
        <v/>
      </c>
      <c r="F866">
        <f>"Training"</f>
        <v/>
      </c>
      <c r="G866">
        <f>"Medium"</f>
        <v/>
      </c>
      <c r="H866">
        <f>TRIM(IF(LEN(IF(LEN(INDEX('Aides'!$U$4:$U$503,363))=0,"",INDEX('Aides'!$U$4:$U$503,363)))=0,"","Owner: "&amp;IF(LEN(INDEX('Aides'!$U$4:$U$503,363))=0,"",INDEX('Aides'!$U$4:$U$503,363))&amp;". "))</f>
        <v/>
      </c>
      <c r="I866">
        <f>""</f>
        <v/>
      </c>
      <c r="J866">
        <f>IF(LEN(INDEX('Aides'!$V$4:$V$503,363))=0,"",INDEX('Aides'!$V$4:$V$503,363))</f>
        <v/>
      </c>
    </row>
    <row r="867">
      <c r="A867">
        <f>IF(AND(LEN('Aides'!A367)&gt;0,ISNUMBER('Aides'!S367)),1,0)</f>
        <v/>
      </c>
      <c r="B867">
        <f>B866+A867</f>
        <v/>
      </c>
      <c r="C867">
        <f>IF(864&gt;$B$1503,"",MATCH(864-0.5,$B$3:$B$1503,1))</f>
        <v/>
      </c>
      <c r="D867">
        <f>"CPR / First Aid – "&amp;IF(LEN(INDEX('Aides'!$A$4:$A$503,364))=0,"",INDEX('Aides'!$A$4:$A$503,364))</f>
        <v/>
      </c>
      <c r="E867">
        <f>IF(ISNUMBER(INDEX('Aides'!$S$4:$S$503,364)),TEXT(INDEX('Aides'!$S$4:$S$503,364),"yyyy-mm-dd"),"")</f>
        <v/>
      </c>
      <c r="F867">
        <f>"Training"</f>
        <v/>
      </c>
      <c r="G867">
        <f>"Medium"</f>
        <v/>
      </c>
      <c r="H867">
        <f>TRIM(IF(LEN(IF(LEN(INDEX('Aides'!$U$4:$U$503,364))=0,"",INDEX('Aides'!$U$4:$U$503,364)))=0,"","Owner: "&amp;IF(LEN(INDEX('Aides'!$U$4:$U$503,364))=0,"",INDEX('Aides'!$U$4:$U$503,364))&amp;". "))</f>
        <v/>
      </c>
      <c r="I867">
        <f>""</f>
        <v/>
      </c>
      <c r="J867">
        <f>IF(LEN(INDEX('Aides'!$V$4:$V$503,364))=0,"",INDEX('Aides'!$V$4:$V$503,364))</f>
        <v/>
      </c>
    </row>
    <row r="868">
      <c r="A868">
        <f>IF(AND(LEN('Aides'!A368)&gt;0,ISNUMBER('Aides'!S368)),1,0)</f>
        <v/>
      </c>
      <c r="B868">
        <f>B867+A868</f>
        <v/>
      </c>
      <c r="C868">
        <f>IF(865&gt;$B$1503,"",MATCH(865-0.5,$B$3:$B$1503,1))</f>
        <v/>
      </c>
      <c r="D868">
        <f>"CPR / First Aid – "&amp;IF(LEN(INDEX('Aides'!$A$4:$A$503,365))=0,"",INDEX('Aides'!$A$4:$A$503,365))</f>
        <v/>
      </c>
      <c r="E868">
        <f>IF(ISNUMBER(INDEX('Aides'!$S$4:$S$503,365)),TEXT(INDEX('Aides'!$S$4:$S$503,365),"yyyy-mm-dd"),"")</f>
        <v/>
      </c>
      <c r="F868">
        <f>"Training"</f>
        <v/>
      </c>
      <c r="G868">
        <f>"Medium"</f>
        <v/>
      </c>
      <c r="H868">
        <f>TRIM(IF(LEN(IF(LEN(INDEX('Aides'!$U$4:$U$503,365))=0,"",INDEX('Aides'!$U$4:$U$503,365)))=0,"","Owner: "&amp;IF(LEN(INDEX('Aides'!$U$4:$U$503,365))=0,"",INDEX('Aides'!$U$4:$U$503,365))&amp;". "))</f>
        <v/>
      </c>
      <c r="I868">
        <f>""</f>
        <v/>
      </c>
      <c r="J868">
        <f>IF(LEN(INDEX('Aides'!$V$4:$V$503,365))=0,"",INDEX('Aides'!$V$4:$V$503,365))</f>
        <v/>
      </c>
    </row>
    <row r="869">
      <c r="A869">
        <f>IF(AND(LEN('Aides'!A369)&gt;0,ISNUMBER('Aides'!S369)),1,0)</f>
        <v/>
      </c>
      <c r="B869">
        <f>B868+A869</f>
        <v/>
      </c>
      <c r="C869">
        <f>IF(866&gt;$B$1503,"",MATCH(866-0.5,$B$3:$B$1503,1))</f>
        <v/>
      </c>
      <c r="D869">
        <f>"CPR / First Aid – "&amp;IF(LEN(INDEX('Aides'!$A$4:$A$503,366))=0,"",INDEX('Aides'!$A$4:$A$503,366))</f>
        <v/>
      </c>
      <c r="E869">
        <f>IF(ISNUMBER(INDEX('Aides'!$S$4:$S$503,366)),TEXT(INDEX('Aides'!$S$4:$S$503,366),"yyyy-mm-dd"),"")</f>
        <v/>
      </c>
      <c r="F869">
        <f>"Training"</f>
        <v/>
      </c>
      <c r="G869">
        <f>"Medium"</f>
        <v/>
      </c>
      <c r="H869">
        <f>TRIM(IF(LEN(IF(LEN(INDEX('Aides'!$U$4:$U$503,366))=0,"",INDEX('Aides'!$U$4:$U$503,366)))=0,"","Owner: "&amp;IF(LEN(INDEX('Aides'!$U$4:$U$503,366))=0,"",INDEX('Aides'!$U$4:$U$503,366))&amp;". "))</f>
        <v/>
      </c>
      <c r="I869">
        <f>""</f>
        <v/>
      </c>
      <c r="J869">
        <f>IF(LEN(INDEX('Aides'!$V$4:$V$503,366))=0,"",INDEX('Aides'!$V$4:$V$503,366))</f>
        <v/>
      </c>
    </row>
    <row r="870">
      <c r="A870">
        <f>IF(AND(LEN('Aides'!A370)&gt;0,ISNUMBER('Aides'!S370)),1,0)</f>
        <v/>
      </c>
      <c r="B870">
        <f>B869+A870</f>
        <v/>
      </c>
      <c r="C870">
        <f>IF(867&gt;$B$1503,"",MATCH(867-0.5,$B$3:$B$1503,1))</f>
        <v/>
      </c>
      <c r="D870">
        <f>"CPR / First Aid – "&amp;IF(LEN(INDEX('Aides'!$A$4:$A$503,367))=0,"",INDEX('Aides'!$A$4:$A$503,367))</f>
        <v/>
      </c>
      <c r="E870">
        <f>IF(ISNUMBER(INDEX('Aides'!$S$4:$S$503,367)),TEXT(INDEX('Aides'!$S$4:$S$503,367),"yyyy-mm-dd"),"")</f>
        <v/>
      </c>
      <c r="F870">
        <f>"Training"</f>
        <v/>
      </c>
      <c r="G870">
        <f>"Medium"</f>
        <v/>
      </c>
      <c r="H870">
        <f>TRIM(IF(LEN(IF(LEN(INDEX('Aides'!$U$4:$U$503,367))=0,"",INDEX('Aides'!$U$4:$U$503,367)))=0,"","Owner: "&amp;IF(LEN(INDEX('Aides'!$U$4:$U$503,367))=0,"",INDEX('Aides'!$U$4:$U$503,367))&amp;". "))</f>
        <v/>
      </c>
      <c r="I870">
        <f>""</f>
        <v/>
      </c>
      <c r="J870">
        <f>IF(LEN(INDEX('Aides'!$V$4:$V$503,367))=0,"",INDEX('Aides'!$V$4:$V$503,367))</f>
        <v/>
      </c>
    </row>
    <row r="871">
      <c r="A871">
        <f>IF(AND(LEN('Aides'!A371)&gt;0,ISNUMBER('Aides'!S371)),1,0)</f>
        <v/>
      </c>
      <c r="B871">
        <f>B870+A871</f>
        <v/>
      </c>
      <c r="C871">
        <f>IF(868&gt;$B$1503,"",MATCH(868-0.5,$B$3:$B$1503,1))</f>
        <v/>
      </c>
      <c r="D871">
        <f>"CPR / First Aid – "&amp;IF(LEN(INDEX('Aides'!$A$4:$A$503,368))=0,"",INDEX('Aides'!$A$4:$A$503,368))</f>
        <v/>
      </c>
      <c r="E871">
        <f>IF(ISNUMBER(INDEX('Aides'!$S$4:$S$503,368)),TEXT(INDEX('Aides'!$S$4:$S$503,368),"yyyy-mm-dd"),"")</f>
        <v/>
      </c>
      <c r="F871">
        <f>"Training"</f>
        <v/>
      </c>
      <c r="G871">
        <f>"Medium"</f>
        <v/>
      </c>
      <c r="H871">
        <f>TRIM(IF(LEN(IF(LEN(INDEX('Aides'!$U$4:$U$503,368))=0,"",INDEX('Aides'!$U$4:$U$503,368)))=0,"","Owner: "&amp;IF(LEN(INDEX('Aides'!$U$4:$U$503,368))=0,"",INDEX('Aides'!$U$4:$U$503,368))&amp;". "))</f>
        <v/>
      </c>
      <c r="I871">
        <f>""</f>
        <v/>
      </c>
      <c r="J871">
        <f>IF(LEN(INDEX('Aides'!$V$4:$V$503,368))=0,"",INDEX('Aides'!$V$4:$V$503,368))</f>
        <v/>
      </c>
    </row>
    <row r="872">
      <c r="A872">
        <f>IF(AND(LEN('Aides'!A372)&gt;0,ISNUMBER('Aides'!S372)),1,0)</f>
        <v/>
      </c>
      <c r="B872">
        <f>B871+A872</f>
        <v/>
      </c>
      <c r="C872">
        <f>IF(869&gt;$B$1503,"",MATCH(869-0.5,$B$3:$B$1503,1))</f>
        <v/>
      </c>
      <c r="D872">
        <f>"CPR / First Aid – "&amp;IF(LEN(INDEX('Aides'!$A$4:$A$503,369))=0,"",INDEX('Aides'!$A$4:$A$503,369))</f>
        <v/>
      </c>
      <c r="E872">
        <f>IF(ISNUMBER(INDEX('Aides'!$S$4:$S$503,369)),TEXT(INDEX('Aides'!$S$4:$S$503,369),"yyyy-mm-dd"),"")</f>
        <v/>
      </c>
      <c r="F872">
        <f>"Training"</f>
        <v/>
      </c>
      <c r="G872">
        <f>"Medium"</f>
        <v/>
      </c>
      <c r="H872">
        <f>TRIM(IF(LEN(IF(LEN(INDEX('Aides'!$U$4:$U$503,369))=0,"",INDEX('Aides'!$U$4:$U$503,369)))=0,"","Owner: "&amp;IF(LEN(INDEX('Aides'!$U$4:$U$503,369))=0,"",INDEX('Aides'!$U$4:$U$503,369))&amp;". "))</f>
        <v/>
      </c>
      <c r="I872">
        <f>""</f>
        <v/>
      </c>
      <c r="J872">
        <f>IF(LEN(INDEX('Aides'!$V$4:$V$503,369))=0,"",INDEX('Aides'!$V$4:$V$503,369))</f>
        <v/>
      </c>
    </row>
    <row r="873">
      <c r="A873">
        <f>IF(AND(LEN('Aides'!A373)&gt;0,ISNUMBER('Aides'!S373)),1,0)</f>
        <v/>
      </c>
      <c r="B873">
        <f>B872+A873</f>
        <v/>
      </c>
      <c r="C873">
        <f>IF(870&gt;$B$1503,"",MATCH(870-0.5,$B$3:$B$1503,1))</f>
        <v/>
      </c>
      <c r="D873">
        <f>"CPR / First Aid – "&amp;IF(LEN(INDEX('Aides'!$A$4:$A$503,370))=0,"",INDEX('Aides'!$A$4:$A$503,370))</f>
        <v/>
      </c>
      <c r="E873">
        <f>IF(ISNUMBER(INDEX('Aides'!$S$4:$S$503,370)),TEXT(INDEX('Aides'!$S$4:$S$503,370),"yyyy-mm-dd"),"")</f>
        <v/>
      </c>
      <c r="F873">
        <f>"Training"</f>
        <v/>
      </c>
      <c r="G873">
        <f>"Medium"</f>
        <v/>
      </c>
      <c r="H873">
        <f>TRIM(IF(LEN(IF(LEN(INDEX('Aides'!$U$4:$U$503,370))=0,"",INDEX('Aides'!$U$4:$U$503,370)))=0,"","Owner: "&amp;IF(LEN(INDEX('Aides'!$U$4:$U$503,370))=0,"",INDEX('Aides'!$U$4:$U$503,370))&amp;". "))</f>
        <v/>
      </c>
      <c r="I873">
        <f>""</f>
        <v/>
      </c>
      <c r="J873">
        <f>IF(LEN(INDEX('Aides'!$V$4:$V$503,370))=0,"",INDEX('Aides'!$V$4:$V$503,370))</f>
        <v/>
      </c>
    </row>
    <row r="874">
      <c r="A874">
        <f>IF(AND(LEN('Aides'!A374)&gt;0,ISNUMBER('Aides'!S374)),1,0)</f>
        <v/>
      </c>
      <c r="B874">
        <f>B873+A874</f>
        <v/>
      </c>
      <c r="C874">
        <f>IF(871&gt;$B$1503,"",MATCH(871-0.5,$B$3:$B$1503,1))</f>
        <v/>
      </c>
      <c r="D874">
        <f>"CPR / First Aid – "&amp;IF(LEN(INDEX('Aides'!$A$4:$A$503,371))=0,"",INDEX('Aides'!$A$4:$A$503,371))</f>
        <v/>
      </c>
      <c r="E874">
        <f>IF(ISNUMBER(INDEX('Aides'!$S$4:$S$503,371)),TEXT(INDEX('Aides'!$S$4:$S$503,371),"yyyy-mm-dd"),"")</f>
        <v/>
      </c>
      <c r="F874">
        <f>"Training"</f>
        <v/>
      </c>
      <c r="G874">
        <f>"Medium"</f>
        <v/>
      </c>
      <c r="H874">
        <f>TRIM(IF(LEN(IF(LEN(INDEX('Aides'!$U$4:$U$503,371))=0,"",INDEX('Aides'!$U$4:$U$503,371)))=0,"","Owner: "&amp;IF(LEN(INDEX('Aides'!$U$4:$U$503,371))=0,"",INDEX('Aides'!$U$4:$U$503,371))&amp;". "))</f>
        <v/>
      </c>
      <c r="I874">
        <f>""</f>
        <v/>
      </c>
      <c r="J874">
        <f>IF(LEN(INDEX('Aides'!$V$4:$V$503,371))=0,"",INDEX('Aides'!$V$4:$V$503,371))</f>
        <v/>
      </c>
    </row>
    <row r="875">
      <c r="A875">
        <f>IF(AND(LEN('Aides'!A375)&gt;0,ISNUMBER('Aides'!S375)),1,0)</f>
        <v/>
      </c>
      <c r="B875">
        <f>B874+A875</f>
        <v/>
      </c>
      <c r="C875">
        <f>IF(872&gt;$B$1503,"",MATCH(872-0.5,$B$3:$B$1503,1))</f>
        <v/>
      </c>
      <c r="D875">
        <f>"CPR / First Aid – "&amp;IF(LEN(INDEX('Aides'!$A$4:$A$503,372))=0,"",INDEX('Aides'!$A$4:$A$503,372))</f>
        <v/>
      </c>
      <c r="E875">
        <f>IF(ISNUMBER(INDEX('Aides'!$S$4:$S$503,372)),TEXT(INDEX('Aides'!$S$4:$S$503,372),"yyyy-mm-dd"),"")</f>
        <v/>
      </c>
      <c r="F875">
        <f>"Training"</f>
        <v/>
      </c>
      <c r="G875">
        <f>"Medium"</f>
        <v/>
      </c>
      <c r="H875">
        <f>TRIM(IF(LEN(IF(LEN(INDEX('Aides'!$U$4:$U$503,372))=0,"",INDEX('Aides'!$U$4:$U$503,372)))=0,"","Owner: "&amp;IF(LEN(INDEX('Aides'!$U$4:$U$503,372))=0,"",INDEX('Aides'!$U$4:$U$503,372))&amp;". "))</f>
        <v/>
      </c>
      <c r="I875">
        <f>""</f>
        <v/>
      </c>
      <c r="J875">
        <f>IF(LEN(INDEX('Aides'!$V$4:$V$503,372))=0,"",INDEX('Aides'!$V$4:$V$503,372))</f>
        <v/>
      </c>
    </row>
    <row r="876">
      <c r="A876">
        <f>IF(AND(LEN('Aides'!A376)&gt;0,ISNUMBER('Aides'!S376)),1,0)</f>
        <v/>
      </c>
      <c r="B876">
        <f>B875+A876</f>
        <v/>
      </c>
      <c r="C876">
        <f>IF(873&gt;$B$1503,"",MATCH(873-0.5,$B$3:$B$1503,1))</f>
        <v/>
      </c>
      <c r="D876">
        <f>"CPR / First Aid – "&amp;IF(LEN(INDEX('Aides'!$A$4:$A$503,373))=0,"",INDEX('Aides'!$A$4:$A$503,373))</f>
        <v/>
      </c>
      <c r="E876">
        <f>IF(ISNUMBER(INDEX('Aides'!$S$4:$S$503,373)),TEXT(INDEX('Aides'!$S$4:$S$503,373),"yyyy-mm-dd"),"")</f>
        <v/>
      </c>
      <c r="F876">
        <f>"Training"</f>
        <v/>
      </c>
      <c r="G876">
        <f>"Medium"</f>
        <v/>
      </c>
      <c r="H876">
        <f>TRIM(IF(LEN(IF(LEN(INDEX('Aides'!$U$4:$U$503,373))=0,"",INDEX('Aides'!$U$4:$U$503,373)))=0,"","Owner: "&amp;IF(LEN(INDEX('Aides'!$U$4:$U$503,373))=0,"",INDEX('Aides'!$U$4:$U$503,373))&amp;". "))</f>
        <v/>
      </c>
      <c r="I876">
        <f>""</f>
        <v/>
      </c>
      <c r="J876">
        <f>IF(LEN(INDEX('Aides'!$V$4:$V$503,373))=0,"",INDEX('Aides'!$V$4:$V$503,373))</f>
        <v/>
      </c>
    </row>
    <row r="877">
      <c r="A877">
        <f>IF(AND(LEN('Aides'!A377)&gt;0,ISNUMBER('Aides'!S377)),1,0)</f>
        <v/>
      </c>
      <c r="B877">
        <f>B876+A877</f>
        <v/>
      </c>
      <c r="C877">
        <f>IF(874&gt;$B$1503,"",MATCH(874-0.5,$B$3:$B$1503,1))</f>
        <v/>
      </c>
      <c r="D877">
        <f>"CPR / First Aid – "&amp;IF(LEN(INDEX('Aides'!$A$4:$A$503,374))=0,"",INDEX('Aides'!$A$4:$A$503,374))</f>
        <v/>
      </c>
      <c r="E877">
        <f>IF(ISNUMBER(INDEX('Aides'!$S$4:$S$503,374)),TEXT(INDEX('Aides'!$S$4:$S$503,374),"yyyy-mm-dd"),"")</f>
        <v/>
      </c>
      <c r="F877">
        <f>"Training"</f>
        <v/>
      </c>
      <c r="G877">
        <f>"Medium"</f>
        <v/>
      </c>
      <c r="H877">
        <f>TRIM(IF(LEN(IF(LEN(INDEX('Aides'!$U$4:$U$503,374))=0,"",INDEX('Aides'!$U$4:$U$503,374)))=0,"","Owner: "&amp;IF(LEN(INDEX('Aides'!$U$4:$U$503,374))=0,"",INDEX('Aides'!$U$4:$U$503,374))&amp;". "))</f>
        <v/>
      </c>
      <c r="I877">
        <f>""</f>
        <v/>
      </c>
      <c r="J877">
        <f>IF(LEN(INDEX('Aides'!$V$4:$V$503,374))=0,"",INDEX('Aides'!$V$4:$V$503,374))</f>
        <v/>
      </c>
    </row>
    <row r="878">
      <c r="A878">
        <f>IF(AND(LEN('Aides'!A378)&gt;0,ISNUMBER('Aides'!S378)),1,0)</f>
        <v/>
      </c>
      <c r="B878">
        <f>B877+A878</f>
        <v/>
      </c>
      <c r="C878">
        <f>IF(875&gt;$B$1503,"",MATCH(875-0.5,$B$3:$B$1503,1))</f>
        <v/>
      </c>
      <c r="D878">
        <f>"CPR / First Aid – "&amp;IF(LEN(INDEX('Aides'!$A$4:$A$503,375))=0,"",INDEX('Aides'!$A$4:$A$503,375))</f>
        <v/>
      </c>
      <c r="E878">
        <f>IF(ISNUMBER(INDEX('Aides'!$S$4:$S$503,375)),TEXT(INDEX('Aides'!$S$4:$S$503,375),"yyyy-mm-dd"),"")</f>
        <v/>
      </c>
      <c r="F878">
        <f>"Training"</f>
        <v/>
      </c>
      <c r="G878">
        <f>"Medium"</f>
        <v/>
      </c>
      <c r="H878">
        <f>TRIM(IF(LEN(IF(LEN(INDEX('Aides'!$U$4:$U$503,375))=0,"",INDEX('Aides'!$U$4:$U$503,375)))=0,"","Owner: "&amp;IF(LEN(INDEX('Aides'!$U$4:$U$503,375))=0,"",INDEX('Aides'!$U$4:$U$503,375))&amp;". "))</f>
        <v/>
      </c>
      <c r="I878">
        <f>""</f>
        <v/>
      </c>
      <c r="J878">
        <f>IF(LEN(INDEX('Aides'!$V$4:$V$503,375))=0,"",INDEX('Aides'!$V$4:$V$503,375))</f>
        <v/>
      </c>
    </row>
    <row r="879">
      <c r="A879">
        <f>IF(AND(LEN('Aides'!A379)&gt;0,ISNUMBER('Aides'!S379)),1,0)</f>
        <v/>
      </c>
      <c r="B879">
        <f>B878+A879</f>
        <v/>
      </c>
      <c r="C879">
        <f>IF(876&gt;$B$1503,"",MATCH(876-0.5,$B$3:$B$1503,1))</f>
        <v/>
      </c>
      <c r="D879">
        <f>"CPR / First Aid – "&amp;IF(LEN(INDEX('Aides'!$A$4:$A$503,376))=0,"",INDEX('Aides'!$A$4:$A$503,376))</f>
        <v/>
      </c>
      <c r="E879">
        <f>IF(ISNUMBER(INDEX('Aides'!$S$4:$S$503,376)),TEXT(INDEX('Aides'!$S$4:$S$503,376),"yyyy-mm-dd"),"")</f>
        <v/>
      </c>
      <c r="F879">
        <f>"Training"</f>
        <v/>
      </c>
      <c r="G879">
        <f>"Medium"</f>
        <v/>
      </c>
      <c r="H879">
        <f>TRIM(IF(LEN(IF(LEN(INDEX('Aides'!$U$4:$U$503,376))=0,"",INDEX('Aides'!$U$4:$U$503,376)))=0,"","Owner: "&amp;IF(LEN(INDEX('Aides'!$U$4:$U$503,376))=0,"",INDEX('Aides'!$U$4:$U$503,376))&amp;". "))</f>
        <v/>
      </c>
      <c r="I879">
        <f>""</f>
        <v/>
      </c>
      <c r="J879">
        <f>IF(LEN(INDEX('Aides'!$V$4:$V$503,376))=0,"",INDEX('Aides'!$V$4:$V$503,376))</f>
        <v/>
      </c>
    </row>
    <row r="880">
      <c r="A880">
        <f>IF(AND(LEN('Aides'!A380)&gt;0,ISNUMBER('Aides'!S380)),1,0)</f>
        <v/>
      </c>
      <c r="B880">
        <f>B879+A880</f>
        <v/>
      </c>
      <c r="C880">
        <f>IF(877&gt;$B$1503,"",MATCH(877-0.5,$B$3:$B$1503,1))</f>
        <v/>
      </c>
      <c r="D880">
        <f>"CPR / First Aid – "&amp;IF(LEN(INDEX('Aides'!$A$4:$A$503,377))=0,"",INDEX('Aides'!$A$4:$A$503,377))</f>
        <v/>
      </c>
      <c r="E880">
        <f>IF(ISNUMBER(INDEX('Aides'!$S$4:$S$503,377)),TEXT(INDEX('Aides'!$S$4:$S$503,377),"yyyy-mm-dd"),"")</f>
        <v/>
      </c>
      <c r="F880">
        <f>"Training"</f>
        <v/>
      </c>
      <c r="G880">
        <f>"Medium"</f>
        <v/>
      </c>
      <c r="H880">
        <f>TRIM(IF(LEN(IF(LEN(INDEX('Aides'!$U$4:$U$503,377))=0,"",INDEX('Aides'!$U$4:$U$503,377)))=0,"","Owner: "&amp;IF(LEN(INDEX('Aides'!$U$4:$U$503,377))=0,"",INDEX('Aides'!$U$4:$U$503,377))&amp;". "))</f>
        <v/>
      </c>
      <c r="I880">
        <f>""</f>
        <v/>
      </c>
      <c r="J880">
        <f>IF(LEN(INDEX('Aides'!$V$4:$V$503,377))=0,"",INDEX('Aides'!$V$4:$V$503,377))</f>
        <v/>
      </c>
    </row>
    <row r="881">
      <c r="A881">
        <f>IF(AND(LEN('Aides'!A381)&gt;0,ISNUMBER('Aides'!S381)),1,0)</f>
        <v/>
      </c>
      <c r="B881">
        <f>B880+A881</f>
        <v/>
      </c>
      <c r="C881">
        <f>IF(878&gt;$B$1503,"",MATCH(878-0.5,$B$3:$B$1503,1))</f>
        <v/>
      </c>
      <c r="D881">
        <f>"CPR / First Aid – "&amp;IF(LEN(INDEX('Aides'!$A$4:$A$503,378))=0,"",INDEX('Aides'!$A$4:$A$503,378))</f>
        <v/>
      </c>
      <c r="E881">
        <f>IF(ISNUMBER(INDEX('Aides'!$S$4:$S$503,378)),TEXT(INDEX('Aides'!$S$4:$S$503,378),"yyyy-mm-dd"),"")</f>
        <v/>
      </c>
      <c r="F881">
        <f>"Training"</f>
        <v/>
      </c>
      <c r="G881">
        <f>"Medium"</f>
        <v/>
      </c>
      <c r="H881">
        <f>TRIM(IF(LEN(IF(LEN(INDEX('Aides'!$U$4:$U$503,378))=0,"",INDEX('Aides'!$U$4:$U$503,378)))=0,"","Owner: "&amp;IF(LEN(INDEX('Aides'!$U$4:$U$503,378))=0,"",INDEX('Aides'!$U$4:$U$503,378))&amp;". "))</f>
        <v/>
      </c>
      <c r="I881">
        <f>""</f>
        <v/>
      </c>
      <c r="J881">
        <f>IF(LEN(INDEX('Aides'!$V$4:$V$503,378))=0,"",INDEX('Aides'!$V$4:$V$503,378))</f>
        <v/>
      </c>
    </row>
    <row r="882">
      <c r="A882">
        <f>IF(AND(LEN('Aides'!A382)&gt;0,ISNUMBER('Aides'!S382)),1,0)</f>
        <v/>
      </c>
      <c r="B882">
        <f>B881+A882</f>
        <v/>
      </c>
      <c r="C882">
        <f>IF(879&gt;$B$1503,"",MATCH(879-0.5,$B$3:$B$1503,1))</f>
        <v/>
      </c>
      <c r="D882">
        <f>"CPR / First Aid – "&amp;IF(LEN(INDEX('Aides'!$A$4:$A$503,379))=0,"",INDEX('Aides'!$A$4:$A$503,379))</f>
        <v/>
      </c>
      <c r="E882">
        <f>IF(ISNUMBER(INDEX('Aides'!$S$4:$S$503,379)),TEXT(INDEX('Aides'!$S$4:$S$503,379),"yyyy-mm-dd"),"")</f>
        <v/>
      </c>
      <c r="F882">
        <f>"Training"</f>
        <v/>
      </c>
      <c r="G882">
        <f>"Medium"</f>
        <v/>
      </c>
      <c r="H882">
        <f>TRIM(IF(LEN(IF(LEN(INDEX('Aides'!$U$4:$U$503,379))=0,"",INDEX('Aides'!$U$4:$U$503,379)))=0,"","Owner: "&amp;IF(LEN(INDEX('Aides'!$U$4:$U$503,379))=0,"",INDEX('Aides'!$U$4:$U$503,379))&amp;". "))</f>
        <v/>
      </c>
      <c r="I882">
        <f>""</f>
        <v/>
      </c>
      <c r="J882">
        <f>IF(LEN(INDEX('Aides'!$V$4:$V$503,379))=0,"",INDEX('Aides'!$V$4:$V$503,379))</f>
        <v/>
      </c>
    </row>
    <row r="883">
      <c r="A883">
        <f>IF(AND(LEN('Aides'!A383)&gt;0,ISNUMBER('Aides'!S383)),1,0)</f>
        <v/>
      </c>
      <c r="B883">
        <f>B882+A883</f>
        <v/>
      </c>
      <c r="C883">
        <f>IF(880&gt;$B$1503,"",MATCH(880-0.5,$B$3:$B$1503,1))</f>
        <v/>
      </c>
      <c r="D883">
        <f>"CPR / First Aid – "&amp;IF(LEN(INDEX('Aides'!$A$4:$A$503,380))=0,"",INDEX('Aides'!$A$4:$A$503,380))</f>
        <v/>
      </c>
      <c r="E883">
        <f>IF(ISNUMBER(INDEX('Aides'!$S$4:$S$503,380)),TEXT(INDEX('Aides'!$S$4:$S$503,380),"yyyy-mm-dd"),"")</f>
        <v/>
      </c>
      <c r="F883">
        <f>"Training"</f>
        <v/>
      </c>
      <c r="G883">
        <f>"Medium"</f>
        <v/>
      </c>
      <c r="H883">
        <f>TRIM(IF(LEN(IF(LEN(INDEX('Aides'!$U$4:$U$503,380))=0,"",INDEX('Aides'!$U$4:$U$503,380)))=0,"","Owner: "&amp;IF(LEN(INDEX('Aides'!$U$4:$U$503,380))=0,"",INDEX('Aides'!$U$4:$U$503,380))&amp;". "))</f>
        <v/>
      </c>
      <c r="I883">
        <f>""</f>
        <v/>
      </c>
      <c r="J883">
        <f>IF(LEN(INDEX('Aides'!$V$4:$V$503,380))=0,"",INDEX('Aides'!$V$4:$V$503,380))</f>
        <v/>
      </c>
    </row>
    <row r="884">
      <c r="A884">
        <f>IF(AND(LEN('Aides'!A384)&gt;0,ISNUMBER('Aides'!S384)),1,0)</f>
        <v/>
      </c>
      <c r="B884">
        <f>B883+A884</f>
        <v/>
      </c>
      <c r="C884">
        <f>IF(881&gt;$B$1503,"",MATCH(881-0.5,$B$3:$B$1503,1))</f>
        <v/>
      </c>
      <c r="D884">
        <f>"CPR / First Aid – "&amp;IF(LEN(INDEX('Aides'!$A$4:$A$503,381))=0,"",INDEX('Aides'!$A$4:$A$503,381))</f>
        <v/>
      </c>
      <c r="E884">
        <f>IF(ISNUMBER(INDEX('Aides'!$S$4:$S$503,381)),TEXT(INDEX('Aides'!$S$4:$S$503,381),"yyyy-mm-dd"),"")</f>
        <v/>
      </c>
      <c r="F884">
        <f>"Training"</f>
        <v/>
      </c>
      <c r="G884">
        <f>"Medium"</f>
        <v/>
      </c>
      <c r="H884">
        <f>TRIM(IF(LEN(IF(LEN(INDEX('Aides'!$U$4:$U$503,381))=0,"",INDEX('Aides'!$U$4:$U$503,381)))=0,"","Owner: "&amp;IF(LEN(INDEX('Aides'!$U$4:$U$503,381))=0,"",INDEX('Aides'!$U$4:$U$503,381))&amp;". "))</f>
        <v/>
      </c>
      <c r="I884">
        <f>""</f>
        <v/>
      </c>
      <c r="J884">
        <f>IF(LEN(INDEX('Aides'!$V$4:$V$503,381))=0,"",INDEX('Aides'!$V$4:$V$503,381))</f>
        <v/>
      </c>
    </row>
    <row r="885">
      <c r="A885">
        <f>IF(AND(LEN('Aides'!A385)&gt;0,ISNUMBER('Aides'!S385)),1,0)</f>
        <v/>
      </c>
      <c r="B885">
        <f>B884+A885</f>
        <v/>
      </c>
      <c r="C885">
        <f>IF(882&gt;$B$1503,"",MATCH(882-0.5,$B$3:$B$1503,1))</f>
        <v/>
      </c>
      <c r="D885">
        <f>"CPR / First Aid – "&amp;IF(LEN(INDEX('Aides'!$A$4:$A$503,382))=0,"",INDEX('Aides'!$A$4:$A$503,382))</f>
        <v/>
      </c>
      <c r="E885">
        <f>IF(ISNUMBER(INDEX('Aides'!$S$4:$S$503,382)),TEXT(INDEX('Aides'!$S$4:$S$503,382),"yyyy-mm-dd"),"")</f>
        <v/>
      </c>
      <c r="F885">
        <f>"Training"</f>
        <v/>
      </c>
      <c r="G885">
        <f>"Medium"</f>
        <v/>
      </c>
      <c r="H885">
        <f>TRIM(IF(LEN(IF(LEN(INDEX('Aides'!$U$4:$U$503,382))=0,"",INDEX('Aides'!$U$4:$U$503,382)))=0,"","Owner: "&amp;IF(LEN(INDEX('Aides'!$U$4:$U$503,382))=0,"",INDEX('Aides'!$U$4:$U$503,382))&amp;". "))</f>
        <v/>
      </c>
      <c r="I885">
        <f>""</f>
        <v/>
      </c>
      <c r="J885">
        <f>IF(LEN(INDEX('Aides'!$V$4:$V$503,382))=0,"",INDEX('Aides'!$V$4:$V$503,382))</f>
        <v/>
      </c>
    </row>
    <row r="886">
      <c r="A886">
        <f>IF(AND(LEN('Aides'!A386)&gt;0,ISNUMBER('Aides'!S386)),1,0)</f>
        <v/>
      </c>
      <c r="B886">
        <f>B885+A886</f>
        <v/>
      </c>
      <c r="C886">
        <f>IF(883&gt;$B$1503,"",MATCH(883-0.5,$B$3:$B$1503,1))</f>
        <v/>
      </c>
      <c r="D886">
        <f>"CPR / First Aid – "&amp;IF(LEN(INDEX('Aides'!$A$4:$A$503,383))=0,"",INDEX('Aides'!$A$4:$A$503,383))</f>
        <v/>
      </c>
      <c r="E886">
        <f>IF(ISNUMBER(INDEX('Aides'!$S$4:$S$503,383)),TEXT(INDEX('Aides'!$S$4:$S$503,383),"yyyy-mm-dd"),"")</f>
        <v/>
      </c>
      <c r="F886">
        <f>"Training"</f>
        <v/>
      </c>
      <c r="G886">
        <f>"Medium"</f>
        <v/>
      </c>
      <c r="H886">
        <f>TRIM(IF(LEN(IF(LEN(INDEX('Aides'!$U$4:$U$503,383))=0,"",INDEX('Aides'!$U$4:$U$503,383)))=0,"","Owner: "&amp;IF(LEN(INDEX('Aides'!$U$4:$U$503,383))=0,"",INDEX('Aides'!$U$4:$U$503,383))&amp;". "))</f>
        <v/>
      </c>
      <c r="I886">
        <f>""</f>
        <v/>
      </c>
      <c r="J886">
        <f>IF(LEN(INDEX('Aides'!$V$4:$V$503,383))=0,"",INDEX('Aides'!$V$4:$V$503,383))</f>
        <v/>
      </c>
    </row>
    <row r="887">
      <c r="A887">
        <f>IF(AND(LEN('Aides'!A387)&gt;0,ISNUMBER('Aides'!S387)),1,0)</f>
        <v/>
      </c>
      <c r="B887">
        <f>B886+A887</f>
        <v/>
      </c>
      <c r="C887">
        <f>IF(884&gt;$B$1503,"",MATCH(884-0.5,$B$3:$B$1503,1))</f>
        <v/>
      </c>
      <c r="D887">
        <f>"CPR / First Aid – "&amp;IF(LEN(INDEX('Aides'!$A$4:$A$503,384))=0,"",INDEX('Aides'!$A$4:$A$503,384))</f>
        <v/>
      </c>
      <c r="E887">
        <f>IF(ISNUMBER(INDEX('Aides'!$S$4:$S$503,384)),TEXT(INDEX('Aides'!$S$4:$S$503,384),"yyyy-mm-dd"),"")</f>
        <v/>
      </c>
      <c r="F887">
        <f>"Training"</f>
        <v/>
      </c>
      <c r="G887">
        <f>"Medium"</f>
        <v/>
      </c>
      <c r="H887">
        <f>TRIM(IF(LEN(IF(LEN(INDEX('Aides'!$U$4:$U$503,384))=0,"",INDEX('Aides'!$U$4:$U$503,384)))=0,"","Owner: "&amp;IF(LEN(INDEX('Aides'!$U$4:$U$503,384))=0,"",INDEX('Aides'!$U$4:$U$503,384))&amp;". "))</f>
        <v/>
      </c>
      <c r="I887">
        <f>""</f>
        <v/>
      </c>
      <c r="J887">
        <f>IF(LEN(INDEX('Aides'!$V$4:$V$503,384))=0,"",INDEX('Aides'!$V$4:$V$503,384))</f>
        <v/>
      </c>
    </row>
    <row r="888">
      <c r="A888">
        <f>IF(AND(LEN('Aides'!A388)&gt;0,ISNUMBER('Aides'!S388)),1,0)</f>
        <v/>
      </c>
      <c r="B888">
        <f>B887+A888</f>
        <v/>
      </c>
      <c r="C888">
        <f>IF(885&gt;$B$1503,"",MATCH(885-0.5,$B$3:$B$1503,1))</f>
        <v/>
      </c>
      <c r="D888">
        <f>"CPR / First Aid – "&amp;IF(LEN(INDEX('Aides'!$A$4:$A$503,385))=0,"",INDEX('Aides'!$A$4:$A$503,385))</f>
        <v/>
      </c>
      <c r="E888">
        <f>IF(ISNUMBER(INDEX('Aides'!$S$4:$S$503,385)),TEXT(INDEX('Aides'!$S$4:$S$503,385),"yyyy-mm-dd"),"")</f>
        <v/>
      </c>
      <c r="F888">
        <f>"Training"</f>
        <v/>
      </c>
      <c r="G888">
        <f>"Medium"</f>
        <v/>
      </c>
      <c r="H888">
        <f>TRIM(IF(LEN(IF(LEN(INDEX('Aides'!$U$4:$U$503,385))=0,"",INDEX('Aides'!$U$4:$U$503,385)))=0,"","Owner: "&amp;IF(LEN(INDEX('Aides'!$U$4:$U$503,385))=0,"",INDEX('Aides'!$U$4:$U$503,385))&amp;". "))</f>
        <v/>
      </c>
      <c r="I888">
        <f>""</f>
        <v/>
      </c>
      <c r="J888">
        <f>IF(LEN(INDEX('Aides'!$V$4:$V$503,385))=0,"",INDEX('Aides'!$V$4:$V$503,385))</f>
        <v/>
      </c>
    </row>
    <row r="889">
      <c r="A889">
        <f>IF(AND(LEN('Aides'!A389)&gt;0,ISNUMBER('Aides'!S389)),1,0)</f>
        <v/>
      </c>
      <c r="B889">
        <f>B888+A889</f>
        <v/>
      </c>
      <c r="C889">
        <f>IF(886&gt;$B$1503,"",MATCH(886-0.5,$B$3:$B$1503,1))</f>
        <v/>
      </c>
      <c r="D889">
        <f>"CPR / First Aid – "&amp;IF(LEN(INDEX('Aides'!$A$4:$A$503,386))=0,"",INDEX('Aides'!$A$4:$A$503,386))</f>
        <v/>
      </c>
      <c r="E889">
        <f>IF(ISNUMBER(INDEX('Aides'!$S$4:$S$503,386)),TEXT(INDEX('Aides'!$S$4:$S$503,386),"yyyy-mm-dd"),"")</f>
        <v/>
      </c>
      <c r="F889">
        <f>"Training"</f>
        <v/>
      </c>
      <c r="G889">
        <f>"Medium"</f>
        <v/>
      </c>
      <c r="H889">
        <f>TRIM(IF(LEN(IF(LEN(INDEX('Aides'!$U$4:$U$503,386))=0,"",INDEX('Aides'!$U$4:$U$503,386)))=0,"","Owner: "&amp;IF(LEN(INDEX('Aides'!$U$4:$U$503,386))=0,"",INDEX('Aides'!$U$4:$U$503,386))&amp;". "))</f>
        <v/>
      </c>
      <c r="I889">
        <f>""</f>
        <v/>
      </c>
      <c r="J889">
        <f>IF(LEN(INDEX('Aides'!$V$4:$V$503,386))=0,"",INDEX('Aides'!$V$4:$V$503,386))</f>
        <v/>
      </c>
    </row>
    <row r="890">
      <c r="A890">
        <f>IF(AND(LEN('Aides'!A390)&gt;0,ISNUMBER('Aides'!S390)),1,0)</f>
        <v/>
      </c>
      <c r="B890">
        <f>B889+A890</f>
        <v/>
      </c>
      <c r="C890">
        <f>IF(887&gt;$B$1503,"",MATCH(887-0.5,$B$3:$B$1503,1))</f>
        <v/>
      </c>
      <c r="D890">
        <f>"CPR / First Aid – "&amp;IF(LEN(INDEX('Aides'!$A$4:$A$503,387))=0,"",INDEX('Aides'!$A$4:$A$503,387))</f>
        <v/>
      </c>
      <c r="E890">
        <f>IF(ISNUMBER(INDEX('Aides'!$S$4:$S$503,387)),TEXT(INDEX('Aides'!$S$4:$S$503,387),"yyyy-mm-dd"),"")</f>
        <v/>
      </c>
      <c r="F890">
        <f>"Training"</f>
        <v/>
      </c>
      <c r="G890">
        <f>"Medium"</f>
        <v/>
      </c>
      <c r="H890">
        <f>TRIM(IF(LEN(IF(LEN(INDEX('Aides'!$U$4:$U$503,387))=0,"",INDEX('Aides'!$U$4:$U$503,387)))=0,"","Owner: "&amp;IF(LEN(INDEX('Aides'!$U$4:$U$503,387))=0,"",INDEX('Aides'!$U$4:$U$503,387))&amp;". "))</f>
        <v/>
      </c>
      <c r="I890">
        <f>""</f>
        <v/>
      </c>
      <c r="J890">
        <f>IF(LEN(INDEX('Aides'!$V$4:$V$503,387))=0,"",INDEX('Aides'!$V$4:$V$503,387))</f>
        <v/>
      </c>
    </row>
    <row r="891">
      <c r="A891">
        <f>IF(AND(LEN('Aides'!A391)&gt;0,ISNUMBER('Aides'!S391)),1,0)</f>
        <v/>
      </c>
      <c r="B891">
        <f>B890+A891</f>
        <v/>
      </c>
      <c r="C891">
        <f>IF(888&gt;$B$1503,"",MATCH(888-0.5,$B$3:$B$1503,1))</f>
        <v/>
      </c>
      <c r="D891">
        <f>"CPR / First Aid – "&amp;IF(LEN(INDEX('Aides'!$A$4:$A$503,388))=0,"",INDEX('Aides'!$A$4:$A$503,388))</f>
        <v/>
      </c>
      <c r="E891">
        <f>IF(ISNUMBER(INDEX('Aides'!$S$4:$S$503,388)),TEXT(INDEX('Aides'!$S$4:$S$503,388),"yyyy-mm-dd"),"")</f>
        <v/>
      </c>
      <c r="F891">
        <f>"Training"</f>
        <v/>
      </c>
      <c r="G891">
        <f>"Medium"</f>
        <v/>
      </c>
      <c r="H891">
        <f>TRIM(IF(LEN(IF(LEN(INDEX('Aides'!$U$4:$U$503,388))=0,"",INDEX('Aides'!$U$4:$U$503,388)))=0,"","Owner: "&amp;IF(LEN(INDEX('Aides'!$U$4:$U$503,388))=0,"",INDEX('Aides'!$U$4:$U$503,388))&amp;". "))</f>
        <v/>
      </c>
      <c r="I891">
        <f>""</f>
        <v/>
      </c>
      <c r="J891">
        <f>IF(LEN(INDEX('Aides'!$V$4:$V$503,388))=0,"",INDEX('Aides'!$V$4:$V$503,388))</f>
        <v/>
      </c>
    </row>
    <row r="892">
      <c r="A892">
        <f>IF(AND(LEN('Aides'!A392)&gt;0,ISNUMBER('Aides'!S392)),1,0)</f>
        <v/>
      </c>
      <c r="B892">
        <f>B891+A892</f>
        <v/>
      </c>
      <c r="C892">
        <f>IF(889&gt;$B$1503,"",MATCH(889-0.5,$B$3:$B$1503,1))</f>
        <v/>
      </c>
      <c r="D892">
        <f>"CPR / First Aid – "&amp;IF(LEN(INDEX('Aides'!$A$4:$A$503,389))=0,"",INDEX('Aides'!$A$4:$A$503,389))</f>
        <v/>
      </c>
      <c r="E892">
        <f>IF(ISNUMBER(INDEX('Aides'!$S$4:$S$503,389)),TEXT(INDEX('Aides'!$S$4:$S$503,389),"yyyy-mm-dd"),"")</f>
        <v/>
      </c>
      <c r="F892">
        <f>"Training"</f>
        <v/>
      </c>
      <c r="G892">
        <f>"Medium"</f>
        <v/>
      </c>
      <c r="H892">
        <f>TRIM(IF(LEN(IF(LEN(INDEX('Aides'!$U$4:$U$503,389))=0,"",INDEX('Aides'!$U$4:$U$503,389)))=0,"","Owner: "&amp;IF(LEN(INDEX('Aides'!$U$4:$U$503,389))=0,"",INDEX('Aides'!$U$4:$U$503,389))&amp;". "))</f>
        <v/>
      </c>
      <c r="I892">
        <f>""</f>
        <v/>
      </c>
      <c r="J892">
        <f>IF(LEN(INDEX('Aides'!$V$4:$V$503,389))=0,"",INDEX('Aides'!$V$4:$V$503,389))</f>
        <v/>
      </c>
    </row>
    <row r="893">
      <c r="A893">
        <f>IF(AND(LEN('Aides'!A393)&gt;0,ISNUMBER('Aides'!S393)),1,0)</f>
        <v/>
      </c>
      <c r="B893">
        <f>B892+A893</f>
        <v/>
      </c>
      <c r="C893">
        <f>IF(890&gt;$B$1503,"",MATCH(890-0.5,$B$3:$B$1503,1))</f>
        <v/>
      </c>
      <c r="D893">
        <f>"CPR / First Aid – "&amp;IF(LEN(INDEX('Aides'!$A$4:$A$503,390))=0,"",INDEX('Aides'!$A$4:$A$503,390))</f>
        <v/>
      </c>
      <c r="E893">
        <f>IF(ISNUMBER(INDEX('Aides'!$S$4:$S$503,390)),TEXT(INDEX('Aides'!$S$4:$S$503,390),"yyyy-mm-dd"),"")</f>
        <v/>
      </c>
      <c r="F893">
        <f>"Training"</f>
        <v/>
      </c>
      <c r="G893">
        <f>"Medium"</f>
        <v/>
      </c>
      <c r="H893">
        <f>TRIM(IF(LEN(IF(LEN(INDEX('Aides'!$U$4:$U$503,390))=0,"",INDEX('Aides'!$U$4:$U$503,390)))=0,"","Owner: "&amp;IF(LEN(INDEX('Aides'!$U$4:$U$503,390))=0,"",INDEX('Aides'!$U$4:$U$503,390))&amp;". "))</f>
        <v/>
      </c>
      <c r="I893">
        <f>""</f>
        <v/>
      </c>
      <c r="J893">
        <f>IF(LEN(INDEX('Aides'!$V$4:$V$503,390))=0,"",INDEX('Aides'!$V$4:$V$503,390))</f>
        <v/>
      </c>
    </row>
    <row r="894">
      <c r="A894">
        <f>IF(AND(LEN('Aides'!A394)&gt;0,ISNUMBER('Aides'!S394)),1,0)</f>
        <v/>
      </c>
      <c r="B894">
        <f>B893+A894</f>
        <v/>
      </c>
      <c r="C894">
        <f>IF(891&gt;$B$1503,"",MATCH(891-0.5,$B$3:$B$1503,1))</f>
        <v/>
      </c>
      <c r="D894">
        <f>"CPR / First Aid – "&amp;IF(LEN(INDEX('Aides'!$A$4:$A$503,391))=0,"",INDEX('Aides'!$A$4:$A$503,391))</f>
        <v/>
      </c>
      <c r="E894">
        <f>IF(ISNUMBER(INDEX('Aides'!$S$4:$S$503,391)),TEXT(INDEX('Aides'!$S$4:$S$503,391),"yyyy-mm-dd"),"")</f>
        <v/>
      </c>
      <c r="F894">
        <f>"Training"</f>
        <v/>
      </c>
      <c r="G894">
        <f>"Medium"</f>
        <v/>
      </c>
      <c r="H894">
        <f>TRIM(IF(LEN(IF(LEN(INDEX('Aides'!$U$4:$U$503,391))=0,"",INDEX('Aides'!$U$4:$U$503,391)))=0,"","Owner: "&amp;IF(LEN(INDEX('Aides'!$U$4:$U$503,391))=0,"",INDEX('Aides'!$U$4:$U$503,391))&amp;". "))</f>
        <v/>
      </c>
      <c r="I894">
        <f>""</f>
        <v/>
      </c>
      <c r="J894">
        <f>IF(LEN(INDEX('Aides'!$V$4:$V$503,391))=0,"",INDEX('Aides'!$V$4:$V$503,391))</f>
        <v/>
      </c>
    </row>
    <row r="895">
      <c r="A895">
        <f>IF(AND(LEN('Aides'!A395)&gt;0,ISNUMBER('Aides'!S395)),1,0)</f>
        <v/>
      </c>
      <c r="B895">
        <f>B894+A895</f>
        <v/>
      </c>
      <c r="C895">
        <f>IF(892&gt;$B$1503,"",MATCH(892-0.5,$B$3:$B$1503,1))</f>
        <v/>
      </c>
      <c r="D895">
        <f>"CPR / First Aid – "&amp;IF(LEN(INDEX('Aides'!$A$4:$A$503,392))=0,"",INDEX('Aides'!$A$4:$A$503,392))</f>
        <v/>
      </c>
      <c r="E895">
        <f>IF(ISNUMBER(INDEX('Aides'!$S$4:$S$503,392)),TEXT(INDEX('Aides'!$S$4:$S$503,392),"yyyy-mm-dd"),"")</f>
        <v/>
      </c>
      <c r="F895">
        <f>"Training"</f>
        <v/>
      </c>
      <c r="G895">
        <f>"Medium"</f>
        <v/>
      </c>
      <c r="H895">
        <f>TRIM(IF(LEN(IF(LEN(INDEX('Aides'!$U$4:$U$503,392))=0,"",INDEX('Aides'!$U$4:$U$503,392)))=0,"","Owner: "&amp;IF(LEN(INDEX('Aides'!$U$4:$U$503,392))=0,"",INDEX('Aides'!$U$4:$U$503,392))&amp;". "))</f>
        <v/>
      </c>
      <c r="I895">
        <f>""</f>
        <v/>
      </c>
      <c r="J895">
        <f>IF(LEN(INDEX('Aides'!$V$4:$V$503,392))=0,"",INDEX('Aides'!$V$4:$V$503,392))</f>
        <v/>
      </c>
    </row>
    <row r="896">
      <c r="A896">
        <f>IF(AND(LEN('Aides'!A396)&gt;0,ISNUMBER('Aides'!S396)),1,0)</f>
        <v/>
      </c>
      <c r="B896">
        <f>B895+A896</f>
        <v/>
      </c>
      <c r="C896">
        <f>IF(893&gt;$B$1503,"",MATCH(893-0.5,$B$3:$B$1503,1))</f>
        <v/>
      </c>
      <c r="D896">
        <f>"CPR / First Aid – "&amp;IF(LEN(INDEX('Aides'!$A$4:$A$503,393))=0,"",INDEX('Aides'!$A$4:$A$503,393))</f>
        <v/>
      </c>
      <c r="E896">
        <f>IF(ISNUMBER(INDEX('Aides'!$S$4:$S$503,393)),TEXT(INDEX('Aides'!$S$4:$S$503,393),"yyyy-mm-dd"),"")</f>
        <v/>
      </c>
      <c r="F896">
        <f>"Training"</f>
        <v/>
      </c>
      <c r="G896">
        <f>"Medium"</f>
        <v/>
      </c>
      <c r="H896">
        <f>TRIM(IF(LEN(IF(LEN(INDEX('Aides'!$U$4:$U$503,393))=0,"",INDEX('Aides'!$U$4:$U$503,393)))=0,"","Owner: "&amp;IF(LEN(INDEX('Aides'!$U$4:$U$503,393))=0,"",INDEX('Aides'!$U$4:$U$503,393))&amp;". "))</f>
        <v/>
      </c>
      <c r="I896">
        <f>""</f>
        <v/>
      </c>
      <c r="J896">
        <f>IF(LEN(INDEX('Aides'!$V$4:$V$503,393))=0,"",INDEX('Aides'!$V$4:$V$503,393))</f>
        <v/>
      </c>
    </row>
    <row r="897">
      <c r="A897">
        <f>IF(AND(LEN('Aides'!A397)&gt;0,ISNUMBER('Aides'!S397)),1,0)</f>
        <v/>
      </c>
      <c r="B897">
        <f>B896+A897</f>
        <v/>
      </c>
      <c r="C897">
        <f>IF(894&gt;$B$1503,"",MATCH(894-0.5,$B$3:$B$1503,1))</f>
        <v/>
      </c>
      <c r="D897">
        <f>"CPR / First Aid – "&amp;IF(LEN(INDEX('Aides'!$A$4:$A$503,394))=0,"",INDEX('Aides'!$A$4:$A$503,394))</f>
        <v/>
      </c>
      <c r="E897">
        <f>IF(ISNUMBER(INDEX('Aides'!$S$4:$S$503,394)),TEXT(INDEX('Aides'!$S$4:$S$503,394),"yyyy-mm-dd"),"")</f>
        <v/>
      </c>
      <c r="F897">
        <f>"Training"</f>
        <v/>
      </c>
      <c r="G897">
        <f>"Medium"</f>
        <v/>
      </c>
      <c r="H897">
        <f>TRIM(IF(LEN(IF(LEN(INDEX('Aides'!$U$4:$U$503,394))=0,"",INDEX('Aides'!$U$4:$U$503,394)))=0,"","Owner: "&amp;IF(LEN(INDEX('Aides'!$U$4:$U$503,394))=0,"",INDEX('Aides'!$U$4:$U$503,394))&amp;". "))</f>
        <v/>
      </c>
      <c r="I897">
        <f>""</f>
        <v/>
      </c>
      <c r="J897">
        <f>IF(LEN(INDEX('Aides'!$V$4:$V$503,394))=0,"",INDEX('Aides'!$V$4:$V$503,394))</f>
        <v/>
      </c>
    </row>
    <row r="898">
      <c r="A898">
        <f>IF(AND(LEN('Aides'!A398)&gt;0,ISNUMBER('Aides'!S398)),1,0)</f>
        <v/>
      </c>
      <c r="B898">
        <f>B897+A898</f>
        <v/>
      </c>
      <c r="C898">
        <f>IF(895&gt;$B$1503,"",MATCH(895-0.5,$B$3:$B$1503,1))</f>
        <v/>
      </c>
      <c r="D898">
        <f>"CPR / First Aid – "&amp;IF(LEN(INDEX('Aides'!$A$4:$A$503,395))=0,"",INDEX('Aides'!$A$4:$A$503,395))</f>
        <v/>
      </c>
      <c r="E898">
        <f>IF(ISNUMBER(INDEX('Aides'!$S$4:$S$503,395)),TEXT(INDEX('Aides'!$S$4:$S$503,395),"yyyy-mm-dd"),"")</f>
        <v/>
      </c>
      <c r="F898">
        <f>"Training"</f>
        <v/>
      </c>
      <c r="G898">
        <f>"Medium"</f>
        <v/>
      </c>
      <c r="H898">
        <f>TRIM(IF(LEN(IF(LEN(INDEX('Aides'!$U$4:$U$503,395))=0,"",INDEX('Aides'!$U$4:$U$503,395)))=0,"","Owner: "&amp;IF(LEN(INDEX('Aides'!$U$4:$U$503,395))=0,"",INDEX('Aides'!$U$4:$U$503,395))&amp;". "))</f>
        <v/>
      </c>
      <c r="I898">
        <f>""</f>
        <v/>
      </c>
      <c r="J898">
        <f>IF(LEN(INDEX('Aides'!$V$4:$V$503,395))=0,"",INDEX('Aides'!$V$4:$V$503,395))</f>
        <v/>
      </c>
    </row>
    <row r="899">
      <c r="A899">
        <f>IF(AND(LEN('Aides'!A399)&gt;0,ISNUMBER('Aides'!S399)),1,0)</f>
        <v/>
      </c>
      <c r="B899">
        <f>B898+A899</f>
        <v/>
      </c>
      <c r="C899">
        <f>IF(896&gt;$B$1503,"",MATCH(896-0.5,$B$3:$B$1503,1))</f>
        <v/>
      </c>
      <c r="D899">
        <f>"CPR / First Aid – "&amp;IF(LEN(INDEX('Aides'!$A$4:$A$503,396))=0,"",INDEX('Aides'!$A$4:$A$503,396))</f>
        <v/>
      </c>
      <c r="E899">
        <f>IF(ISNUMBER(INDEX('Aides'!$S$4:$S$503,396)),TEXT(INDEX('Aides'!$S$4:$S$503,396),"yyyy-mm-dd"),"")</f>
        <v/>
      </c>
      <c r="F899">
        <f>"Training"</f>
        <v/>
      </c>
      <c r="G899">
        <f>"Medium"</f>
        <v/>
      </c>
      <c r="H899">
        <f>TRIM(IF(LEN(IF(LEN(INDEX('Aides'!$U$4:$U$503,396))=0,"",INDEX('Aides'!$U$4:$U$503,396)))=0,"","Owner: "&amp;IF(LEN(INDEX('Aides'!$U$4:$U$503,396))=0,"",INDEX('Aides'!$U$4:$U$503,396))&amp;". "))</f>
        <v/>
      </c>
      <c r="I899">
        <f>""</f>
        <v/>
      </c>
      <c r="J899">
        <f>IF(LEN(INDEX('Aides'!$V$4:$V$503,396))=0,"",INDEX('Aides'!$V$4:$V$503,396))</f>
        <v/>
      </c>
    </row>
    <row r="900">
      <c r="A900">
        <f>IF(AND(LEN('Aides'!A400)&gt;0,ISNUMBER('Aides'!S400)),1,0)</f>
        <v/>
      </c>
      <c r="B900">
        <f>B899+A900</f>
        <v/>
      </c>
      <c r="C900">
        <f>IF(897&gt;$B$1503,"",MATCH(897-0.5,$B$3:$B$1503,1))</f>
        <v/>
      </c>
      <c r="D900">
        <f>"CPR / First Aid – "&amp;IF(LEN(INDEX('Aides'!$A$4:$A$503,397))=0,"",INDEX('Aides'!$A$4:$A$503,397))</f>
        <v/>
      </c>
      <c r="E900">
        <f>IF(ISNUMBER(INDEX('Aides'!$S$4:$S$503,397)),TEXT(INDEX('Aides'!$S$4:$S$503,397),"yyyy-mm-dd"),"")</f>
        <v/>
      </c>
      <c r="F900">
        <f>"Training"</f>
        <v/>
      </c>
      <c r="G900">
        <f>"Medium"</f>
        <v/>
      </c>
      <c r="H900">
        <f>TRIM(IF(LEN(IF(LEN(INDEX('Aides'!$U$4:$U$503,397))=0,"",INDEX('Aides'!$U$4:$U$503,397)))=0,"","Owner: "&amp;IF(LEN(INDEX('Aides'!$U$4:$U$503,397))=0,"",INDEX('Aides'!$U$4:$U$503,397))&amp;". "))</f>
        <v/>
      </c>
      <c r="I900">
        <f>""</f>
        <v/>
      </c>
      <c r="J900">
        <f>IF(LEN(INDEX('Aides'!$V$4:$V$503,397))=0,"",INDEX('Aides'!$V$4:$V$503,397))</f>
        <v/>
      </c>
    </row>
    <row r="901">
      <c r="A901">
        <f>IF(AND(LEN('Aides'!A401)&gt;0,ISNUMBER('Aides'!S401)),1,0)</f>
        <v/>
      </c>
      <c r="B901">
        <f>B900+A901</f>
        <v/>
      </c>
      <c r="C901">
        <f>IF(898&gt;$B$1503,"",MATCH(898-0.5,$B$3:$B$1503,1))</f>
        <v/>
      </c>
      <c r="D901">
        <f>"CPR / First Aid – "&amp;IF(LEN(INDEX('Aides'!$A$4:$A$503,398))=0,"",INDEX('Aides'!$A$4:$A$503,398))</f>
        <v/>
      </c>
      <c r="E901">
        <f>IF(ISNUMBER(INDEX('Aides'!$S$4:$S$503,398)),TEXT(INDEX('Aides'!$S$4:$S$503,398),"yyyy-mm-dd"),"")</f>
        <v/>
      </c>
      <c r="F901">
        <f>"Training"</f>
        <v/>
      </c>
      <c r="G901">
        <f>"Medium"</f>
        <v/>
      </c>
      <c r="H901">
        <f>TRIM(IF(LEN(IF(LEN(INDEX('Aides'!$U$4:$U$503,398))=0,"",INDEX('Aides'!$U$4:$U$503,398)))=0,"","Owner: "&amp;IF(LEN(INDEX('Aides'!$U$4:$U$503,398))=0,"",INDEX('Aides'!$U$4:$U$503,398))&amp;". "))</f>
        <v/>
      </c>
      <c r="I901">
        <f>""</f>
        <v/>
      </c>
      <c r="J901">
        <f>IF(LEN(INDEX('Aides'!$V$4:$V$503,398))=0,"",INDEX('Aides'!$V$4:$V$503,398))</f>
        <v/>
      </c>
    </row>
    <row r="902">
      <c r="A902">
        <f>IF(AND(LEN('Aides'!A402)&gt;0,ISNUMBER('Aides'!S402)),1,0)</f>
        <v/>
      </c>
      <c r="B902">
        <f>B901+A902</f>
        <v/>
      </c>
      <c r="C902">
        <f>IF(899&gt;$B$1503,"",MATCH(899-0.5,$B$3:$B$1503,1))</f>
        <v/>
      </c>
      <c r="D902">
        <f>"CPR / First Aid – "&amp;IF(LEN(INDEX('Aides'!$A$4:$A$503,399))=0,"",INDEX('Aides'!$A$4:$A$503,399))</f>
        <v/>
      </c>
      <c r="E902">
        <f>IF(ISNUMBER(INDEX('Aides'!$S$4:$S$503,399)),TEXT(INDEX('Aides'!$S$4:$S$503,399),"yyyy-mm-dd"),"")</f>
        <v/>
      </c>
      <c r="F902">
        <f>"Training"</f>
        <v/>
      </c>
      <c r="G902">
        <f>"Medium"</f>
        <v/>
      </c>
      <c r="H902">
        <f>TRIM(IF(LEN(IF(LEN(INDEX('Aides'!$U$4:$U$503,399))=0,"",INDEX('Aides'!$U$4:$U$503,399)))=0,"","Owner: "&amp;IF(LEN(INDEX('Aides'!$U$4:$U$503,399))=0,"",INDEX('Aides'!$U$4:$U$503,399))&amp;". "))</f>
        <v/>
      </c>
      <c r="I902">
        <f>""</f>
        <v/>
      </c>
      <c r="J902">
        <f>IF(LEN(INDEX('Aides'!$V$4:$V$503,399))=0,"",INDEX('Aides'!$V$4:$V$503,399))</f>
        <v/>
      </c>
    </row>
    <row r="903">
      <c r="A903">
        <f>IF(AND(LEN('Aides'!A403)&gt;0,ISNUMBER('Aides'!S403)),1,0)</f>
        <v/>
      </c>
      <c r="B903">
        <f>B902+A903</f>
        <v/>
      </c>
      <c r="C903">
        <f>IF(900&gt;$B$1503,"",MATCH(900-0.5,$B$3:$B$1503,1))</f>
        <v/>
      </c>
      <c r="D903">
        <f>"CPR / First Aid – "&amp;IF(LEN(INDEX('Aides'!$A$4:$A$503,400))=0,"",INDEX('Aides'!$A$4:$A$503,400))</f>
        <v/>
      </c>
      <c r="E903">
        <f>IF(ISNUMBER(INDEX('Aides'!$S$4:$S$503,400)),TEXT(INDEX('Aides'!$S$4:$S$503,400),"yyyy-mm-dd"),"")</f>
        <v/>
      </c>
      <c r="F903">
        <f>"Training"</f>
        <v/>
      </c>
      <c r="G903">
        <f>"Medium"</f>
        <v/>
      </c>
      <c r="H903">
        <f>TRIM(IF(LEN(IF(LEN(INDEX('Aides'!$U$4:$U$503,400))=0,"",INDEX('Aides'!$U$4:$U$503,400)))=0,"","Owner: "&amp;IF(LEN(INDEX('Aides'!$U$4:$U$503,400))=0,"",INDEX('Aides'!$U$4:$U$503,400))&amp;". "))</f>
        <v/>
      </c>
      <c r="I903">
        <f>""</f>
        <v/>
      </c>
      <c r="J903">
        <f>IF(LEN(INDEX('Aides'!$V$4:$V$503,400))=0,"",INDEX('Aides'!$V$4:$V$503,400))</f>
        <v/>
      </c>
    </row>
    <row r="904">
      <c r="A904">
        <f>IF(AND(LEN('Aides'!A404)&gt;0,ISNUMBER('Aides'!S404)),1,0)</f>
        <v/>
      </c>
      <c r="B904">
        <f>B903+A904</f>
        <v/>
      </c>
      <c r="C904">
        <f>IF(901&gt;$B$1503,"",MATCH(901-0.5,$B$3:$B$1503,1))</f>
        <v/>
      </c>
      <c r="D904">
        <f>"CPR / First Aid – "&amp;IF(LEN(INDEX('Aides'!$A$4:$A$503,401))=0,"",INDEX('Aides'!$A$4:$A$503,401))</f>
        <v/>
      </c>
      <c r="E904">
        <f>IF(ISNUMBER(INDEX('Aides'!$S$4:$S$503,401)),TEXT(INDEX('Aides'!$S$4:$S$503,401),"yyyy-mm-dd"),"")</f>
        <v/>
      </c>
      <c r="F904">
        <f>"Training"</f>
        <v/>
      </c>
      <c r="G904">
        <f>"Medium"</f>
        <v/>
      </c>
      <c r="H904">
        <f>TRIM(IF(LEN(IF(LEN(INDEX('Aides'!$U$4:$U$503,401))=0,"",INDEX('Aides'!$U$4:$U$503,401)))=0,"","Owner: "&amp;IF(LEN(INDEX('Aides'!$U$4:$U$503,401))=0,"",INDEX('Aides'!$U$4:$U$503,401))&amp;". "))</f>
        <v/>
      </c>
      <c r="I904">
        <f>""</f>
        <v/>
      </c>
      <c r="J904">
        <f>IF(LEN(INDEX('Aides'!$V$4:$V$503,401))=0,"",INDEX('Aides'!$V$4:$V$503,401))</f>
        <v/>
      </c>
    </row>
    <row r="905">
      <c r="A905">
        <f>IF(AND(LEN('Aides'!A405)&gt;0,ISNUMBER('Aides'!S405)),1,0)</f>
        <v/>
      </c>
      <c r="B905">
        <f>B904+A905</f>
        <v/>
      </c>
      <c r="C905">
        <f>IF(902&gt;$B$1503,"",MATCH(902-0.5,$B$3:$B$1503,1))</f>
        <v/>
      </c>
      <c r="D905">
        <f>"CPR / First Aid – "&amp;IF(LEN(INDEX('Aides'!$A$4:$A$503,402))=0,"",INDEX('Aides'!$A$4:$A$503,402))</f>
        <v/>
      </c>
      <c r="E905">
        <f>IF(ISNUMBER(INDEX('Aides'!$S$4:$S$503,402)),TEXT(INDEX('Aides'!$S$4:$S$503,402),"yyyy-mm-dd"),"")</f>
        <v/>
      </c>
      <c r="F905">
        <f>"Training"</f>
        <v/>
      </c>
      <c r="G905">
        <f>"Medium"</f>
        <v/>
      </c>
      <c r="H905">
        <f>TRIM(IF(LEN(IF(LEN(INDEX('Aides'!$U$4:$U$503,402))=0,"",INDEX('Aides'!$U$4:$U$503,402)))=0,"","Owner: "&amp;IF(LEN(INDEX('Aides'!$U$4:$U$503,402))=0,"",INDEX('Aides'!$U$4:$U$503,402))&amp;". "))</f>
        <v/>
      </c>
      <c r="I905">
        <f>""</f>
        <v/>
      </c>
      <c r="J905">
        <f>IF(LEN(INDEX('Aides'!$V$4:$V$503,402))=0,"",INDEX('Aides'!$V$4:$V$503,402))</f>
        <v/>
      </c>
    </row>
    <row r="906">
      <c r="A906">
        <f>IF(AND(LEN('Aides'!A406)&gt;0,ISNUMBER('Aides'!S406)),1,0)</f>
        <v/>
      </c>
      <c r="B906">
        <f>B905+A906</f>
        <v/>
      </c>
      <c r="C906">
        <f>IF(903&gt;$B$1503,"",MATCH(903-0.5,$B$3:$B$1503,1))</f>
        <v/>
      </c>
      <c r="D906">
        <f>"CPR / First Aid – "&amp;IF(LEN(INDEX('Aides'!$A$4:$A$503,403))=0,"",INDEX('Aides'!$A$4:$A$503,403))</f>
        <v/>
      </c>
      <c r="E906">
        <f>IF(ISNUMBER(INDEX('Aides'!$S$4:$S$503,403)),TEXT(INDEX('Aides'!$S$4:$S$503,403),"yyyy-mm-dd"),"")</f>
        <v/>
      </c>
      <c r="F906">
        <f>"Training"</f>
        <v/>
      </c>
      <c r="G906">
        <f>"Medium"</f>
        <v/>
      </c>
      <c r="H906">
        <f>TRIM(IF(LEN(IF(LEN(INDEX('Aides'!$U$4:$U$503,403))=0,"",INDEX('Aides'!$U$4:$U$503,403)))=0,"","Owner: "&amp;IF(LEN(INDEX('Aides'!$U$4:$U$503,403))=0,"",INDEX('Aides'!$U$4:$U$503,403))&amp;". "))</f>
        <v/>
      </c>
      <c r="I906">
        <f>""</f>
        <v/>
      </c>
      <c r="J906">
        <f>IF(LEN(INDEX('Aides'!$V$4:$V$503,403))=0,"",INDEX('Aides'!$V$4:$V$503,403))</f>
        <v/>
      </c>
    </row>
    <row r="907">
      <c r="A907">
        <f>IF(AND(LEN('Aides'!A407)&gt;0,ISNUMBER('Aides'!S407)),1,0)</f>
        <v/>
      </c>
      <c r="B907">
        <f>B906+A907</f>
        <v/>
      </c>
      <c r="C907">
        <f>IF(904&gt;$B$1503,"",MATCH(904-0.5,$B$3:$B$1503,1))</f>
        <v/>
      </c>
      <c r="D907">
        <f>"CPR / First Aid – "&amp;IF(LEN(INDEX('Aides'!$A$4:$A$503,404))=0,"",INDEX('Aides'!$A$4:$A$503,404))</f>
        <v/>
      </c>
      <c r="E907">
        <f>IF(ISNUMBER(INDEX('Aides'!$S$4:$S$503,404)),TEXT(INDEX('Aides'!$S$4:$S$503,404),"yyyy-mm-dd"),"")</f>
        <v/>
      </c>
      <c r="F907">
        <f>"Training"</f>
        <v/>
      </c>
      <c r="G907">
        <f>"Medium"</f>
        <v/>
      </c>
      <c r="H907">
        <f>TRIM(IF(LEN(IF(LEN(INDEX('Aides'!$U$4:$U$503,404))=0,"",INDEX('Aides'!$U$4:$U$503,404)))=0,"","Owner: "&amp;IF(LEN(INDEX('Aides'!$U$4:$U$503,404))=0,"",INDEX('Aides'!$U$4:$U$503,404))&amp;". "))</f>
        <v/>
      </c>
      <c r="I907">
        <f>""</f>
        <v/>
      </c>
      <c r="J907">
        <f>IF(LEN(INDEX('Aides'!$V$4:$V$503,404))=0,"",INDEX('Aides'!$V$4:$V$503,404))</f>
        <v/>
      </c>
    </row>
    <row r="908">
      <c r="A908">
        <f>IF(AND(LEN('Aides'!A408)&gt;0,ISNUMBER('Aides'!S408)),1,0)</f>
        <v/>
      </c>
      <c r="B908">
        <f>B907+A908</f>
        <v/>
      </c>
      <c r="C908">
        <f>IF(905&gt;$B$1503,"",MATCH(905-0.5,$B$3:$B$1503,1))</f>
        <v/>
      </c>
      <c r="D908">
        <f>"CPR / First Aid – "&amp;IF(LEN(INDEX('Aides'!$A$4:$A$503,405))=0,"",INDEX('Aides'!$A$4:$A$503,405))</f>
        <v/>
      </c>
      <c r="E908">
        <f>IF(ISNUMBER(INDEX('Aides'!$S$4:$S$503,405)),TEXT(INDEX('Aides'!$S$4:$S$503,405),"yyyy-mm-dd"),"")</f>
        <v/>
      </c>
      <c r="F908">
        <f>"Training"</f>
        <v/>
      </c>
      <c r="G908">
        <f>"Medium"</f>
        <v/>
      </c>
      <c r="H908">
        <f>TRIM(IF(LEN(IF(LEN(INDEX('Aides'!$U$4:$U$503,405))=0,"",INDEX('Aides'!$U$4:$U$503,405)))=0,"","Owner: "&amp;IF(LEN(INDEX('Aides'!$U$4:$U$503,405))=0,"",INDEX('Aides'!$U$4:$U$503,405))&amp;". "))</f>
        <v/>
      </c>
      <c r="I908">
        <f>""</f>
        <v/>
      </c>
      <c r="J908">
        <f>IF(LEN(INDEX('Aides'!$V$4:$V$503,405))=0,"",INDEX('Aides'!$V$4:$V$503,405))</f>
        <v/>
      </c>
    </row>
    <row r="909">
      <c r="A909">
        <f>IF(AND(LEN('Aides'!A409)&gt;0,ISNUMBER('Aides'!S409)),1,0)</f>
        <v/>
      </c>
      <c r="B909">
        <f>B908+A909</f>
        <v/>
      </c>
      <c r="C909">
        <f>IF(906&gt;$B$1503,"",MATCH(906-0.5,$B$3:$B$1503,1))</f>
        <v/>
      </c>
      <c r="D909">
        <f>"CPR / First Aid – "&amp;IF(LEN(INDEX('Aides'!$A$4:$A$503,406))=0,"",INDEX('Aides'!$A$4:$A$503,406))</f>
        <v/>
      </c>
      <c r="E909">
        <f>IF(ISNUMBER(INDEX('Aides'!$S$4:$S$503,406)),TEXT(INDEX('Aides'!$S$4:$S$503,406),"yyyy-mm-dd"),"")</f>
        <v/>
      </c>
      <c r="F909">
        <f>"Training"</f>
        <v/>
      </c>
      <c r="G909">
        <f>"Medium"</f>
        <v/>
      </c>
      <c r="H909">
        <f>TRIM(IF(LEN(IF(LEN(INDEX('Aides'!$U$4:$U$503,406))=0,"",INDEX('Aides'!$U$4:$U$503,406)))=0,"","Owner: "&amp;IF(LEN(INDEX('Aides'!$U$4:$U$503,406))=0,"",INDEX('Aides'!$U$4:$U$503,406))&amp;". "))</f>
        <v/>
      </c>
      <c r="I909">
        <f>""</f>
        <v/>
      </c>
      <c r="J909">
        <f>IF(LEN(INDEX('Aides'!$V$4:$V$503,406))=0,"",INDEX('Aides'!$V$4:$V$503,406))</f>
        <v/>
      </c>
    </row>
    <row r="910">
      <c r="A910">
        <f>IF(AND(LEN('Aides'!A410)&gt;0,ISNUMBER('Aides'!S410)),1,0)</f>
        <v/>
      </c>
      <c r="B910">
        <f>B909+A910</f>
        <v/>
      </c>
      <c r="C910">
        <f>IF(907&gt;$B$1503,"",MATCH(907-0.5,$B$3:$B$1503,1))</f>
        <v/>
      </c>
      <c r="D910">
        <f>"CPR / First Aid – "&amp;IF(LEN(INDEX('Aides'!$A$4:$A$503,407))=0,"",INDEX('Aides'!$A$4:$A$503,407))</f>
        <v/>
      </c>
      <c r="E910">
        <f>IF(ISNUMBER(INDEX('Aides'!$S$4:$S$503,407)),TEXT(INDEX('Aides'!$S$4:$S$503,407),"yyyy-mm-dd"),"")</f>
        <v/>
      </c>
      <c r="F910">
        <f>"Training"</f>
        <v/>
      </c>
      <c r="G910">
        <f>"Medium"</f>
        <v/>
      </c>
      <c r="H910">
        <f>TRIM(IF(LEN(IF(LEN(INDEX('Aides'!$U$4:$U$503,407))=0,"",INDEX('Aides'!$U$4:$U$503,407)))=0,"","Owner: "&amp;IF(LEN(INDEX('Aides'!$U$4:$U$503,407))=0,"",INDEX('Aides'!$U$4:$U$503,407))&amp;". "))</f>
        <v/>
      </c>
      <c r="I910">
        <f>""</f>
        <v/>
      </c>
      <c r="J910">
        <f>IF(LEN(INDEX('Aides'!$V$4:$V$503,407))=0,"",INDEX('Aides'!$V$4:$V$503,407))</f>
        <v/>
      </c>
    </row>
    <row r="911">
      <c r="A911">
        <f>IF(AND(LEN('Aides'!A411)&gt;0,ISNUMBER('Aides'!S411)),1,0)</f>
        <v/>
      </c>
      <c r="B911">
        <f>B910+A911</f>
        <v/>
      </c>
      <c r="C911">
        <f>IF(908&gt;$B$1503,"",MATCH(908-0.5,$B$3:$B$1503,1))</f>
        <v/>
      </c>
      <c r="D911">
        <f>"CPR / First Aid – "&amp;IF(LEN(INDEX('Aides'!$A$4:$A$503,408))=0,"",INDEX('Aides'!$A$4:$A$503,408))</f>
        <v/>
      </c>
      <c r="E911">
        <f>IF(ISNUMBER(INDEX('Aides'!$S$4:$S$503,408)),TEXT(INDEX('Aides'!$S$4:$S$503,408),"yyyy-mm-dd"),"")</f>
        <v/>
      </c>
      <c r="F911">
        <f>"Training"</f>
        <v/>
      </c>
      <c r="G911">
        <f>"Medium"</f>
        <v/>
      </c>
      <c r="H911">
        <f>TRIM(IF(LEN(IF(LEN(INDEX('Aides'!$U$4:$U$503,408))=0,"",INDEX('Aides'!$U$4:$U$503,408)))=0,"","Owner: "&amp;IF(LEN(INDEX('Aides'!$U$4:$U$503,408))=0,"",INDEX('Aides'!$U$4:$U$503,408))&amp;". "))</f>
        <v/>
      </c>
      <c r="I911">
        <f>""</f>
        <v/>
      </c>
      <c r="J911">
        <f>IF(LEN(INDEX('Aides'!$V$4:$V$503,408))=0,"",INDEX('Aides'!$V$4:$V$503,408))</f>
        <v/>
      </c>
    </row>
    <row r="912">
      <c r="A912">
        <f>IF(AND(LEN('Aides'!A412)&gt;0,ISNUMBER('Aides'!S412)),1,0)</f>
        <v/>
      </c>
      <c r="B912">
        <f>B911+A912</f>
        <v/>
      </c>
      <c r="C912">
        <f>IF(909&gt;$B$1503,"",MATCH(909-0.5,$B$3:$B$1503,1))</f>
        <v/>
      </c>
      <c r="D912">
        <f>"CPR / First Aid – "&amp;IF(LEN(INDEX('Aides'!$A$4:$A$503,409))=0,"",INDEX('Aides'!$A$4:$A$503,409))</f>
        <v/>
      </c>
      <c r="E912">
        <f>IF(ISNUMBER(INDEX('Aides'!$S$4:$S$503,409)),TEXT(INDEX('Aides'!$S$4:$S$503,409),"yyyy-mm-dd"),"")</f>
        <v/>
      </c>
      <c r="F912">
        <f>"Training"</f>
        <v/>
      </c>
      <c r="G912">
        <f>"Medium"</f>
        <v/>
      </c>
      <c r="H912">
        <f>TRIM(IF(LEN(IF(LEN(INDEX('Aides'!$U$4:$U$503,409))=0,"",INDEX('Aides'!$U$4:$U$503,409)))=0,"","Owner: "&amp;IF(LEN(INDEX('Aides'!$U$4:$U$503,409))=0,"",INDEX('Aides'!$U$4:$U$503,409))&amp;". "))</f>
        <v/>
      </c>
      <c r="I912">
        <f>""</f>
        <v/>
      </c>
      <c r="J912">
        <f>IF(LEN(INDEX('Aides'!$V$4:$V$503,409))=0,"",INDEX('Aides'!$V$4:$V$503,409))</f>
        <v/>
      </c>
    </row>
    <row r="913">
      <c r="A913">
        <f>IF(AND(LEN('Aides'!A413)&gt;0,ISNUMBER('Aides'!S413)),1,0)</f>
        <v/>
      </c>
      <c r="B913">
        <f>B912+A913</f>
        <v/>
      </c>
      <c r="C913">
        <f>IF(910&gt;$B$1503,"",MATCH(910-0.5,$B$3:$B$1503,1))</f>
        <v/>
      </c>
      <c r="D913">
        <f>"CPR / First Aid – "&amp;IF(LEN(INDEX('Aides'!$A$4:$A$503,410))=0,"",INDEX('Aides'!$A$4:$A$503,410))</f>
        <v/>
      </c>
      <c r="E913">
        <f>IF(ISNUMBER(INDEX('Aides'!$S$4:$S$503,410)),TEXT(INDEX('Aides'!$S$4:$S$503,410),"yyyy-mm-dd"),"")</f>
        <v/>
      </c>
      <c r="F913">
        <f>"Training"</f>
        <v/>
      </c>
      <c r="G913">
        <f>"Medium"</f>
        <v/>
      </c>
      <c r="H913">
        <f>TRIM(IF(LEN(IF(LEN(INDEX('Aides'!$U$4:$U$503,410))=0,"",INDEX('Aides'!$U$4:$U$503,410)))=0,"","Owner: "&amp;IF(LEN(INDEX('Aides'!$U$4:$U$503,410))=0,"",INDEX('Aides'!$U$4:$U$503,410))&amp;". "))</f>
        <v/>
      </c>
      <c r="I913">
        <f>""</f>
        <v/>
      </c>
      <c r="J913">
        <f>IF(LEN(INDEX('Aides'!$V$4:$V$503,410))=0,"",INDEX('Aides'!$V$4:$V$503,410))</f>
        <v/>
      </c>
    </row>
    <row r="914">
      <c r="A914">
        <f>IF(AND(LEN('Aides'!A414)&gt;0,ISNUMBER('Aides'!S414)),1,0)</f>
        <v/>
      </c>
      <c r="B914">
        <f>B913+A914</f>
        <v/>
      </c>
      <c r="C914">
        <f>IF(911&gt;$B$1503,"",MATCH(911-0.5,$B$3:$B$1503,1))</f>
        <v/>
      </c>
      <c r="D914">
        <f>"CPR / First Aid – "&amp;IF(LEN(INDEX('Aides'!$A$4:$A$503,411))=0,"",INDEX('Aides'!$A$4:$A$503,411))</f>
        <v/>
      </c>
      <c r="E914">
        <f>IF(ISNUMBER(INDEX('Aides'!$S$4:$S$503,411)),TEXT(INDEX('Aides'!$S$4:$S$503,411),"yyyy-mm-dd"),"")</f>
        <v/>
      </c>
      <c r="F914">
        <f>"Training"</f>
        <v/>
      </c>
      <c r="G914">
        <f>"Medium"</f>
        <v/>
      </c>
      <c r="H914">
        <f>TRIM(IF(LEN(IF(LEN(INDEX('Aides'!$U$4:$U$503,411))=0,"",INDEX('Aides'!$U$4:$U$503,411)))=0,"","Owner: "&amp;IF(LEN(INDEX('Aides'!$U$4:$U$503,411))=0,"",INDEX('Aides'!$U$4:$U$503,411))&amp;". "))</f>
        <v/>
      </c>
      <c r="I914">
        <f>""</f>
        <v/>
      </c>
      <c r="J914">
        <f>IF(LEN(INDEX('Aides'!$V$4:$V$503,411))=0,"",INDEX('Aides'!$V$4:$V$503,411))</f>
        <v/>
      </c>
    </row>
    <row r="915">
      <c r="A915">
        <f>IF(AND(LEN('Aides'!A415)&gt;0,ISNUMBER('Aides'!S415)),1,0)</f>
        <v/>
      </c>
      <c r="B915">
        <f>B914+A915</f>
        <v/>
      </c>
      <c r="C915">
        <f>IF(912&gt;$B$1503,"",MATCH(912-0.5,$B$3:$B$1503,1))</f>
        <v/>
      </c>
      <c r="D915">
        <f>"CPR / First Aid – "&amp;IF(LEN(INDEX('Aides'!$A$4:$A$503,412))=0,"",INDEX('Aides'!$A$4:$A$503,412))</f>
        <v/>
      </c>
      <c r="E915">
        <f>IF(ISNUMBER(INDEX('Aides'!$S$4:$S$503,412)),TEXT(INDEX('Aides'!$S$4:$S$503,412),"yyyy-mm-dd"),"")</f>
        <v/>
      </c>
      <c r="F915">
        <f>"Training"</f>
        <v/>
      </c>
      <c r="G915">
        <f>"Medium"</f>
        <v/>
      </c>
      <c r="H915">
        <f>TRIM(IF(LEN(IF(LEN(INDEX('Aides'!$U$4:$U$503,412))=0,"",INDEX('Aides'!$U$4:$U$503,412)))=0,"","Owner: "&amp;IF(LEN(INDEX('Aides'!$U$4:$U$503,412))=0,"",INDEX('Aides'!$U$4:$U$503,412))&amp;". "))</f>
        <v/>
      </c>
      <c r="I915">
        <f>""</f>
        <v/>
      </c>
      <c r="J915">
        <f>IF(LEN(INDEX('Aides'!$V$4:$V$503,412))=0,"",INDEX('Aides'!$V$4:$V$503,412))</f>
        <v/>
      </c>
    </row>
    <row r="916">
      <c r="A916">
        <f>IF(AND(LEN('Aides'!A416)&gt;0,ISNUMBER('Aides'!S416)),1,0)</f>
        <v/>
      </c>
      <c r="B916">
        <f>B915+A916</f>
        <v/>
      </c>
      <c r="C916">
        <f>IF(913&gt;$B$1503,"",MATCH(913-0.5,$B$3:$B$1503,1))</f>
        <v/>
      </c>
      <c r="D916">
        <f>"CPR / First Aid – "&amp;IF(LEN(INDEX('Aides'!$A$4:$A$503,413))=0,"",INDEX('Aides'!$A$4:$A$503,413))</f>
        <v/>
      </c>
      <c r="E916">
        <f>IF(ISNUMBER(INDEX('Aides'!$S$4:$S$503,413)),TEXT(INDEX('Aides'!$S$4:$S$503,413),"yyyy-mm-dd"),"")</f>
        <v/>
      </c>
      <c r="F916">
        <f>"Training"</f>
        <v/>
      </c>
      <c r="G916">
        <f>"Medium"</f>
        <v/>
      </c>
      <c r="H916">
        <f>TRIM(IF(LEN(IF(LEN(INDEX('Aides'!$U$4:$U$503,413))=0,"",INDEX('Aides'!$U$4:$U$503,413)))=0,"","Owner: "&amp;IF(LEN(INDEX('Aides'!$U$4:$U$503,413))=0,"",INDEX('Aides'!$U$4:$U$503,413))&amp;". "))</f>
        <v/>
      </c>
      <c r="I916">
        <f>""</f>
        <v/>
      </c>
      <c r="J916">
        <f>IF(LEN(INDEX('Aides'!$V$4:$V$503,413))=0,"",INDEX('Aides'!$V$4:$V$503,413))</f>
        <v/>
      </c>
    </row>
    <row r="917">
      <c r="A917">
        <f>IF(AND(LEN('Aides'!A417)&gt;0,ISNUMBER('Aides'!S417)),1,0)</f>
        <v/>
      </c>
      <c r="B917">
        <f>B916+A917</f>
        <v/>
      </c>
      <c r="C917">
        <f>IF(914&gt;$B$1503,"",MATCH(914-0.5,$B$3:$B$1503,1))</f>
        <v/>
      </c>
      <c r="D917">
        <f>"CPR / First Aid – "&amp;IF(LEN(INDEX('Aides'!$A$4:$A$503,414))=0,"",INDEX('Aides'!$A$4:$A$503,414))</f>
        <v/>
      </c>
      <c r="E917">
        <f>IF(ISNUMBER(INDEX('Aides'!$S$4:$S$503,414)),TEXT(INDEX('Aides'!$S$4:$S$503,414),"yyyy-mm-dd"),"")</f>
        <v/>
      </c>
      <c r="F917">
        <f>"Training"</f>
        <v/>
      </c>
      <c r="G917">
        <f>"Medium"</f>
        <v/>
      </c>
      <c r="H917">
        <f>TRIM(IF(LEN(IF(LEN(INDEX('Aides'!$U$4:$U$503,414))=0,"",INDEX('Aides'!$U$4:$U$503,414)))=0,"","Owner: "&amp;IF(LEN(INDEX('Aides'!$U$4:$U$503,414))=0,"",INDEX('Aides'!$U$4:$U$503,414))&amp;". "))</f>
        <v/>
      </c>
      <c r="I917">
        <f>""</f>
        <v/>
      </c>
      <c r="J917">
        <f>IF(LEN(INDEX('Aides'!$V$4:$V$503,414))=0,"",INDEX('Aides'!$V$4:$V$503,414))</f>
        <v/>
      </c>
    </row>
    <row r="918">
      <c r="A918">
        <f>IF(AND(LEN('Aides'!A418)&gt;0,ISNUMBER('Aides'!S418)),1,0)</f>
        <v/>
      </c>
      <c r="B918">
        <f>B917+A918</f>
        <v/>
      </c>
      <c r="C918">
        <f>IF(915&gt;$B$1503,"",MATCH(915-0.5,$B$3:$B$1503,1))</f>
        <v/>
      </c>
      <c r="D918">
        <f>"CPR / First Aid – "&amp;IF(LEN(INDEX('Aides'!$A$4:$A$503,415))=0,"",INDEX('Aides'!$A$4:$A$503,415))</f>
        <v/>
      </c>
      <c r="E918">
        <f>IF(ISNUMBER(INDEX('Aides'!$S$4:$S$503,415)),TEXT(INDEX('Aides'!$S$4:$S$503,415),"yyyy-mm-dd"),"")</f>
        <v/>
      </c>
      <c r="F918">
        <f>"Training"</f>
        <v/>
      </c>
      <c r="G918">
        <f>"Medium"</f>
        <v/>
      </c>
      <c r="H918">
        <f>TRIM(IF(LEN(IF(LEN(INDEX('Aides'!$U$4:$U$503,415))=0,"",INDEX('Aides'!$U$4:$U$503,415)))=0,"","Owner: "&amp;IF(LEN(INDEX('Aides'!$U$4:$U$503,415))=0,"",INDEX('Aides'!$U$4:$U$503,415))&amp;". "))</f>
        <v/>
      </c>
      <c r="I918">
        <f>""</f>
        <v/>
      </c>
      <c r="J918">
        <f>IF(LEN(INDEX('Aides'!$V$4:$V$503,415))=0,"",INDEX('Aides'!$V$4:$V$503,415))</f>
        <v/>
      </c>
    </row>
    <row r="919">
      <c r="A919">
        <f>IF(AND(LEN('Aides'!A419)&gt;0,ISNUMBER('Aides'!S419)),1,0)</f>
        <v/>
      </c>
      <c r="B919">
        <f>B918+A919</f>
        <v/>
      </c>
      <c r="C919">
        <f>IF(916&gt;$B$1503,"",MATCH(916-0.5,$B$3:$B$1503,1))</f>
        <v/>
      </c>
      <c r="D919">
        <f>"CPR / First Aid – "&amp;IF(LEN(INDEX('Aides'!$A$4:$A$503,416))=0,"",INDEX('Aides'!$A$4:$A$503,416))</f>
        <v/>
      </c>
      <c r="E919">
        <f>IF(ISNUMBER(INDEX('Aides'!$S$4:$S$503,416)),TEXT(INDEX('Aides'!$S$4:$S$503,416),"yyyy-mm-dd"),"")</f>
        <v/>
      </c>
      <c r="F919">
        <f>"Training"</f>
        <v/>
      </c>
      <c r="G919">
        <f>"Medium"</f>
        <v/>
      </c>
      <c r="H919">
        <f>TRIM(IF(LEN(IF(LEN(INDEX('Aides'!$U$4:$U$503,416))=0,"",INDEX('Aides'!$U$4:$U$503,416)))=0,"","Owner: "&amp;IF(LEN(INDEX('Aides'!$U$4:$U$503,416))=0,"",INDEX('Aides'!$U$4:$U$503,416))&amp;". "))</f>
        <v/>
      </c>
      <c r="I919">
        <f>""</f>
        <v/>
      </c>
      <c r="J919">
        <f>IF(LEN(INDEX('Aides'!$V$4:$V$503,416))=0,"",INDEX('Aides'!$V$4:$V$503,416))</f>
        <v/>
      </c>
    </row>
    <row r="920">
      <c r="A920">
        <f>IF(AND(LEN('Aides'!A420)&gt;0,ISNUMBER('Aides'!S420)),1,0)</f>
        <v/>
      </c>
      <c r="B920">
        <f>B919+A920</f>
        <v/>
      </c>
      <c r="C920">
        <f>IF(917&gt;$B$1503,"",MATCH(917-0.5,$B$3:$B$1503,1))</f>
        <v/>
      </c>
      <c r="D920">
        <f>"CPR / First Aid – "&amp;IF(LEN(INDEX('Aides'!$A$4:$A$503,417))=0,"",INDEX('Aides'!$A$4:$A$503,417))</f>
        <v/>
      </c>
      <c r="E920">
        <f>IF(ISNUMBER(INDEX('Aides'!$S$4:$S$503,417)),TEXT(INDEX('Aides'!$S$4:$S$503,417),"yyyy-mm-dd"),"")</f>
        <v/>
      </c>
      <c r="F920">
        <f>"Training"</f>
        <v/>
      </c>
      <c r="G920">
        <f>"Medium"</f>
        <v/>
      </c>
      <c r="H920">
        <f>TRIM(IF(LEN(IF(LEN(INDEX('Aides'!$U$4:$U$503,417))=0,"",INDEX('Aides'!$U$4:$U$503,417)))=0,"","Owner: "&amp;IF(LEN(INDEX('Aides'!$U$4:$U$503,417))=0,"",INDEX('Aides'!$U$4:$U$503,417))&amp;". "))</f>
        <v/>
      </c>
      <c r="I920">
        <f>""</f>
        <v/>
      </c>
      <c r="J920">
        <f>IF(LEN(INDEX('Aides'!$V$4:$V$503,417))=0,"",INDEX('Aides'!$V$4:$V$503,417))</f>
        <v/>
      </c>
    </row>
    <row r="921">
      <c r="A921">
        <f>IF(AND(LEN('Aides'!A421)&gt;0,ISNUMBER('Aides'!S421)),1,0)</f>
        <v/>
      </c>
      <c r="B921">
        <f>B920+A921</f>
        <v/>
      </c>
      <c r="C921">
        <f>IF(918&gt;$B$1503,"",MATCH(918-0.5,$B$3:$B$1503,1))</f>
        <v/>
      </c>
      <c r="D921">
        <f>"CPR / First Aid – "&amp;IF(LEN(INDEX('Aides'!$A$4:$A$503,418))=0,"",INDEX('Aides'!$A$4:$A$503,418))</f>
        <v/>
      </c>
      <c r="E921">
        <f>IF(ISNUMBER(INDEX('Aides'!$S$4:$S$503,418)),TEXT(INDEX('Aides'!$S$4:$S$503,418),"yyyy-mm-dd"),"")</f>
        <v/>
      </c>
      <c r="F921">
        <f>"Training"</f>
        <v/>
      </c>
      <c r="G921">
        <f>"Medium"</f>
        <v/>
      </c>
      <c r="H921">
        <f>TRIM(IF(LEN(IF(LEN(INDEX('Aides'!$U$4:$U$503,418))=0,"",INDEX('Aides'!$U$4:$U$503,418)))=0,"","Owner: "&amp;IF(LEN(INDEX('Aides'!$U$4:$U$503,418))=0,"",INDEX('Aides'!$U$4:$U$503,418))&amp;". "))</f>
        <v/>
      </c>
      <c r="I921">
        <f>""</f>
        <v/>
      </c>
      <c r="J921">
        <f>IF(LEN(INDEX('Aides'!$V$4:$V$503,418))=0,"",INDEX('Aides'!$V$4:$V$503,418))</f>
        <v/>
      </c>
    </row>
    <row r="922">
      <c r="A922">
        <f>IF(AND(LEN('Aides'!A422)&gt;0,ISNUMBER('Aides'!S422)),1,0)</f>
        <v/>
      </c>
      <c r="B922">
        <f>B921+A922</f>
        <v/>
      </c>
      <c r="C922">
        <f>IF(919&gt;$B$1503,"",MATCH(919-0.5,$B$3:$B$1503,1))</f>
        <v/>
      </c>
      <c r="D922">
        <f>"CPR / First Aid – "&amp;IF(LEN(INDEX('Aides'!$A$4:$A$503,419))=0,"",INDEX('Aides'!$A$4:$A$503,419))</f>
        <v/>
      </c>
      <c r="E922">
        <f>IF(ISNUMBER(INDEX('Aides'!$S$4:$S$503,419)),TEXT(INDEX('Aides'!$S$4:$S$503,419),"yyyy-mm-dd"),"")</f>
        <v/>
      </c>
      <c r="F922">
        <f>"Training"</f>
        <v/>
      </c>
      <c r="G922">
        <f>"Medium"</f>
        <v/>
      </c>
      <c r="H922">
        <f>TRIM(IF(LEN(IF(LEN(INDEX('Aides'!$U$4:$U$503,419))=0,"",INDEX('Aides'!$U$4:$U$503,419)))=0,"","Owner: "&amp;IF(LEN(INDEX('Aides'!$U$4:$U$503,419))=0,"",INDEX('Aides'!$U$4:$U$503,419))&amp;". "))</f>
        <v/>
      </c>
      <c r="I922">
        <f>""</f>
        <v/>
      </c>
      <c r="J922">
        <f>IF(LEN(INDEX('Aides'!$V$4:$V$503,419))=0,"",INDEX('Aides'!$V$4:$V$503,419))</f>
        <v/>
      </c>
    </row>
    <row r="923">
      <c r="A923">
        <f>IF(AND(LEN('Aides'!A423)&gt;0,ISNUMBER('Aides'!S423)),1,0)</f>
        <v/>
      </c>
      <c r="B923">
        <f>B922+A923</f>
        <v/>
      </c>
      <c r="C923">
        <f>IF(920&gt;$B$1503,"",MATCH(920-0.5,$B$3:$B$1503,1))</f>
        <v/>
      </c>
      <c r="D923">
        <f>"CPR / First Aid – "&amp;IF(LEN(INDEX('Aides'!$A$4:$A$503,420))=0,"",INDEX('Aides'!$A$4:$A$503,420))</f>
        <v/>
      </c>
      <c r="E923">
        <f>IF(ISNUMBER(INDEX('Aides'!$S$4:$S$503,420)),TEXT(INDEX('Aides'!$S$4:$S$503,420),"yyyy-mm-dd"),"")</f>
        <v/>
      </c>
      <c r="F923">
        <f>"Training"</f>
        <v/>
      </c>
      <c r="G923">
        <f>"Medium"</f>
        <v/>
      </c>
      <c r="H923">
        <f>TRIM(IF(LEN(IF(LEN(INDEX('Aides'!$U$4:$U$503,420))=0,"",INDEX('Aides'!$U$4:$U$503,420)))=0,"","Owner: "&amp;IF(LEN(INDEX('Aides'!$U$4:$U$503,420))=0,"",INDEX('Aides'!$U$4:$U$503,420))&amp;". "))</f>
        <v/>
      </c>
      <c r="I923">
        <f>""</f>
        <v/>
      </c>
      <c r="J923">
        <f>IF(LEN(INDEX('Aides'!$V$4:$V$503,420))=0,"",INDEX('Aides'!$V$4:$V$503,420))</f>
        <v/>
      </c>
    </row>
    <row r="924">
      <c r="A924">
        <f>IF(AND(LEN('Aides'!A424)&gt;0,ISNUMBER('Aides'!S424)),1,0)</f>
        <v/>
      </c>
      <c r="B924">
        <f>B923+A924</f>
        <v/>
      </c>
      <c r="C924">
        <f>IF(921&gt;$B$1503,"",MATCH(921-0.5,$B$3:$B$1503,1))</f>
        <v/>
      </c>
      <c r="D924">
        <f>"CPR / First Aid – "&amp;IF(LEN(INDEX('Aides'!$A$4:$A$503,421))=0,"",INDEX('Aides'!$A$4:$A$503,421))</f>
        <v/>
      </c>
      <c r="E924">
        <f>IF(ISNUMBER(INDEX('Aides'!$S$4:$S$503,421)),TEXT(INDEX('Aides'!$S$4:$S$503,421),"yyyy-mm-dd"),"")</f>
        <v/>
      </c>
      <c r="F924">
        <f>"Training"</f>
        <v/>
      </c>
      <c r="G924">
        <f>"Medium"</f>
        <v/>
      </c>
      <c r="H924">
        <f>TRIM(IF(LEN(IF(LEN(INDEX('Aides'!$U$4:$U$503,421))=0,"",INDEX('Aides'!$U$4:$U$503,421)))=0,"","Owner: "&amp;IF(LEN(INDEX('Aides'!$U$4:$U$503,421))=0,"",INDEX('Aides'!$U$4:$U$503,421))&amp;". "))</f>
        <v/>
      </c>
      <c r="I924">
        <f>""</f>
        <v/>
      </c>
      <c r="J924">
        <f>IF(LEN(INDEX('Aides'!$V$4:$V$503,421))=0,"",INDEX('Aides'!$V$4:$V$503,421))</f>
        <v/>
      </c>
    </row>
    <row r="925">
      <c r="A925">
        <f>IF(AND(LEN('Aides'!A425)&gt;0,ISNUMBER('Aides'!S425)),1,0)</f>
        <v/>
      </c>
      <c r="B925">
        <f>B924+A925</f>
        <v/>
      </c>
      <c r="C925">
        <f>IF(922&gt;$B$1503,"",MATCH(922-0.5,$B$3:$B$1503,1))</f>
        <v/>
      </c>
      <c r="D925">
        <f>"CPR / First Aid – "&amp;IF(LEN(INDEX('Aides'!$A$4:$A$503,422))=0,"",INDEX('Aides'!$A$4:$A$503,422))</f>
        <v/>
      </c>
      <c r="E925">
        <f>IF(ISNUMBER(INDEX('Aides'!$S$4:$S$503,422)),TEXT(INDEX('Aides'!$S$4:$S$503,422),"yyyy-mm-dd"),"")</f>
        <v/>
      </c>
      <c r="F925">
        <f>"Training"</f>
        <v/>
      </c>
      <c r="G925">
        <f>"Medium"</f>
        <v/>
      </c>
      <c r="H925">
        <f>TRIM(IF(LEN(IF(LEN(INDEX('Aides'!$U$4:$U$503,422))=0,"",INDEX('Aides'!$U$4:$U$503,422)))=0,"","Owner: "&amp;IF(LEN(INDEX('Aides'!$U$4:$U$503,422))=0,"",INDEX('Aides'!$U$4:$U$503,422))&amp;". "))</f>
        <v/>
      </c>
      <c r="I925">
        <f>""</f>
        <v/>
      </c>
      <c r="J925">
        <f>IF(LEN(INDEX('Aides'!$V$4:$V$503,422))=0,"",INDEX('Aides'!$V$4:$V$503,422))</f>
        <v/>
      </c>
    </row>
    <row r="926">
      <c r="A926">
        <f>IF(AND(LEN('Aides'!A426)&gt;0,ISNUMBER('Aides'!S426)),1,0)</f>
        <v/>
      </c>
      <c r="B926">
        <f>B925+A926</f>
        <v/>
      </c>
      <c r="C926">
        <f>IF(923&gt;$B$1503,"",MATCH(923-0.5,$B$3:$B$1503,1))</f>
        <v/>
      </c>
      <c r="D926">
        <f>"CPR / First Aid – "&amp;IF(LEN(INDEX('Aides'!$A$4:$A$503,423))=0,"",INDEX('Aides'!$A$4:$A$503,423))</f>
        <v/>
      </c>
      <c r="E926">
        <f>IF(ISNUMBER(INDEX('Aides'!$S$4:$S$503,423)),TEXT(INDEX('Aides'!$S$4:$S$503,423),"yyyy-mm-dd"),"")</f>
        <v/>
      </c>
      <c r="F926">
        <f>"Training"</f>
        <v/>
      </c>
      <c r="G926">
        <f>"Medium"</f>
        <v/>
      </c>
      <c r="H926">
        <f>TRIM(IF(LEN(IF(LEN(INDEX('Aides'!$U$4:$U$503,423))=0,"",INDEX('Aides'!$U$4:$U$503,423)))=0,"","Owner: "&amp;IF(LEN(INDEX('Aides'!$U$4:$U$503,423))=0,"",INDEX('Aides'!$U$4:$U$503,423))&amp;". "))</f>
        <v/>
      </c>
      <c r="I926">
        <f>""</f>
        <v/>
      </c>
      <c r="J926">
        <f>IF(LEN(INDEX('Aides'!$V$4:$V$503,423))=0,"",INDEX('Aides'!$V$4:$V$503,423))</f>
        <v/>
      </c>
    </row>
    <row r="927">
      <c r="A927">
        <f>IF(AND(LEN('Aides'!A427)&gt;0,ISNUMBER('Aides'!S427)),1,0)</f>
        <v/>
      </c>
      <c r="B927">
        <f>B926+A927</f>
        <v/>
      </c>
      <c r="C927">
        <f>IF(924&gt;$B$1503,"",MATCH(924-0.5,$B$3:$B$1503,1))</f>
        <v/>
      </c>
      <c r="D927">
        <f>"CPR / First Aid – "&amp;IF(LEN(INDEX('Aides'!$A$4:$A$503,424))=0,"",INDEX('Aides'!$A$4:$A$503,424))</f>
        <v/>
      </c>
      <c r="E927">
        <f>IF(ISNUMBER(INDEX('Aides'!$S$4:$S$503,424)),TEXT(INDEX('Aides'!$S$4:$S$503,424),"yyyy-mm-dd"),"")</f>
        <v/>
      </c>
      <c r="F927">
        <f>"Training"</f>
        <v/>
      </c>
      <c r="G927">
        <f>"Medium"</f>
        <v/>
      </c>
      <c r="H927">
        <f>TRIM(IF(LEN(IF(LEN(INDEX('Aides'!$U$4:$U$503,424))=0,"",INDEX('Aides'!$U$4:$U$503,424)))=0,"","Owner: "&amp;IF(LEN(INDEX('Aides'!$U$4:$U$503,424))=0,"",INDEX('Aides'!$U$4:$U$503,424))&amp;". "))</f>
        <v/>
      </c>
      <c r="I927">
        <f>""</f>
        <v/>
      </c>
      <c r="J927">
        <f>IF(LEN(INDEX('Aides'!$V$4:$V$503,424))=0,"",INDEX('Aides'!$V$4:$V$503,424))</f>
        <v/>
      </c>
    </row>
    <row r="928">
      <c r="A928">
        <f>IF(AND(LEN('Aides'!A428)&gt;0,ISNUMBER('Aides'!S428)),1,0)</f>
        <v/>
      </c>
      <c r="B928">
        <f>B927+A928</f>
        <v/>
      </c>
      <c r="C928">
        <f>IF(925&gt;$B$1503,"",MATCH(925-0.5,$B$3:$B$1503,1))</f>
        <v/>
      </c>
      <c r="D928">
        <f>"CPR / First Aid – "&amp;IF(LEN(INDEX('Aides'!$A$4:$A$503,425))=0,"",INDEX('Aides'!$A$4:$A$503,425))</f>
        <v/>
      </c>
      <c r="E928">
        <f>IF(ISNUMBER(INDEX('Aides'!$S$4:$S$503,425)),TEXT(INDEX('Aides'!$S$4:$S$503,425),"yyyy-mm-dd"),"")</f>
        <v/>
      </c>
      <c r="F928">
        <f>"Training"</f>
        <v/>
      </c>
      <c r="G928">
        <f>"Medium"</f>
        <v/>
      </c>
      <c r="H928">
        <f>TRIM(IF(LEN(IF(LEN(INDEX('Aides'!$U$4:$U$503,425))=0,"",INDEX('Aides'!$U$4:$U$503,425)))=0,"","Owner: "&amp;IF(LEN(INDEX('Aides'!$U$4:$U$503,425))=0,"",INDEX('Aides'!$U$4:$U$503,425))&amp;". "))</f>
        <v/>
      </c>
      <c r="I928">
        <f>""</f>
        <v/>
      </c>
      <c r="J928">
        <f>IF(LEN(INDEX('Aides'!$V$4:$V$503,425))=0,"",INDEX('Aides'!$V$4:$V$503,425))</f>
        <v/>
      </c>
    </row>
    <row r="929">
      <c r="A929">
        <f>IF(AND(LEN('Aides'!A429)&gt;0,ISNUMBER('Aides'!S429)),1,0)</f>
        <v/>
      </c>
      <c r="B929">
        <f>B928+A929</f>
        <v/>
      </c>
      <c r="C929">
        <f>IF(926&gt;$B$1503,"",MATCH(926-0.5,$B$3:$B$1503,1))</f>
        <v/>
      </c>
      <c r="D929">
        <f>"CPR / First Aid – "&amp;IF(LEN(INDEX('Aides'!$A$4:$A$503,426))=0,"",INDEX('Aides'!$A$4:$A$503,426))</f>
        <v/>
      </c>
      <c r="E929">
        <f>IF(ISNUMBER(INDEX('Aides'!$S$4:$S$503,426)),TEXT(INDEX('Aides'!$S$4:$S$503,426),"yyyy-mm-dd"),"")</f>
        <v/>
      </c>
      <c r="F929">
        <f>"Training"</f>
        <v/>
      </c>
      <c r="G929">
        <f>"Medium"</f>
        <v/>
      </c>
      <c r="H929">
        <f>TRIM(IF(LEN(IF(LEN(INDEX('Aides'!$U$4:$U$503,426))=0,"",INDEX('Aides'!$U$4:$U$503,426)))=0,"","Owner: "&amp;IF(LEN(INDEX('Aides'!$U$4:$U$503,426))=0,"",INDEX('Aides'!$U$4:$U$503,426))&amp;". "))</f>
        <v/>
      </c>
      <c r="I929">
        <f>""</f>
        <v/>
      </c>
      <c r="J929">
        <f>IF(LEN(INDEX('Aides'!$V$4:$V$503,426))=0,"",INDEX('Aides'!$V$4:$V$503,426))</f>
        <v/>
      </c>
    </row>
    <row r="930">
      <c r="A930">
        <f>IF(AND(LEN('Aides'!A430)&gt;0,ISNUMBER('Aides'!S430)),1,0)</f>
        <v/>
      </c>
      <c r="B930">
        <f>B929+A930</f>
        <v/>
      </c>
      <c r="C930">
        <f>IF(927&gt;$B$1503,"",MATCH(927-0.5,$B$3:$B$1503,1))</f>
        <v/>
      </c>
      <c r="D930">
        <f>"CPR / First Aid – "&amp;IF(LEN(INDEX('Aides'!$A$4:$A$503,427))=0,"",INDEX('Aides'!$A$4:$A$503,427))</f>
        <v/>
      </c>
      <c r="E930">
        <f>IF(ISNUMBER(INDEX('Aides'!$S$4:$S$503,427)),TEXT(INDEX('Aides'!$S$4:$S$503,427),"yyyy-mm-dd"),"")</f>
        <v/>
      </c>
      <c r="F930">
        <f>"Training"</f>
        <v/>
      </c>
      <c r="G930">
        <f>"Medium"</f>
        <v/>
      </c>
      <c r="H930">
        <f>TRIM(IF(LEN(IF(LEN(INDEX('Aides'!$U$4:$U$503,427))=0,"",INDEX('Aides'!$U$4:$U$503,427)))=0,"","Owner: "&amp;IF(LEN(INDEX('Aides'!$U$4:$U$503,427))=0,"",INDEX('Aides'!$U$4:$U$503,427))&amp;". "))</f>
        <v/>
      </c>
      <c r="I930">
        <f>""</f>
        <v/>
      </c>
      <c r="J930">
        <f>IF(LEN(INDEX('Aides'!$V$4:$V$503,427))=0,"",INDEX('Aides'!$V$4:$V$503,427))</f>
        <v/>
      </c>
    </row>
    <row r="931">
      <c r="A931">
        <f>IF(AND(LEN('Aides'!A431)&gt;0,ISNUMBER('Aides'!S431)),1,0)</f>
        <v/>
      </c>
      <c r="B931">
        <f>B930+A931</f>
        <v/>
      </c>
      <c r="C931">
        <f>IF(928&gt;$B$1503,"",MATCH(928-0.5,$B$3:$B$1503,1))</f>
        <v/>
      </c>
      <c r="D931">
        <f>"CPR / First Aid – "&amp;IF(LEN(INDEX('Aides'!$A$4:$A$503,428))=0,"",INDEX('Aides'!$A$4:$A$503,428))</f>
        <v/>
      </c>
      <c r="E931">
        <f>IF(ISNUMBER(INDEX('Aides'!$S$4:$S$503,428)),TEXT(INDEX('Aides'!$S$4:$S$503,428),"yyyy-mm-dd"),"")</f>
        <v/>
      </c>
      <c r="F931">
        <f>"Training"</f>
        <v/>
      </c>
      <c r="G931">
        <f>"Medium"</f>
        <v/>
      </c>
      <c r="H931">
        <f>TRIM(IF(LEN(IF(LEN(INDEX('Aides'!$U$4:$U$503,428))=0,"",INDEX('Aides'!$U$4:$U$503,428)))=0,"","Owner: "&amp;IF(LEN(INDEX('Aides'!$U$4:$U$503,428))=0,"",INDEX('Aides'!$U$4:$U$503,428))&amp;". "))</f>
        <v/>
      </c>
      <c r="I931">
        <f>""</f>
        <v/>
      </c>
      <c r="J931">
        <f>IF(LEN(INDEX('Aides'!$V$4:$V$503,428))=0,"",INDEX('Aides'!$V$4:$V$503,428))</f>
        <v/>
      </c>
    </row>
    <row r="932">
      <c r="A932">
        <f>IF(AND(LEN('Aides'!A432)&gt;0,ISNUMBER('Aides'!S432)),1,0)</f>
        <v/>
      </c>
      <c r="B932">
        <f>B931+A932</f>
        <v/>
      </c>
      <c r="C932">
        <f>IF(929&gt;$B$1503,"",MATCH(929-0.5,$B$3:$B$1503,1))</f>
        <v/>
      </c>
      <c r="D932">
        <f>"CPR / First Aid – "&amp;IF(LEN(INDEX('Aides'!$A$4:$A$503,429))=0,"",INDEX('Aides'!$A$4:$A$503,429))</f>
        <v/>
      </c>
      <c r="E932">
        <f>IF(ISNUMBER(INDEX('Aides'!$S$4:$S$503,429)),TEXT(INDEX('Aides'!$S$4:$S$503,429),"yyyy-mm-dd"),"")</f>
        <v/>
      </c>
      <c r="F932">
        <f>"Training"</f>
        <v/>
      </c>
      <c r="G932">
        <f>"Medium"</f>
        <v/>
      </c>
      <c r="H932">
        <f>TRIM(IF(LEN(IF(LEN(INDEX('Aides'!$U$4:$U$503,429))=0,"",INDEX('Aides'!$U$4:$U$503,429)))=0,"","Owner: "&amp;IF(LEN(INDEX('Aides'!$U$4:$U$503,429))=0,"",INDEX('Aides'!$U$4:$U$503,429))&amp;". "))</f>
        <v/>
      </c>
      <c r="I932">
        <f>""</f>
        <v/>
      </c>
      <c r="J932">
        <f>IF(LEN(INDEX('Aides'!$V$4:$V$503,429))=0,"",INDEX('Aides'!$V$4:$V$503,429))</f>
        <v/>
      </c>
    </row>
    <row r="933">
      <c r="A933">
        <f>IF(AND(LEN('Aides'!A433)&gt;0,ISNUMBER('Aides'!S433)),1,0)</f>
        <v/>
      </c>
      <c r="B933">
        <f>B932+A933</f>
        <v/>
      </c>
      <c r="C933">
        <f>IF(930&gt;$B$1503,"",MATCH(930-0.5,$B$3:$B$1503,1))</f>
        <v/>
      </c>
      <c r="D933">
        <f>"CPR / First Aid – "&amp;IF(LEN(INDEX('Aides'!$A$4:$A$503,430))=0,"",INDEX('Aides'!$A$4:$A$503,430))</f>
        <v/>
      </c>
      <c r="E933">
        <f>IF(ISNUMBER(INDEX('Aides'!$S$4:$S$503,430)),TEXT(INDEX('Aides'!$S$4:$S$503,430),"yyyy-mm-dd"),"")</f>
        <v/>
      </c>
      <c r="F933">
        <f>"Training"</f>
        <v/>
      </c>
      <c r="G933">
        <f>"Medium"</f>
        <v/>
      </c>
      <c r="H933">
        <f>TRIM(IF(LEN(IF(LEN(INDEX('Aides'!$U$4:$U$503,430))=0,"",INDEX('Aides'!$U$4:$U$503,430)))=0,"","Owner: "&amp;IF(LEN(INDEX('Aides'!$U$4:$U$503,430))=0,"",INDEX('Aides'!$U$4:$U$503,430))&amp;". "))</f>
        <v/>
      </c>
      <c r="I933">
        <f>""</f>
        <v/>
      </c>
      <c r="J933">
        <f>IF(LEN(INDEX('Aides'!$V$4:$V$503,430))=0,"",INDEX('Aides'!$V$4:$V$503,430))</f>
        <v/>
      </c>
    </row>
    <row r="934">
      <c r="A934">
        <f>IF(AND(LEN('Aides'!A434)&gt;0,ISNUMBER('Aides'!S434)),1,0)</f>
        <v/>
      </c>
      <c r="B934">
        <f>B933+A934</f>
        <v/>
      </c>
      <c r="C934">
        <f>IF(931&gt;$B$1503,"",MATCH(931-0.5,$B$3:$B$1503,1))</f>
        <v/>
      </c>
      <c r="D934">
        <f>"CPR / First Aid – "&amp;IF(LEN(INDEX('Aides'!$A$4:$A$503,431))=0,"",INDEX('Aides'!$A$4:$A$503,431))</f>
        <v/>
      </c>
      <c r="E934">
        <f>IF(ISNUMBER(INDEX('Aides'!$S$4:$S$503,431)),TEXT(INDEX('Aides'!$S$4:$S$503,431),"yyyy-mm-dd"),"")</f>
        <v/>
      </c>
      <c r="F934">
        <f>"Training"</f>
        <v/>
      </c>
      <c r="G934">
        <f>"Medium"</f>
        <v/>
      </c>
      <c r="H934">
        <f>TRIM(IF(LEN(IF(LEN(INDEX('Aides'!$U$4:$U$503,431))=0,"",INDEX('Aides'!$U$4:$U$503,431)))=0,"","Owner: "&amp;IF(LEN(INDEX('Aides'!$U$4:$U$503,431))=0,"",INDEX('Aides'!$U$4:$U$503,431))&amp;". "))</f>
        <v/>
      </c>
      <c r="I934">
        <f>""</f>
        <v/>
      </c>
      <c r="J934">
        <f>IF(LEN(INDEX('Aides'!$V$4:$V$503,431))=0,"",INDEX('Aides'!$V$4:$V$503,431))</f>
        <v/>
      </c>
    </row>
    <row r="935">
      <c r="A935">
        <f>IF(AND(LEN('Aides'!A435)&gt;0,ISNUMBER('Aides'!S435)),1,0)</f>
        <v/>
      </c>
      <c r="B935">
        <f>B934+A935</f>
        <v/>
      </c>
      <c r="C935">
        <f>IF(932&gt;$B$1503,"",MATCH(932-0.5,$B$3:$B$1503,1))</f>
        <v/>
      </c>
      <c r="D935">
        <f>"CPR / First Aid – "&amp;IF(LEN(INDEX('Aides'!$A$4:$A$503,432))=0,"",INDEX('Aides'!$A$4:$A$503,432))</f>
        <v/>
      </c>
      <c r="E935">
        <f>IF(ISNUMBER(INDEX('Aides'!$S$4:$S$503,432)),TEXT(INDEX('Aides'!$S$4:$S$503,432),"yyyy-mm-dd"),"")</f>
        <v/>
      </c>
      <c r="F935">
        <f>"Training"</f>
        <v/>
      </c>
      <c r="G935">
        <f>"Medium"</f>
        <v/>
      </c>
      <c r="H935">
        <f>TRIM(IF(LEN(IF(LEN(INDEX('Aides'!$U$4:$U$503,432))=0,"",INDEX('Aides'!$U$4:$U$503,432)))=0,"","Owner: "&amp;IF(LEN(INDEX('Aides'!$U$4:$U$503,432))=0,"",INDEX('Aides'!$U$4:$U$503,432))&amp;". "))</f>
        <v/>
      </c>
      <c r="I935">
        <f>""</f>
        <v/>
      </c>
      <c r="J935">
        <f>IF(LEN(INDEX('Aides'!$V$4:$V$503,432))=0,"",INDEX('Aides'!$V$4:$V$503,432))</f>
        <v/>
      </c>
    </row>
    <row r="936">
      <c r="A936">
        <f>IF(AND(LEN('Aides'!A436)&gt;0,ISNUMBER('Aides'!S436)),1,0)</f>
        <v/>
      </c>
      <c r="B936">
        <f>B935+A936</f>
        <v/>
      </c>
      <c r="C936">
        <f>IF(933&gt;$B$1503,"",MATCH(933-0.5,$B$3:$B$1503,1))</f>
        <v/>
      </c>
      <c r="D936">
        <f>"CPR / First Aid – "&amp;IF(LEN(INDEX('Aides'!$A$4:$A$503,433))=0,"",INDEX('Aides'!$A$4:$A$503,433))</f>
        <v/>
      </c>
      <c r="E936">
        <f>IF(ISNUMBER(INDEX('Aides'!$S$4:$S$503,433)),TEXT(INDEX('Aides'!$S$4:$S$503,433),"yyyy-mm-dd"),"")</f>
        <v/>
      </c>
      <c r="F936">
        <f>"Training"</f>
        <v/>
      </c>
      <c r="G936">
        <f>"Medium"</f>
        <v/>
      </c>
      <c r="H936">
        <f>TRIM(IF(LEN(IF(LEN(INDEX('Aides'!$U$4:$U$503,433))=0,"",INDEX('Aides'!$U$4:$U$503,433)))=0,"","Owner: "&amp;IF(LEN(INDEX('Aides'!$U$4:$U$503,433))=0,"",INDEX('Aides'!$U$4:$U$503,433))&amp;". "))</f>
        <v/>
      </c>
      <c r="I936">
        <f>""</f>
        <v/>
      </c>
      <c r="J936">
        <f>IF(LEN(INDEX('Aides'!$V$4:$V$503,433))=0,"",INDEX('Aides'!$V$4:$V$503,433))</f>
        <v/>
      </c>
    </row>
    <row r="937">
      <c r="A937">
        <f>IF(AND(LEN('Aides'!A437)&gt;0,ISNUMBER('Aides'!S437)),1,0)</f>
        <v/>
      </c>
      <c r="B937">
        <f>B936+A937</f>
        <v/>
      </c>
      <c r="C937">
        <f>IF(934&gt;$B$1503,"",MATCH(934-0.5,$B$3:$B$1503,1))</f>
        <v/>
      </c>
      <c r="D937">
        <f>"CPR / First Aid – "&amp;IF(LEN(INDEX('Aides'!$A$4:$A$503,434))=0,"",INDEX('Aides'!$A$4:$A$503,434))</f>
        <v/>
      </c>
      <c r="E937">
        <f>IF(ISNUMBER(INDEX('Aides'!$S$4:$S$503,434)),TEXT(INDEX('Aides'!$S$4:$S$503,434),"yyyy-mm-dd"),"")</f>
        <v/>
      </c>
      <c r="F937">
        <f>"Training"</f>
        <v/>
      </c>
      <c r="G937">
        <f>"Medium"</f>
        <v/>
      </c>
      <c r="H937">
        <f>TRIM(IF(LEN(IF(LEN(INDEX('Aides'!$U$4:$U$503,434))=0,"",INDEX('Aides'!$U$4:$U$503,434)))=0,"","Owner: "&amp;IF(LEN(INDEX('Aides'!$U$4:$U$503,434))=0,"",INDEX('Aides'!$U$4:$U$503,434))&amp;". "))</f>
        <v/>
      </c>
      <c r="I937">
        <f>""</f>
        <v/>
      </c>
      <c r="J937">
        <f>IF(LEN(INDEX('Aides'!$V$4:$V$503,434))=0,"",INDEX('Aides'!$V$4:$V$503,434))</f>
        <v/>
      </c>
    </row>
    <row r="938">
      <c r="A938">
        <f>IF(AND(LEN('Aides'!A438)&gt;0,ISNUMBER('Aides'!S438)),1,0)</f>
        <v/>
      </c>
      <c r="B938">
        <f>B937+A938</f>
        <v/>
      </c>
      <c r="C938">
        <f>IF(935&gt;$B$1503,"",MATCH(935-0.5,$B$3:$B$1503,1))</f>
        <v/>
      </c>
      <c r="D938">
        <f>"CPR / First Aid – "&amp;IF(LEN(INDEX('Aides'!$A$4:$A$503,435))=0,"",INDEX('Aides'!$A$4:$A$503,435))</f>
        <v/>
      </c>
      <c r="E938">
        <f>IF(ISNUMBER(INDEX('Aides'!$S$4:$S$503,435)),TEXT(INDEX('Aides'!$S$4:$S$503,435),"yyyy-mm-dd"),"")</f>
        <v/>
      </c>
      <c r="F938">
        <f>"Training"</f>
        <v/>
      </c>
      <c r="G938">
        <f>"Medium"</f>
        <v/>
      </c>
      <c r="H938">
        <f>TRIM(IF(LEN(IF(LEN(INDEX('Aides'!$U$4:$U$503,435))=0,"",INDEX('Aides'!$U$4:$U$503,435)))=0,"","Owner: "&amp;IF(LEN(INDEX('Aides'!$U$4:$U$503,435))=0,"",INDEX('Aides'!$U$4:$U$503,435))&amp;". "))</f>
        <v/>
      </c>
      <c r="I938">
        <f>""</f>
        <v/>
      </c>
      <c r="J938">
        <f>IF(LEN(INDEX('Aides'!$V$4:$V$503,435))=0,"",INDEX('Aides'!$V$4:$V$503,435))</f>
        <v/>
      </c>
    </row>
    <row r="939">
      <c r="A939">
        <f>IF(AND(LEN('Aides'!A439)&gt;0,ISNUMBER('Aides'!S439)),1,0)</f>
        <v/>
      </c>
      <c r="B939">
        <f>B938+A939</f>
        <v/>
      </c>
      <c r="C939">
        <f>IF(936&gt;$B$1503,"",MATCH(936-0.5,$B$3:$B$1503,1))</f>
        <v/>
      </c>
      <c r="D939">
        <f>"CPR / First Aid – "&amp;IF(LEN(INDEX('Aides'!$A$4:$A$503,436))=0,"",INDEX('Aides'!$A$4:$A$503,436))</f>
        <v/>
      </c>
      <c r="E939">
        <f>IF(ISNUMBER(INDEX('Aides'!$S$4:$S$503,436)),TEXT(INDEX('Aides'!$S$4:$S$503,436),"yyyy-mm-dd"),"")</f>
        <v/>
      </c>
      <c r="F939">
        <f>"Training"</f>
        <v/>
      </c>
      <c r="G939">
        <f>"Medium"</f>
        <v/>
      </c>
      <c r="H939">
        <f>TRIM(IF(LEN(IF(LEN(INDEX('Aides'!$U$4:$U$503,436))=0,"",INDEX('Aides'!$U$4:$U$503,436)))=0,"","Owner: "&amp;IF(LEN(INDEX('Aides'!$U$4:$U$503,436))=0,"",INDEX('Aides'!$U$4:$U$503,436))&amp;". "))</f>
        <v/>
      </c>
      <c r="I939">
        <f>""</f>
        <v/>
      </c>
      <c r="J939">
        <f>IF(LEN(INDEX('Aides'!$V$4:$V$503,436))=0,"",INDEX('Aides'!$V$4:$V$503,436))</f>
        <v/>
      </c>
    </row>
    <row r="940">
      <c r="A940">
        <f>IF(AND(LEN('Aides'!A440)&gt;0,ISNUMBER('Aides'!S440)),1,0)</f>
        <v/>
      </c>
      <c r="B940">
        <f>B939+A940</f>
        <v/>
      </c>
      <c r="C940">
        <f>IF(937&gt;$B$1503,"",MATCH(937-0.5,$B$3:$B$1503,1))</f>
        <v/>
      </c>
      <c r="D940">
        <f>"CPR / First Aid – "&amp;IF(LEN(INDEX('Aides'!$A$4:$A$503,437))=0,"",INDEX('Aides'!$A$4:$A$503,437))</f>
        <v/>
      </c>
      <c r="E940">
        <f>IF(ISNUMBER(INDEX('Aides'!$S$4:$S$503,437)),TEXT(INDEX('Aides'!$S$4:$S$503,437),"yyyy-mm-dd"),"")</f>
        <v/>
      </c>
      <c r="F940">
        <f>"Training"</f>
        <v/>
      </c>
      <c r="G940">
        <f>"Medium"</f>
        <v/>
      </c>
      <c r="H940">
        <f>TRIM(IF(LEN(IF(LEN(INDEX('Aides'!$U$4:$U$503,437))=0,"",INDEX('Aides'!$U$4:$U$503,437)))=0,"","Owner: "&amp;IF(LEN(INDEX('Aides'!$U$4:$U$503,437))=0,"",INDEX('Aides'!$U$4:$U$503,437))&amp;". "))</f>
        <v/>
      </c>
      <c r="I940">
        <f>""</f>
        <v/>
      </c>
      <c r="J940">
        <f>IF(LEN(INDEX('Aides'!$V$4:$V$503,437))=0,"",INDEX('Aides'!$V$4:$V$503,437))</f>
        <v/>
      </c>
    </row>
    <row r="941">
      <c r="A941">
        <f>IF(AND(LEN('Aides'!A441)&gt;0,ISNUMBER('Aides'!S441)),1,0)</f>
        <v/>
      </c>
      <c r="B941">
        <f>B940+A941</f>
        <v/>
      </c>
      <c r="C941">
        <f>IF(938&gt;$B$1503,"",MATCH(938-0.5,$B$3:$B$1503,1))</f>
        <v/>
      </c>
      <c r="D941">
        <f>"CPR / First Aid – "&amp;IF(LEN(INDEX('Aides'!$A$4:$A$503,438))=0,"",INDEX('Aides'!$A$4:$A$503,438))</f>
        <v/>
      </c>
      <c r="E941">
        <f>IF(ISNUMBER(INDEX('Aides'!$S$4:$S$503,438)),TEXT(INDEX('Aides'!$S$4:$S$503,438),"yyyy-mm-dd"),"")</f>
        <v/>
      </c>
      <c r="F941">
        <f>"Training"</f>
        <v/>
      </c>
      <c r="G941">
        <f>"Medium"</f>
        <v/>
      </c>
      <c r="H941">
        <f>TRIM(IF(LEN(IF(LEN(INDEX('Aides'!$U$4:$U$503,438))=0,"",INDEX('Aides'!$U$4:$U$503,438)))=0,"","Owner: "&amp;IF(LEN(INDEX('Aides'!$U$4:$U$503,438))=0,"",INDEX('Aides'!$U$4:$U$503,438))&amp;". "))</f>
        <v/>
      </c>
      <c r="I941">
        <f>""</f>
        <v/>
      </c>
      <c r="J941">
        <f>IF(LEN(INDEX('Aides'!$V$4:$V$503,438))=0,"",INDEX('Aides'!$V$4:$V$503,438))</f>
        <v/>
      </c>
    </row>
    <row r="942">
      <c r="A942">
        <f>IF(AND(LEN('Aides'!A442)&gt;0,ISNUMBER('Aides'!S442)),1,0)</f>
        <v/>
      </c>
      <c r="B942">
        <f>B941+A942</f>
        <v/>
      </c>
      <c r="C942">
        <f>IF(939&gt;$B$1503,"",MATCH(939-0.5,$B$3:$B$1503,1))</f>
        <v/>
      </c>
      <c r="D942">
        <f>"CPR / First Aid – "&amp;IF(LEN(INDEX('Aides'!$A$4:$A$503,439))=0,"",INDEX('Aides'!$A$4:$A$503,439))</f>
        <v/>
      </c>
      <c r="E942">
        <f>IF(ISNUMBER(INDEX('Aides'!$S$4:$S$503,439)),TEXT(INDEX('Aides'!$S$4:$S$503,439),"yyyy-mm-dd"),"")</f>
        <v/>
      </c>
      <c r="F942">
        <f>"Training"</f>
        <v/>
      </c>
      <c r="G942">
        <f>"Medium"</f>
        <v/>
      </c>
      <c r="H942">
        <f>TRIM(IF(LEN(IF(LEN(INDEX('Aides'!$U$4:$U$503,439))=0,"",INDEX('Aides'!$U$4:$U$503,439)))=0,"","Owner: "&amp;IF(LEN(INDEX('Aides'!$U$4:$U$503,439))=0,"",INDEX('Aides'!$U$4:$U$503,439))&amp;". "))</f>
        <v/>
      </c>
      <c r="I942">
        <f>""</f>
        <v/>
      </c>
      <c r="J942">
        <f>IF(LEN(INDEX('Aides'!$V$4:$V$503,439))=0,"",INDEX('Aides'!$V$4:$V$503,439))</f>
        <v/>
      </c>
    </row>
    <row r="943">
      <c r="A943">
        <f>IF(AND(LEN('Aides'!A443)&gt;0,ISNUMBER('Aides'!S443)),1,0)</f>
        <v/>
      </c>
      <c r="B943">
        <f>B942+A943</f>
        <v/>
      </c>
      <c r="C943">
        <f>IF(940&gt;$B$1503,"",MATCH(940-0.5,$B$3:$B$1503,1))</f>
        <v/>
      </c>
      <c r="D943">
        <f>"CPR / First Aid – "&amp;IF(LEN(INDEX('Aides'!$A$4:$A$503,440))=0,"",INDEX('Aides'!$A$4:$A$503,440))</f>
        <v/>
      </c>
      <c r="E943">
        <f>IF(ISNUMBER(INDEX('Aides'!$S$4:$S$503,440)),TEXT(INDEX('Aides'!$S$4:$S$503,440),"yyyy-mm-dd"),"")</f>
        <v/>
      </c>
      <c r="F943">
        <f>"Training"</f>
        <v/>
      </c>
      <c r="G943">
        <f>"Medium"</f>
        <v/>
      </c>
      <c r="H943">
        <f>TRIM(IF(LEN(IF(LEN(INDEX('Aides'!$U$4:$U$503,440))=0,"",INDEX('Aides'!$U$4:$U$503,440)))=0,"","Owner: "&amp;IF(LEN(INDEX('Aides'!$U$4:$U$503,440))=0,"",INDEX('Aides'!$U$4:$U$503,440))&amp;". "))</f>
        <v/>
      </c>
      <c r="I943">
        <f>""</f>
        <v/>
      </c>
      <c r="J943">
        <f>IF(LEN(INDEX('Aides'!$V$4:$V$503,440))=0,"",INDEX('Aides'!$V$4:$V$503,440))</f>
        <v/>
      </c>
    </row>
    <row r="944">
      <c r="A944">
        <f>IF(AND(LEN('Aides'!A444)&gt;0,ISNUMBER('Aides'!S444)),1,0)</f>
        <v/>
      </c>
      <c r="B944">
        <f>B943+A944</f>
        <v/>
      </c>
      <c r="C944">
        <f>IF(941&gt;$B$1503,"",MATCH(941-0.5,$B$3:$B$1503,1))</f>
        <v/>
      </c>
      <c r="D944">
        <f>"CPR / First Aid – "&amp;IF(LEN(INDEX('Aides'!$A$4:$A$503,441))=0,"",INDEX('Aides'!$A$4:$A$503,441))</f>
        <v/>
      </c>
      <c r="E944">
        <f>IF(ISNUMBER(INDEX('Aides'!$S$4:$S$503,441)),TEXT(INDEX('Aides'!$S$4:$S$503,441),"yyyy-mm-dd"),"")</f>
        <v/>
      </c>
      <c r="F944">
        <f>"Training"</f>
        <v/>
      </c>
      <c r="G944">
        <f>"Medium"</f>
        <v/>
      </c>
      <c r="H944">
        <f>TRIM(IF(LEN(IF(LEN(INDEX('Aides'!$U$4:$U$503,441))=0,"",INDEX('Aides'!$U$4:$U$503,441)))=0,"","Owner: "&amp;IF(LEN(INDEX('Aides'!$U$4:$U$503,441))=0,"",INDEX('Aides'!$U$4:$U$503,441))&amp;". "))</f>
        <v/>
      </c>
      <c r="I944">
        <f>""</f>
        <v/>
      </c>
      <c r="J944">
        <f>IF(LEN(INDEX('Aides'!$V$4:$V$503,441))=0,"",INDEX('Aides'!$V$4:$V$503,441))</f>
        <v/>
      </c>
    </row>
    <row r="945">
      <c r="A945">
        <f>IF(AND(LEN('Aides'!A445)&gt;0,ISNUMBER('Aides'!S445)),1,0)</f>
        <v/>
      </c>
      <c r="B945">
        <f>B944+A945</f>
        <v/>
      </c>
      <c r="C945">
        <f>IF(942&gt;$B$1503,"",MATCH(942-0.5,$B$3:$B$1503,1))</f>
        <v/>
      </c>
      <c r="D945">
        <f>"CPR / First Aid – "&amp;IF(LEN(INDEX('Aides'!$A$4:$A$503,442))=0,"",INDEX('Aides'!$A$4:$A$503,442))</f>
        <v/>
      </c>
      <c r="E945">
        <f>IF(ISNUMBER(INDEX('Aides'!$S$4:$S$503,442)),TEXT(INDEX('Aides'!$S$4:$S$503,442),"yyyy-mm-dd"),"")</f>
        <v/>
      </c>
      <c r="F945">
        <f>"Training"</f>
        <v/>
      </c>
      <c r="G945">
        <f>"Medium"</f>
        <v/>
      </c>
      <c r="H945">
        <f>TRIM(IF(LEN(IF(LEN(INDEX('Aides'!$U$4:$U$503,442))=0,"",INDEX('Aides'!$U$4:$U$503,442)))=0,"","Owner: "&amp;IF(LEN(INDEX('Aides'!$U$4:$U$503,442))=0,"",INDEX('Aides'!$U$4:$U$503,442))&amp;". "))</f>
        <v/>
      </c>
      <c r="I945">
        <f>""</f>
        <v/>
      </c>
      <c r="J945">
        <f>IF(LEN(INDEX('Aides'!$V$4:$V$503,442))=0,"",INDEX('Aides'!$V$4:$V$503,442))</f>
        <v/>
      </c>
    </row>
    <row r="946">
      <c r="A946">
        <f>IF(AND(LEN('Aides'!A446)&gt;0,ISNUMBER('Aides'!S446)),1,0)</f>
        <v/>
      </c>
      <c r="B946">
        <f>B945+A946</f>
        <v/>
      </c>
      <c r="C946">
        <f>IF(943&gt;$B$1503,"",MATCH(943-0.5,$B$3:$B$1503,1))</f>
        <v/>
      </c>
      <c r="D946">
        <f>"CPR / First Aid – "&amp;IF(LEN(INDEX('Aides'!$A$4:$A$503,443))=0,"",INDEX('Aides'!$A$4:$A$503,443))</f>
        <v/>
      </c>
      <c r="E946">
        <f>IF(ISNUMBER(INDEX('Aides'!$S$4:$S$503,443)),TEXT(INDEX('Aides'!$S$4:$S$503,443),"yyyy-mm-dd"),"")</f>
        <v/>
      </c>
      <c r="F946">
        <f>"Training"</f>
        <v/>
      </c>
      <c r="G946">
        <f>"Medium"</f>
        <v/>
      </c>
      <c r="H946">
        <f>TRIM(IF(LEN(IF(LEN(INDEX('Aides'!$U$4:$U$503,443))=0,"",INDEX('Aides'!$U$4:$U$503,443)))=0,"","Owner: "&amp;IF(LEN(INDEX('Aides'!$U$4:$U$503,443))=0,"",INDEX('Aides'!$U$4:$U$503,443))&amp;". "))</f>
        <v/>
      </c>
      <c r="I946">
        <f>""</f>
        <v/>
      </c>
      <c r="J946">
        <f>IF(LEN(INDEX('Aides'!$V$4:$V$503,443))=0,"",INDEX('Aides'!$V$4:$V$503,443))</f>
        <v/>
      </c>
    </row>
    <row r="947">
      <c r="A947">
        <f>IF(AND(LEN('Aides'!A447)&gt;0,ISNUMBER('Aides'!S447)),1,0)</f>
        <v/>
      </c>
      <c r="B947">
        <f>B946+A947</f>
        <v/>
      </c>
      <c r="C947">
        <f>IF(944&gt;$B$1503,"",MATCH(944-0.5,$B$3:$B$1503,1))</f>
        <v/>
      </c>
      <c r="D947">
        <f>"CPR / First Aid – "&amp;IF(LEN(INDEX('Aides'!$A$4:$A$503,444))=0,"",INDEX('Aides'!$A$4:$A$503,444))</f>
        <v/>
      </c>
      <c r="E947">
        <f>IF(ISNUMBER(INDEX('Aides'!$S$4:$S$503,444)),TEXT(INDEX('Aides'!$S$4:$S$503,444),"yyyy-mm-dd"),"")</f>
        <v/>
      </c>
      <c r="F947">
        <f>"Training"</f>
        <v/>
      </c>
      <c r="G947">
        <f>"Medium"</f>
        <v/>
      </c>
      <c r="H947">
        <f>TRIM(IF(LEN(IF(LEN(INDEX('Aides'!$U$4:$U$503,444))=0,"",INDEX('Aides'!$U$4:$U$503,444)))=0,"","Owner: "&amp;IF(LEN(INDEX('Aides'!$U$4:$U$503,444))=0,"",INDEX('Aides'!$U$4:$U$503,444))&amp;". "))</f>
        <v/>
      </c>
      <c r="I947">
        <f>""</f>
        <v/>
      </c>
      <c r="J947">
        <f>IF(LEN(INDEX('Aides'!$V$4:$V$503,444))=0,"",INDEX('Aides'!$V$4:$V$503,444))</f>
        <v/>
      </c>
    </row>
    <row r="948">
      <c r="A948">
        <f>IF(AND(LEN('Aides'!A448)&gt;0,ISNUMBER('Aides'!S448)),1,0)</f>
        <v/>
      </c>
      <c r="B948">
        <f>B947+A948</f>
        <v/>
      </c>
      <c r="C948">
        <f>IF(945&gt;$B$1503,"",MATCH(945-0.5,$B$3:$B$1503,1))</f>
        <v/>
      </c>
      <c r="D948">
        <f>"CPR / First Aid – "&amp;IF(LEN(INDEX('Aides'!$A$4:$A$503,445))=0,"",INDEX('Aides'!$A$4:$A$503,445))</f>
        <v/>
      </c>
      <c r="E948">
        <f>IF(ISNUMBER(INDEX('Aides'!$S$4:$S$503,445)),TEXT(INDEX('Aides'!$S$4:$S$503,445),"yyyy-mm-dd"),"")</f>
        <v/>
      </c>
      <c r="F948">
        <f>"Training"</f>
        <v/>
      </c>
      <c r="G948">
        <f>"Medium"</f>
        <v/>
      </c>
      <c r="H948">
        <f>TRIM(IF(LEN(IF(LEN(INDEX('Aides'!$U$4:$U$503,445))=0,"",INDEX('Aides'!$U$4:$U$503,445)))=0,"","Owner: "&amp;IF(LEN(INDEX('Aides'!$U$4:$U$503,445))=0,"",INDEX('Aides'!$U$4:$U$503,445))&amp;". "))</f>
        <v/>
      </c>
      <c r="I948">
        <f>""</f>
        <v/>
      </c>
      <c r="J948">
        <f>IF(LEN(INDEX('Aides'!$V$4:$V$503,445))=0,"",INDEX('Aides'!$V$4:$V$503,445))</f>
        <v/>
      </c>
    </row>
    <row r="949">
      <c r="A949">
        <f>IF(AND(LEN('Aides'!A449)&gt;0,ISNUMBER('Aides'!S449)),1,0)</f>
        <v/>
      </c>
      <c r="B949">
        <f>B948+A949</f>
        <v/>
      </c>
      <c r="C949">
        <f>IF(946&gt;$B$1503,"",MATCH(946-0.5,$B$3:$B$1503,1))</f>
        <v/>
      </c>
      <c r="D949">
        <f>"CPR / First Aid – "&amp;IF(LEN(INDEX('Aides'!$A$4:$A$503,446))=0,"",INDEX('Aides'!$A$4:$A$503,446))</f>
        <v/>
      </c>
      <c r="E949">
        <f>IF(ISNUMBER(INDEX('Aides'!$S$4:$S$503,446)),TEXT(INDEX('Aides'!$S$4:$S$503,446),"yyyy-mm-dd"),"")</f>
        <v/>
      </c>
      <c r="F949">
        <f>"Training"</f>
        <v/>
      </c>
      <c r="G949">
        <f>"Medium"</f>
        <v/>
      </c>
      <c r="H949">
        <f>TRIM(IF(LEN(IF(LEN(INDEX('Aides'!$U$4:$U$503,446))=0,"",INDEX('Aides'!$U$4:$U$503,446)))=0,"","Owner: "&amp;IF(LEN(INDEX('Aides'!$U$4:$U$503,446))=0,"",INDEX('Aides'!$U$4:$U$503,446))&amp;". "))</f>
        <v/>
      </c>
      <c r="I949">
        <f>""</f>
        <v/>
      </c>
      <c r="J949">
        <f>IF(LEN(INDEX('Aides'!$V$4:$V$503,446))=0,"",INDEX('Aides'!$V$4:$V$503,446))</f>
        <v/>
      </c>
    </row>
    <row r="950">
      <c r="A950">
        <f>IF(AND(LEN('Aides'!A450)&gt;0,ISNUMBER('Aides'!S450)),1,0)</f>
        <v/>
      </c>
      <c r="B950">
        <f>B949+A950</f>
        <v/>
      </c>
      <c r="C950">
        <f>IF(947&gt;$B$1503,"",MATCH(947-0.5,$B$3:$B$1503,1))</f>
        <v/>
      </c>
      <c r="D950">
        <f>"CPR / First Aid – "&amp;IF(LEN(INDEX('Aides'!$A$4:$A$503,447))=0,"",INDEX('Aides'!$A$4:$A$503,447))</f>
        <v/>
      </c>
      <c r="E950">
        <f>IF(ISNUMBER(INDEX('Aides'!$S$4:$S$503,447)),TEXT(INDEX('Aides'!$S$4:$S$503,447),"yyyy-mm-dd"),"")</f>
        <v/>
      </c>
      <c r="F950">
        <f>"Training"</f>
        <v/>
      </c>
      <c r="G950">
        <f>"Medium"</f>
        <v/>
      </c>
      <c r="H950">
        <f>TRIM(IF(LEN(IF(LEN(INDEX('Aides'!$U$4:$U$503,447))=0,"",INDEX('Aides'!$U$4:$U$503,447)))=0,"","Owner: "&amp;IF(LEN(INDEX('Aides'!$U$4:$U$503,447))=0,"",INDEX('Aides'!$U$4:$U$503,447))&amp;". "))</f>
        <v/>
      </c>
      <c r="I950">
        <f>""</f>
        <v/>
      </c>
      <c r="J950">
        <f>IF(LEN(INDEX('Aides'!$V$4:$V$503,447))=0,"",INDEX('Aides'!$V$4:$V$503,447))</f>
        <v/>
      </c>
    </row>
    <row r="951">
      <c r="A951">
        <f>IF(AND(LEN('Aides'!A451)&gt;0,ISNUMBER('Aides'!S451)),1,0)</f>
        <v/>
      </c>
      <c r="B951">
        <f>B950+A951</f>
        <v/>
      </c>
      <c r="C951">
        <f>IF(948&gt;$B$1503,"",MATCH(948-0.5,$B$3:$B$1503,1))</f>
        <v/>
      </c>
      <c r="D951">
        <f>"CPR / First Aid – "&amp;IF(LEN(INDEX('Aides'!$A$4:$A$503,448))=0,"",INDEX('Aides'!$A$4:$A$503,448))</f>
        <v/>
      </c>
      <c r="E951">
        <f>IF(ISNUMBER(INDEX('Aides'!$S$4:$S$503,448)),TEXT(INDEX('Aides'!$S$4:$S$503,448),"yyyy-mm-dd"),"")</f>
        <v/>
      </c>
      <c r="F951">
        <f>"Training"</f>
        <v/>
      </c>
      <c r="G951">
        <f>"Medium"</f>
        <v/>
      </c>
      <c r="H951">
        <f>TRIM(IF(LEN(IF(LEN(INDEX('Aides'!$U$4:$U$503,448))=0,"",INDEX('Aides'!$U$4:$U$503,448)))=0,"","Owner: "&amp;IF(LEN(INDEX('Aides'!$U$4:$U$503,448))=0,"",INDEX('Aides'!$U$4:$U$503,448))&amp;". "))</f>
        <v/>
      </c>
      <c r="I951">
        <f>""</f>
        <v/>
      </c>
      <c r="J951">
        <f>IF(LEN(INDEX('Aides'!$V$4:$V$503,448))=0,"",INDEX('Aides'!$V$4:$V$503,448))</f>
        <v/>
      </c>
    </row>
    <row r="952">
      <c r="A952">
        <f>IF(AND(LEN('Aides'!A452)&gt;0,ISNUMBER('Aides'!S452)),1,0)</f>
        <v/>
      </c>
      <c r="B952">
        <f>B951+A952</f>
        <v/>
      </c>
      <c r="C952">
        <f>IF(949&gt;$B$1503,"",MATCH(949-0.5,$B$3:$B$1503,1))</f>
        <v/>
      </c>
      <c r="D952">
        <f>"CPR / First Aid – "&amp;IF(LEN(INDEX('Aides'!$A$4:$A$503,449))=0,"",INDEX('Aides'!$A$4:$A$503,449))</f>
        <v/>
      </c>
      <c r="E952">
        <f>IF(ISNUMBER(INDEX('Aides'!$S$4:$S$503,449)),TEXT(INDEX('Aides'!$S$4:$S$503,449),"yyyy-mm-dd"),"")</f>
        <v/>
      </c>
      <c r="F952">
        <f>"Training"</f>
        <v/>
      </c>
      <c r="G952">
        <f>"Medium"</f>
        <v/>
      </c>
      <c r="H952">
        <f>TRIM(IF(LEN(IF(LEN(INDEX('Aides'!$U$4:$U$503,449))=0,"",INDEX('Aides'!$U$4:$U$503,449)))=0,"","Owner: "&amp;IF(LEN(INDEX('Aides'!$U$4:$U$503,449))=0,"",INDEX('Aides'!$U$4:$U$503,449))&amp;". "))</f>
        <v/>
      </c>
      <c r="I952">
        <f>""</f>
        <v/>
      </c>
      <c r="J952">
        <f>IF(LEN(INDEX('Aides'!$V$4:$V$503,449))=0,"",INDEX('Aides'!$V$4:$V$503,449))</f>
        <v/>
      </c>
    </row>
    <row r="953">
      <c r="A953">
        <f>IF(AND(LEN('Aides'!A453)&gt;0,ISNUMBER('Aides'!S453)),1,0)</f>
        <v/>
      </c>
      <c r="B953">
        <f>B952+A953</f>
        <v/>
      </c>
      <c r="C953">
        <f>IF(950&gt;$B$1503,"",MATCH(950-0.5,$B$3:$B$1503,1))</f>
        <v/>
      </c>
      <c r="D953">
        <f>"CPR / First Aid – "&amp;IF(LEN(INDEX('Aides'!$A$4:$A$503,450))=0,"",INDEX('Aides'!$A$4:$A$503,450))</f>
        <v/>
      </c>
      <c r="E953">
        <f>IF(ISNUMBER(INDEX('Aides'!$S$4:$S$503,450)),TEXT(INDEX('Aides'!$S$4:$S$503,450),"yyyy-mm-dd"),"")</f>
        <v/>
      </c>
      <c r="F953">
        <f>"Training"</f>
        <v/>
      </c>
      <c r="G953">
        <f>"Medium"</f>
        <v/>
      </c>
      <c r="H953">
        <f>TRIM(IF(LEN(IF(LEN(INDEX('Aides'!$U$4:$U$503,450))=0,"",INDEX('Aides'!$U$4:$U$503,450)))=0,"","Owner: "&amp;IF(LEN(INDEX('Aides'!$U$4:$U$503,450))=0,"",INDEX('Aides'!$U$4:$U$503,450))&amp;". "))</f>
        <v/>
      </c>
      <c r="I953">
        <f>""</f>
        <v/>
      </c>
      <c r="J953">
        <f>IF(LEN(INDEX('Aides'!$V$4:$V$503,450))=0,"",INDEX('Aides'!$V$4:$V$503,450))</f>
        <v/>
      </c>
    </row>
    <row r="954">
      <c r="A954">
        <f>IF(AND(LEN('Aides'!A454)&gt;0,ISNUMBER('Aides'!S454)),1,0)</f>
        <v/>
      </c>
      <c r="B954">
        <f>B953+A954</f>
        <v/>
      </c>
      <c r="C954">
        <f>IF(951&gt;$B$1503,"",MATCH(951-0.5,$B$3:$B$1503,1))</f>
        <v/>
      </c>
      <c r="D954">
        <f>"CPR / First Aid – "&amp;IF(LEN(INDEX('Aides'!$A$4:$A$503,451))=0,"",INDEX('Aides'!$A$4:$A$503,451))</f>
        <v/>
      </c>
      <c r="E954">
        <f>IF(ISNUMBER(INDEX('Aides'!$S$4:$S$503,451)),TEXT(INDEX('Aides'!$S$4:$S$503,451),"yyyy-mm-dd"),"")</f>
        <v/>
      </c>
      <c r="F954">
        <f>"Training"</f>
        <v/>
      </c>
      <c r="G954">
        <f>"Medium"</f>
        <v/>
      </c>
      <c r="H954">
        <f>TRIM(IF(LEN(IF(LEN(INDEX('Aides'!$U$4:$U$503,451))=0,"",INDEX('Aides'!$U$4:$U$503,451)))=0,"","Owner: "&amp;IF(LEN(INDEX('Aides'!$U$4:$U$503,451))=0,"",INDEX('Aides'!$U$4:$U$503,451))&amp;". "))</f>
        <v/>
      </c>
      <c r="I954">
        <f>""</f>
        <v/>
      </c>
      <c r="J954">
        <f>IF(LEN(INDEX('Aides'!$V$4:$V$503,451))=0,"",INDEX('Aides'!$V$4:$V$503,451))</f>
        <v/>
      </c>
    </row>
    <row r="955">
      <c r="A955">
        <f>IF(AND(LEN('Aides'!A455)&gt;0,ISNUMBER('Aides'!S455)),1,0)</f>
        <v/>
      </c>
      <c r="B955">
        <f>B954+A955</f>
        <v/>
      </c>
      <c r="C955">
        <f>IF(952&gt;$B$1503,"",MATCH(952-0.5,$B$3:$B$1503,1))</f>
        <v/>
      </c>
      <c r="D955">
        <f>"CPR / First Aid – "&amp;IF(LEN(INDEX('Aides'!$A$4:$A$503,452))=0,"",INDEX('Aides'!$A$4:$A$503,452))</f>
        <v/>
      </c>
      <c r="E955">
        <f>IF(ISNUMBER(INDEX('Aides'!$S$4:$S$503,452)),TEXT(INDEX('Aides'!$S$4:$S$503,452),"yyyy-mm-dd"),"")</f>
        <v/>
      </c>
      <c r="F955">
        <f>"Training"</f>
        <v/>
      </c>
      <c r="G955">
        <f>"Medium"</f>
        <v/>
      </c>
      <c r="H955">
        <f>TRIM(IF(LEN(IF(LEN(INDEX('Aides'!$U$4:$U$503,452))=0,"",INDEX('Aides'!$U$4:$U$503,452)))=0,"","Owner: "&amp;IF(LEN(INDEX('Aides'!$U$4:$U$503,452))=0,"",INDEX('Aides'!$U$4:$U$503,452))&amp;". "))</f>
        <v/>
      </c>
      <c r="I955">
        <f>""</f>
        <v/>
      </c>
      <c r="J955">
        <f>IF(LEN(INDEX('Aides'!$V$4:$V$503,452))=0,"",INDEX('Aides'!$V$4:$V$503,452))</f>
        <v/>
      </c>
    </row>
    <row r="956">
      <c r="A956">
        <f>IF(AND(LEN('Aides'!A456)&gt;0,ISNUMBER('Aides'!S456)),1,0)</f>
        <v/>
      </c>
      <c r="B956">
        <f>B955+A956</f>
        <v/>
      </c>
      <c r="C956">
        <f>IF(953&gt;$B$1503,"",MATCH(953-0.5,$B$3:$B$1503,1))</f>
        <v/>
      </c>
      <c r="D956">
        <f>"CPR / First Aid – "&amp;IF(LEN(INDEX('Aides'!$A$4:$A$503,453))=0,"",INDEX('Aides'!$A$4:$A$503,453))</f>
        <v/>
      </c>
      <c r="E956">
        <f>IF(ISNUMBER(INDEX('Aides'!$S$4:$S$503,453)),TEXT(INDEX('Aides'!$S$4:$S$503,453),"yyyy-mm-dd"),"")</f>
        <v/>
      </c>
      <c r="F956">
        <f>"Training"</f>
        <v/>
      </c>
      <c r="G956">
        <f>"Medium"</f>
        <v/>
      </c>
      <c r="H956">
        <f>TRIM(IF(LEN(IF(LEN(INDEX('Aides'!$U$4:$U$503,453))=0,"",INDEX('Aides'!$U$4:$U$503,453)))=0,"","Owner: "&amp;IF(LEN(INDEX('Aides'!$U$4:$U$503,453))=0,"",INDEX('Aides'!$U$4:$U$503,453))&amp;". "))</f>
        <v/>
      </c>
      <c r="I956">
        <f>""</f>
        <v/>
      </c>
      <c r="J956">
        <f>IF(LEN(INDEX('Aides'!$V$4:$V$503,453))=0,"",INDEX('Aides'!$V$4:$V$503,453))</f>
        <v/>
      </c>
    </row>
    <row r="957">
      <c r="A957">
        <f>IF(AND(LEN('Aides'!A457)&gt;0,ISNUMBER('Aides'!S457)),1,0)</f>
        <v/>
      </c>
      <c r="B957">
        <f>B956+A957</f>
        <v/>
      </c>
      <c r="C957">
        <f>IF(954&gt;$B$1503,"",MATCH(954-0.5,$B$3:$B$1503,1))</f>
        <v/>
      </c>
      <c r="D957">
        <f>"CPR / First Aid – "&amp;IF(LEN(INDEX('Aides'!$A$4:$A$503,454))=0,"",INDEX('Aides'!$A$4:$A$503,454))</f>
        <v/>
      </c>
      <c r="E957">
        <f>IF(ISNUMBER(INDEX('Aides'!$S$4:$S$503,454)),TEXT(INDEX('Aides'!$S$4:$S$503,454),"yyyy-mm-dd"),"")</f>
        <v/>
      </c>
      <c r="F957">
        <f>"Training"</f>
        <v/>
      </c>
      <c r="G957">
        <f>"Medium"</f>
        <v/>
      </c>
      <c r="H957">
        <f>TRIM(IF(LEN(IF(LEN(INDEX('Aides'!$U$4:$U$503,454))=0,"",INDEX('Aides'!$U$4:$U$503,454)))=0,"","Owner: "&amp;IF(LEN(INDEX('Aides'!$U$4:$U$503,454))=0,"",INDEX('Aides'!$U$4:$U$503,454))&amp;". "))</f>
        <v/>
      </c>
      <c r="I957">
        <f>""</f>
        <v/>
      </c>
      <c r="J957">
        <f>IF(LEN(INDEX('Aides'!$V$4:$V$503,454))=0,"",INDEX('Aides'!$V$4:$V$503,454))</f>
        <v/>
      </c>
    </row>
    <row r="958">
      <c r="A958">
        <f>IF(AND(LEN('Aides'!A458)&gt;0,ISNUMBER('Aides'!S458)),1,0)</f>
        <v/>
      </c>
      <c r="B958">
        <f>B957+A958</f>
        <v/>
      </c>
      <c r="C958">
        <f>IF(955&gt;$B$1503,"",MATCH(955-0.5,$B$3:$B$1503,1))</f>
        <v/>
      </c>
      <c r="D958">
        <f>"CPR / First Aid – "&amp;IF(LEN(INDEX('Aides'!$A$4:$A$503,455))=0,"",INDEX('Aides'!$A$4:$A$503,455))</f>
        <v/>
      </c>
      <c r="E958">
        <f>IF(ISNUMBER(INDEX('Aides'!$S$4:$S$503,455)),TEXT(INDEX('Aides'!$S$4:$S$503,455),"yyyy-mm-dd"),"")</f>
        <v/>
      </c>
      <c r="F958">
        <f>"Training"</f>
        <v/>
      </c>
      <c r="G958">
        <f>"Medium"</f>
        <v/>
      </c>
      <c r="H958">
        <f>TRIM(IF(LEN(IF(LEN(INDEX('Aides'!$U$4:$U$503,455))=0,"",INDEX('Aides'!$U$4:$U$503,455)))=0,"","Owner: "&amp;IF(LEN(INDEX('Aides'!$U$4:$U$503,455))=0,"",INDEX('Aides'!$U$4:$U$503,455))&amp;". "))</f>
        <v/>
      </c>
      <c r="I958">
        <f>""</f>
        <v/>
      </c>
      <c r="J958">
        <f>IF(LEN(INDEX('Aides'!$V$4:$V$503,455))=0,"",INDEX('Aides'!$V$4:$V$503,455))</f>
        <v/>
      </c>
    </row>
    <row r="959">
      <c r="A959">
        <f>IF(AND(LEN('Aides'!A459)&gt;0,ISNUMBER('Aides'!S459)),1,0)</f>
        <v/>
      </c>
      <c r="B959">
        <f>B958+A959</f>
        <v/>
      </c>
      <c r="C959">
        <f>IF(956&gt;$B$1503,"",MATCH(956-0.5,$B$3:$B$1503,1))</f>
        <v/>
      </c>
      <c r="D959">
        <f>"CPR / First Aid – "&amp;IF(LEN(INDEX('Aides'!$A$4:$A$503,456))=0,"",INDEX('Aides'!$A$4:$A$503,456))</f>
        <v/>
      </c>
      <c r="E959">
        <f>IF(ISNUMBER(INDEX('Aides'!$S$4:$S$503,456)),TEXT(INDEX('Aides'!$S$4:$S$503,456),"yyyy-mm-dd"),"")</f>
        <v/>
      </c>
      <c r="F959">
        <f>"Training"</f>
        <v/>
      </c>
      <c r="G959">
        <f>"Medium"</f>
        <v/>
      </c>
      <c r="H959">
        <f>TRIM(IF(LEN(IF(LEN(INDEX('Aides'!$U$4:$U$503,456))=0,"",INDEX('Aides'!$U$4:$U$503,456)))=0,"","Owner: "&amp;IF(LEN(INDEX('Aides'!$U$4:$U$503,456))=0,"",INDEX('Aides'!$U$4:$U$503,456))&amp;". "))</f>
        <v/>
      </c>
      <c r="I959">
        <f>""</f>
        <v/>
      </c>
      <c r="J959">
        <f>IF(LEN(INDEX('Aides'!$V$4:$V$503,456))=0,"",INDEX('Aides'!$V$4:$V$503,456))</f>
        <v/>
      </c>
    </row>
    <row r="960">
      <c r="A960">
        <f>IF(AND(LEN('Aides'!A460)&gt;0,ISNUMBER('Aides'!S460)),1,0)</f>
        <v/>
      </c>
      <c r="B960">
        <f>B959+A960</f>
        <v/>
      </c>
      <c r="C960">
        <f>IF(957&gt;$B$1503,"",MATCH(957-0.5,$B$3:$B$1503,1))</f>
        <v/>
      </c>
      <c r="D960">
        <f>"CPR / First Aid – "&amp;IF(LEN(INDEX('Aides'!$A$4:$A$503,457))=0,"",INDEX('Aides'!$A$4:$A$503,457))</f>
        <v/>
      </c>
      <c r="E960">
        <f>IF(ISNUMBER(INDEX('Aides'!$S$4:$S$503,457)),TEXT(INDEX('Aides'!$S$4:$S$503,457),"yyyy-mm-dd"),"")</f>
        <v/>
      </c>
      <c r="F960">
        <f>"Training"</f>
        <v/>
      </c>
      <c r="G960">
        <f>"Medium"</f>
        <v/>
      </c>
      <c r="H960">
        <f>TRIM(IF(LEN(IF(LEN(INDEX('Aides'!$U$4:$U$503,457))=0,"",INDEX('Aides'!$U$4:$U$503,457)))=0,"","Owner: "&amp;IF(LEN(INDEX('Aides'!$U$4:$U$503,457))=0,"",INDEX('Aides'!$U$4:$U$503,457))&amp;". "))</f>
        <v/>
      </c>
      <c r="I960">
        <f>""</f>
        <v/>
      </c>
      <c r="J960">
        <f>IF(LEN(INDEX('Aides'!$V$4:$V$503,457))=0,"",INDEX('Aides'!$V$4:$V$503,457))</f>
        <v/>
      </c>
    </row>
    <row r="961">
      <c r="A961">
        <f>IF(AND(LEN('Aides'!A461)&gt;0,ISNUMBER('Aides'!S461)),1,0)</f>
        <v/>
      </c>
      <c r="B961">
        <f>B960+A961</f>
        <v/>
      </c>
      <c r="C961">
        <f>IF(958&gt;$B$1503,"",MATCH(958-0.5,$B$3:$B$1503,1))</f>
        <v/>
      </c>
      <c r="D961">
        <f>"CPR / First Aid – "&amp;IF(LEN(INDEX('Aides'!$A$4:$A$503,458))=0,"",INDEX('Aides'!$A$4:$A$503,458))</f>
        <v/>
      </c>
      <c r="E961">
        <f>IF(ISNUMBER(INDEX('Aides'!$S$4:$S$503,458)),TEXT(INDEX('Aides'!$S$4:$S$503,458),"yyyy-mm-dd"),"")</f>
        <v/>
      </c>
      <c r="F961">
        <f>"Training"</f>
        <v/>
      </c>
      <c r="G961">
        <f>"Medium"</f>
        <v/>
      </c>
      <c r="H961">
        <f>TRIM(IF(LEN(IF(LEN(INDEX('Aides'!$U$4:$U$503,458))=0,"",INDEX('Aides'!$U$4:$U$503,458)))=0,"","Owner: "&amp;IF(LEN(INDEX('Aides'!$U$4:$U$503,458))=0,"",INDEX('Aides'!$U$4:$U$503,458))&amp;". "))</f>
        <v/>
      </c>
      <c r="I961">
        <f>""</f>
        <v/>
      </c>
      <c r="J961">
        <f>IF(LEN(INDEX('Aides'!$V$4:$V$503,458))=0,"",INDEX('Aides'!$V$4:$V$503,458))</f>
        <v/>
      </c>
    </row>
    <row r="962">
      <c r="A962">
        <f>IF(AND(LEN('Aides'!A462)&gt;0,ISNUMBER('Aides'!S462)),1,0)</f>
        <v/>
      </c>
      <c r="B962">
        <f>B961+A962</f>
        <v/>
      </c>
      <c r="C962">
        <f>IF(959&gt;$B$1503,"",MATCH(959-0.5,$B$3:$B$1503,1))</f>
        <v/>
      </c>
      <c r="D962">
        <f>"CPR / First Aid – "&amp;IF(LEN(INDEX('Aides'!$A$4:$A$503,459))=0,"",INDEX('Aides'!$A$4:$A$503,459))</f>
        <v/>
      </c>
      <c r="E962">
        <f>IF(ISNUMBER(INDEX('Aides'!$S$4:$S$503,459)),TEXT(INDEX('Aides'!$S$4:$S$503,459),"yyyy-mm-dd"),"")</f>
        <v/>
      </c>
      <c r="F962">
        <f>"Training"</f>
        <v/>
      </c>
      <c r="G962">
        <f>"Medium"</f>
        <v/>
      </c>
      <c r="H962">
        <f>TRIM(IF(LEN(IF(LEN(INDEX('Aides'!$U$4:$U$503,459))=0,"",INDEX('Aides'!$U$4:$U$503,459)))=0,"","Owner: "&amp;IF(LEN(INDEX('Aides'!$U$4:$U$503,459))=0,"",INDEX('Aides'!$U$4:$U$503,459))&amp;". "))</f>
        <v/>
      </c>
      <c r="I962">
        <f>""</f>
        <v/>
      </c>
      <c r="J962">
        <f>IF(LEN(INDEX('Aides'!$V$4:$V$503,459))=0,"",INDEX('Aides'!$V$4:$V$503,459))</f>
        <v/>
      </c>
    </row>
    <row r="963">
      <c r="A963">
        <f>IF(AND(LEN('Aides'!A463)&gt;0,ISNUMBER('Aides'!S463)),1,0)</f>
        <v/>
      </c>
      <c r="B963">
        <f>B962+A963</f>
        <v/>
      </c>
      <c r="C963">
        <f>IF(960&gt;$B$1503,"",MATCH(960-0.5,$B$3:$B$1503,1))</f>
        <v/>
      </c>
      <c r="D963">
        <f>"CPR / First Aid – "&amp;IF(LEN(INDEX('Aides'!$A$4:$A$503,460))=0,"",INDEX('Aides'!$A$4:$A$503,460))</f>
        <v/>
      </c>
      <c r="E963">
        <f>IF(ISNUMBER(INDEX('Aides'!$S$4:$S$503,460)),TEXT(INDEX('Aides'!$S$4:$S$503,460),"yyyy-mm-dd"),"")</f>
        <v/>
      </c>
      <c r="F963">
        <f>"Training"</f>
        <v/>
      </c>
      <c r="G963">
        <f>"Medium"</f>
        <v/>
      </c>
      <c r="H963">
        <f>TRIM(IF(LEN(IF(LEN(INDEX('Aides'!$U$4:$U$503,460))=0,"",INDEX('Aides'!$U$4:$U$503,460)))=0,"","Owner: "&amp;IF(LEN(INDEX('Aides'!$U$4:$U$503,460))=0,"",INDEX('Aides'!$U$4:$U$503,460))&amp;". "))</f>
        <v/>
      </c>
      <c r="I963">
        <f>""</f>
        <v/>
      </c>
      <c r="J963">
        <f>IF(LEN(INDEX('Aides'!$V$4:$V$503,460))=0,"",INDEX('Aides'!$V$4:$V$503,460))</f>
        <v/>
      </c>
    </row>
    <row r="964">
      <c r="A964">
        <f>IF(AND(LEN('Aides'!A464)&gt;0,ISNUMBER('Aides'!S464)),1,0)</f>
        <v/>
      </c>
      <c r="B964">
        <f>B963+A964</f>
        <v/>
      </c>
      <c r="C964">
        <f>IF(961&gt;$B$1503,"",MATCH(961-0.5,$B$3:$B$1503,1))</f>
        <v/>
      </c>
      <c r="D964">
        <f>"CPR / First Aid – "&amp;IF(LEN(INDEX('Aides'!$A$4:$A$503,461))=0,"",INDEX('Aides'!$A$4:$A$503,461))</f>
        <v/>
      </c>
      <c r="E964">
        <f>IF(ISNUMBER(INDEX('Aides'!$S$4:$S$503,461)),TEXT(INDEX('Aides'!$S$4:$S$503,461),"yyyy-mm-dd"),"")</f>
        <v/>
      </c>
      <c r="F964">
        <f>"Training"</f>
        <v/>
      </c>
      <c r="G964">
        <f>"Medium"</f>
        <v/>
      </c>
      <c r="H964">
        <f>TRIM(IF(LEN(IF(LEN(INDEX('Aides'!$U$4:$U$503,461))=0,"",INDEX('Aides'!$U$4:$U$503,461)))=0,"","Owner: "&amp;IF(LEN(INDEX('Aides'!$U$4:$U$503,461))=0,"",INDEX('Aides'!$U$4:$U$503,461))&amp;". "))</f>
        <v/>
      </c>
      <c r="I964">
        <f>""</f>
        <v/>
      </c>
      <c r="J964">
        <f>IF(LEN(INDEX('Aides'!$V$4:$V$503,461))=0,"",INDEX('Aides'!$V$4:$V$503,461))</f>
        <v/>
      </c>
    </row>
    <row r="965">
      <c r="A965">
        <f>IF(AND(LEN('Aides'!A465)&gt;0,ISNUMBER('Aides'!S465)),1,0)</f>
        <v/>
      </c>
      <c r="B965">
        <f>B964+A965</f>
        <v/>
      </c>
      <c r="C965">
        <f>IF(962&gt;$B$1503,"",MATCH(962-0.5,$B$3:$B$1503,1))</f>
        <v/>
      </c>
      <c r="D965">
        <f>"CPR / First Aid – "&amp;IF(LEN(INDEX('Aides'!$A$4:$A$503,462))=0,"",INDEX('Aides'!$A$4:$A$503,462))</f>
        <v/>
      </c>
      <c r="E965">
        <f>IF(ISNUMBER(INDEX('Aides'!$S$4:$S$503,462)),TEXT(INDEX('Aides'!$S$4:$S$503,462),"yyyy-mm-dd"),"")</f>
        <v/>
      </c>
      <c r="F965">
        <f>"Training"</f>
        <v/>
      </c>
      <c r="G965">
        <f>"Medium"</f>
        <v/>
      </c>
      <c r="H965">
        <f>TRIM(IF(LEN(IF(LEN(INDEX('Aides'!$U$4:$U$503,462))=0,"",INDEX('Aides'!$U$4:$U$503,462)))=0,"","Owner: "&amp;IF(LEN(INDEX('Aides'!$U$4:$U$503,462))=0,"",INDEX('Aides'!$U$4:$U$503,462))&amp;". "))</f>
        <v/>
      </c>
      <c r="I965">
        <f>""</f>
        <v/>
      </c>
      <c r="J965">
        <f>IF(LEN(INDEX('Aides'!$V$4:$V$503,462))=0,"",INDEX('Aides'!$V$4:$V$503,462))</f>
        <v/>
      </c>
    </row>
    <row r="966">
      <c r="A966">
        <f>IF(AND(LEN('Aides'!A466)&gt;0,ISNUMBER('Aides'!S466)),1,0)</f>
        <v/>
      </c>
      <c r="B966">
        <f>B965+A966</f>
        <v/>
      </c>
      <c r="C966">
        <f>IF(963&gt;$B$1503,"",MATCH(963-0.5,$B$3:$B$1503,1))</f>
        <v/>
      </c>
      <c r="D966">
        <f>"CPR / First Aid – "&amp;IF(LEN(INDEX('Aides'!$A$4:$A$503,463))=0,"",INDEX('Aides'!$A$4:$A$503,463))</f>
        <v/>
      </c>
      <c r="E966">
        <f>IF(ISNUMBER(INDEX('Aides'!$S$4:$S$503,463)),TEXT(INDEX('Aides'!$S$4:$S$503,463),"yyyy-mm-dd"),"")</f>
        <v/>
      </c>
      <c r="F966">
        <f>"Training"</f>
        <v/>
      </c>
      <c r="G966">
        <f>"Medium"</f>
        <v/>
      </c>
      <c r="H966">
        <f>TRIM(IF(LEN(IF(LEN(INDEX('Aides'!$U$4:$U$503,463))=0,"",INDEX('Aides'!$U$4:$U$503,463)))=0,"","Owner: "&amp;IF(LEN(INDEX('Aides'!$U$4:$U$503,463))=0,"",INDEX('Aides'!$U$4:$U$503,463))&amp;". "))</f>
        <v/>
      </c>
      <c r="I966">
        <f>""</f>
        <v/>
      </c>
      <c r="J966">
        <f>IF(LEN(INDEX('Aides'!$V$4:$V$503,463))=0,"",INDEX('Aides'!$V$4:$V$503,463))</f>
        <v/>
      </c>
    </row>
    <row r="967">
      <c r="A967">
        <f>IF(AND(LEN('Aides'!A467)&gt;0,ISNUMBER('Aides'!S467)),1,0)</f>
        <v/>
      </c>
      <c r="B967">
        <f>B966+A967</f>
        <v/>
      </c>
      <c r="C967">
        <f>IF(964&gt;$B$1503,"",MATCH(964-0.5,$B$3:$B$1503,1))</f>
        <v/>
      </c>
      <c r="D967">
        <f>"CPR / First Aid – "&amp;IF(LEN(INDEX('Aides'!$A$4:$A$503,464))=0,"",INDEX('Aides'!$A$4:$A$503,464))</f>
        <v/>
      </c>
      <c r="E967">
        <f>IF(ISNUMBER(INDEX('Aides'!$S$4:$S$503,464)),TEXT(INDEX('Aides'!$S$4:$S$503,464),"yyyy-mm-dd"),"")</f>
        <v/>
      </c>
      <c r="F967">
        <f>"Training"</f>
        <v/>
      </c>
      <c r="G967">
        <f>"Medium"</f>
        <v/>
      </c>
      <c r="H967">
        <f>TRIM(IF(LEN(IF(LEN(INDEX('Aides'!$U$4:$U$503,464))=0,"",INDEX('Aides'!$U$4:$U$503,464)))=0,"","Owner: "&amp;IF(LEN(INDEX('Aides'!$U$4:$U$503,464))=0,"",INDEX('Aides'!$U$4:$U$503,464))&amp;". "))</f>
        <v/>
      </c>
      <c r="I967">
        <f>""</f>
        <v/>
      </c>
      <c r="J967">
        <f>IF(LEN(INDEX('Aides'!$V$4:$V$503,464))=0,"",INDEX('Aides'!$V$4:$V$503,464))</f>
        <v/>
      </c>
    </row>
    <row r="968">
      <c r="A968">
        <f>IF(AND(LEN('Aides'!A468)&gt;0,ISNUMBER('Aides'!S468)),1,0)</f>
        <v/>
      </c>
      <c r="B968">
        <f>B967+A968</f>
        <v/>
      </c>
      <c r="C968">
        <f>IF(965&gt;$B$1503,"",MATCH(965-0.5,$B$3:$B$1503,1))</f>
        <v/>
      </c>
      <c r="D968">
        <f>"CPR / First Aid – "&amp;IF(LEN(INDEX('Aides'!$A$4:$A$503,465))=0,"",INDEX('Aides'!$A$4:$A$503,465))</f>
        <v/>
      </c>
      <c r="E968">
        <f>IF(ISNUMBER(INDEX('Aides'!$S$4:$S$503,465)),TEXT(INDEX('Aides'!$S$4:$S$503,465),"yyyy-mm-dd"),"")</f>
        <v/>
      </c>
      <c r="F968">
        <f>"Training"</f>
        <v/>
      </c>
      <c r="G968">
        <f>"Medium"</f>
        <v/>
      </c>
      <c r="H968">
        <f>TRIM(IF(LEN(IF(LEN(INDEX('Aides'!$U$4:$U$503,465))=0,"",INDEX('Aides'!$U$4:$U$503,465)))=0,"","Owner: "&amp;IF(LEN(INDEX('Aides'!$U$4:$U$503,465))=0,"",INDEX('Aides'!$U$4:$U$503,465))&amp;". "))</f>
        <v/>
      </c>
      <c r="I968">
        <f>""</f>
        <v/>
      </c>
      <c r="J968">
        <f>IF(LEN(INDEX('Aides'!$V$4:$V$503,465))=0,"",INDEX('Aides'!$V$4:$V$503,465))</f>
        <v/>
      </c>
    </row>
    <row r="969">
      <c r="A969">
        <f>IF(AND(LEN('Aides'!A469)&gt;0,ISNUMBER('Aides'!S469)),1,0)</f>
        <v/>
      </c>
      <c r="B969">
        <f>B968+A969</f>
        <v/>
      </c>
      <c r="C969">
        <f>IF(966&gt;$B$1503,"",MATCH(966-0.5,$B$3:$B$1503,1))</f>
        <v/>
      </c>
      <c r="D969">
        <f>"CPR / First Aid – "&amp;IF(LEN(INDEX('Aides'!$A$4:$A$503,466))=0,"",INDEX('Aides'!$A$4:$A$503,466))</f>
        <v/>
      </c>
      <c r="E969">
        <f>IF(ISNUMBER(INDEX('Aides'!$S$4:$S$503,466)),TEXT(INDEX('Aides'!$S$4:$S$503,466),"yyyy-mm-dd"),"")</f>
        <v/>
      </c>
      <c r="F969">
        <f>"Training"</f>
        <v/>
      </c>
      <c r="G969">
        <f>"Medium"</f>
        <v/>
      </c>
      <c r="H969">
        <f>TRIM(IF(LEN(IF(LEN(INDEX('Aides'!$U$4:$U$503,466))=0,"",INDEX('Aides'!$U$4:$U$503,466)))=0,"","Owner: "&amp;IF(LEN(INDEX('Aides'!$U$4:$U$503,466))=0,"",INDEX('Aides'!$U$4:$U$503,466))&amp;". "))</f>
        <v/>
      </c>
      <c r="I969">
        <f>""</f>
        <v/>
      </c>
      <c r="J969">
        <f>IF(LEN(INDEX('Aides'!$V$4:$V$503,466))=0,"",INDEX('Aides'!$V$4:$V$503,466))</f>
        <v/>
      </c>
    </row>
    <row r="970">
      <c r="A970">
        <f>IF(AND(LEN('Aides'!A470)&gt;0,ISNUMBER('Aides'!S470)),1,0)</f>
        <v/>
      </c>
      <c r="B970">
        <f>B969+A970</f>
        <v/>
      </c>
      <c r="C970">
        <f>IF(967&gt;$B$1503,"",MATCH(967-0.5,$B$3:$B$1503,1))</f>
        <v/>
      </c>
      <c r="D970">
        <f>"CPR / First Aid – "&amp;IF(LEN(INDEX('Aides'!$A$4:$A$503,467))=0,"",INDEX('Aides'!$A$4:$A$503,467))</f>
        <v/>
      </c>
      <c r="E970">
        <f>IF(ISNUMBER(INDEX('Aides'!$S$4:$S$503,467)),TEXT(INDEX('Aides'!$S$4:$S$503,467),"yyyy-mm-dd"),"")</f>
        <v/>
      </c>
      <c r="F970">
        <f>"Training"</f>
        <v/>
      </c>
      <c r="G970">
        <f>"Medium"</f>
        <v/>
      </c>
      <c r="H970">
        <f>TRIM(IF(LEN(IF(LEN(INDEX('Aides'!$U$4:$U$503,467))=0,"",INDEX('Aides'!$U$4:$U$503,467)))=0,"","Owner: "&amp;IF(LEN(INDEX('Aides'!$U$4:$U$503,467))=0,"",INDEX('Aides'!$U$4:$U$503,467))&amp;". "))</f>
        <v/>
      </c>
      <c r="I970">
        <f>""</f>
        <v/>
      </c>
      <c r="J970">
        <f>IF(LEN(INDEX('Aides'!$V$4:$V$503,467))=0,"",INDEX('Aides'!$V$4:$V$503,467))</f>
        <v/>
      </c>
    </row>
    <row r="971">
      <c r="A971">
        <f>IF(AND(LEN('Aides'!A471)&gt;0,ISNUMBER('Aides'!S471)),1,0)</f>
        <v/>
      </c>
      <c r="B971">
        <f>B970+A971</f>
        <v/>
      </c>
      <c r="C971">
        <f>IF(968&gt;$B$1503,"",MATCH(968-0.5,$B$3:$B$1503,1))</f>
        <v/>
      </c>
      <c r="D971">
        <f>"CPR / First Aid – "&amp;IF(LEN(INDEX('Aides'!$A$4:$A$503,468))=0,"",INDEX('Aides'!$A$4:$A$503,468))</f>
        <v/>
      </c>
      <c r="E971">
        <f>IF(ISNUMBER(INDEX('Aides'!$S$4:$S$503,468)),TEXT(INDEX('Aides'!$S$4:$S$503,468),"yyyy-mm-dd"),"")</f>
        <v/>
      </c>
      <c r="F971">
        <f>"Training"</f>
        <v/>
      </c>
      <c r="G971">
        <f>"Medium"</f>
        <v/>
      </c>
      <c r="H971">
        <f>TRIM(IF(LEN(IF(LEN(INDEX('Aides'!$U$4:$U$503,468))=0,"",INDEX('Aides'!$U$4:$U$503,468)))=0,"","Owner: "&amp;IF(LEN(INDEX('Aides'!$U$4:$U$503,468))=0,"",INDEX('Aides'!$U$4:$U$503,468))&amp;". "))</f>
        <v/>
      </c>
      <c r="I971">
        <f>""</f>
        <v/>
      </c>
      <c r="J971">
        <f>IF(LEN(INDEX('Aides'!$V$4:$V$503,468))=0,"",INDEX('Aides'!$V$4:$V$503,468))</f>
        <v/>
      </c>
    </row>
    <row r="972">
      <c r="A972">
        <f>IF(AND(LEN('Aides'!A472)&gt;0,ISNUMBER('Aides'!S472)),1,0)</f>
        <v/>
      </c>
      <c r="B972">
        <f>B971+A972</f>
        <v/>
      </c>
      <c r="C972">
        <f>IF(969&gt;$B$1503,"",MATCH(969-0.5,$B$3:$B$1503,1))</f>
        <v/>
      </c>
      <c r="D972">
        <f>"CPR / First Aid – "&amp;IF(LEN(INDEX('Aides'!$A$4:$A$503,469))=0,"",INDEX('Aides'!$A$4:$A$503,469))</f>
        <v/>
      </c>
      <c r="E972">
        <f>IF(ISNUMBER(INDEX('Aides'!$S$4:$S$503,469)),TEXT(INDEX('Aides'!$S$4:$S$503,469),"yyyy-mm-dd"),"")</f>
        <v/>
      </c>
      <c r="F972">
        <f>"Training"</f>
        <v/>
      </c>
      <c r="G972">
        <f>"Medium"</f>
        <v/>
      </c>
      <c r="H972">
        <f>TRIM(IF(LEN(IF(LEN(INDEX('Aides'!$U$4:$U$503,469))=0,"",INDEX('Aides'!$U$4:$U$503,469)))=0,"","Owner: "&amp;IF(LEN(INDEX('Aides'!$U$4:$U$503,469))=0,"",INDEX('Aides'!$U$4:$U$503,469))&amp;". "))</f>
        <v/>
      </c>
      <c r="I972">
        <f>""</f>
        <v/>
      </c>
      <c r="J972">
        <f>IF(LEN(INDEX('Aides'!$V$4:$V$503,469))=0,"",INDEX('Aides'!$V$4:$V$503,469))</f>
        <v/>
      </c>
    </row>
    <row r="973">
      <c r="A973">
        <f>IF(AND(LEN('Aides'!A473)&gt;0,ISNUMBER('Aides'!S473)),1,0)</f>
        <v/>
      </c>
      <c r="B973">
        <f>B972+A973</f>
        <v/>
      </c>
      <c r="C973">
        <f>IF(970&gt;$B$1503,"",MATCH(970-0.5,$B$3:$B$1503,1))</f>
        <v/>
      </c>
      <c r="D973">
        <f>"CPR / First Aid – "&amp;IF(LEN(INDEX('Aides'!$A$4:$A$503,470))=0,"",INDEX('Aides'!$A$4:$A$503,470))</f>
        <v/>
      </c>
      <c r="E973">
        <f>IF(ISNUMBER(INDEX('Aides'!$S$4:$S$503,470)),TEXT(INDEX('Aides'!$S$4:$S$503,470),"yyyy-mm-dd"),"")</f>
        <v/>
      </c>
      <c r="F973">
        <f>"Training"</f>
        <v/>
      </c>
      <c r="G973">
        <f>"Medium"</f>
        <v/>
      </c>
      <c r="H973">
        <f>TRIM(IF(LEN(IF(LEN(INDEX('Aides'!$U$4:$U$503,470))=0,"",INDEX('Aides'!$U$4:$U$503,470)))=0,"","Owner: "&amp;IF(LEN(INDEX('Aides'!$U$4:$U$503,470))=0,"",INDEX('Aides'!$U$4:$U$503,470))&amp;". "))</f>
        <v/>
      </c>
      <c r="I973">
        <f>""</f>
        <v/>
      </c>
      <c r="J973">
        <f>IF(LEN(INDEX('Aides'!$V$4:$V$503,470))=0,"",INDEX('Aides'!$V$4:$V$503,470))</f>
        <v/>
      </c>
    </row>
    <row r="974">
      <c r="A974">
        <f>IF(AND(LEN('Aides'!A474)&gt;0,ISNUMBER('Aides'!S474)),1,0)</f>
        <v/>
      </c>
      <c r="B974">
        <f>B973+A974</f>
        <v/>
      </c>
      <c r="C974">
        <f>IF(971&gt;$B$1503,"",MATCH(971-0.5,$B$3:$B$1503,1))</f>
        <v/>
      </c>
      <c r="D974">
        <f>"CPR / First Aid – "&amp;IF(LEN(INDEX('Aides'!$A$4:$A$503,471))=0,"",INDEX('Aides'!$A$4:$A$503,471))</f>
        <v/>
      </c>
      <c r="E974">
        <f>IF(ISNUMBER(INDEX('Aides'!$S$4:$S$503,471)),TEXT(INDEX('Aides'!$S$4:$S$503,471),"yyyy-mm-dd"),"")</f>
        <v/>
      </c>
      <c r="F974">
        <f>"Training"</f>
        <v/>
      </c>
      <c r="G974">
        <f>"Medium"</f>
        <v/>
      </c>
      <c r="H974">
        <f>TRIM(IF(LEN(IF(LEN(INDEX('Aides'!$U$4:$U$503,471))=0,"",INDEX('Aides'!$U$4:$U$503,471)))=0,"","Owner: "&amp;IF(LEN(INDEX('Aides'!$U$4:$U$503,471))=0,"",INDEX('Aides'!$U$4:$U$503,471))&amp;". "))</f>
        <v/>
      </c>
      <c r="I974">
        <f>""</f>
        <v/>
      </c>
      <c r="J974">
        <f>IF(LEN(INDEX('Aides'!$V$4:$V$503,471))=0,"",INDEX('Aides'!$V$4:$V$503,471))</f>
        <v/>
      </c>
    </row>
    <row r="975">
      <c r="A975">
        <f>IF(AND(LEN('Aides'!A475)&gt;0,ISNUMBER('Aides'!S475)),1,0)</f>
        <v/>
      </c>
      <c r="B975">
        <f>B974+A975</f>
        <v/>
      </c>
      <c r="C975">
        <f>IF(972&gt;$B$1503,"",MATCH(972-0.5,$B$3:$B$1503,1))</f>
        <v/>
      </c>
      <c r="D975">
        <f>"CPR / First Aid – "&amp;IF(LEN(INDEX('Aides'!$A$4:$A$503,472))=0,"",INDEX('Aides'!$A$4:$A$503,472))</f>
        <v/>
      </c>
      <c r="E975">
        <f>IF(ISNUMBER(INDEX('Aides'!$S$4:$S$503,472)),TEXT(INDEX('Aides'!$S$4:$S$503,472),"yyyy-mm-dd"),"")</f>
        <v/>
      </c>
      <c r="F975">
        <f>"Training"</f>
        <v/>
      </c>
      <c r="G975">
        <f>"Medium"</f>
        <v/>
      </c>
      <c r="H975">
        <f>TRIM(IF(LEN(IF(LEN(INDEX('Aides'!$U$4:$U$503,472))=0,"",INDEX('Aides'!$U$4:$U$503,472)))=0,"","Owner: "&amp;IF(LEN(INDEX('Aides'!$U$4:$U$503,472))=0,"",INDEX('Aides'!$U$4:$U$503,472))&amp;". "))</f>
        <v/>
      </c>
      <c r="I975">
        <f>""</f>
        <v/>
      </c>
      <c r="J975">
        <f>IF(LEN(INDEX('Aides'!$V$4:$V$503,472))=0,"",INDEX('Aides'!$V$4:$V$503,472))</f>
        <v/>
      </c>
    </row>
    <row r="976">
      <c r="A976">
        <f>IF(AND(LEN('Aides'!A476)&gt;0,ISNUMBER('Aides'!S476)),1,0)</f>
        <v/>
      </c>
      <c r="B976">
        <f>B975+A976</f>
        <v/>
      </c>
      <c r="C976">
        <f>IF(973&gt;$B$1503,"",MATCH(973-0.5,$B$3:$B$1503,1))</f>
        <v/>
      </c>
      <c r="D976">
        <f>"CPR / First Aid – "&amp;IF(LEN(INDEX('Aides'!$A$4:$A$503,473))=0,"",INDEX('Aides'!$A$4:$A$503,473))</f>
        <v/>
      </c>
      <c r="E976">
        <f>IF(ISNUMBER(INDEX('Aides'!$S$4:$S$503,473)),TEXT(INDEX('Aides'!$S$4:$S$503,473),"yyyy-mm-dd"),"")</f>
        <v/>
      </c>
      <c r="F976">
        <f>"Training"</f>
        <v/>
      </c>
      <c r="G976">
        <f>"Medium"</f>
        <v/>
      </c>
      <c r="H976">
        <f>TRIM(IF(LEN(IF(LEN(INDEX('Aides'!$U$4:$U$503,473))=0,"",INDEX('Aides'!$U$4:$U$503,473)))=0,"","Owner: "&amp;IF(LEN(INDEX('Aides'!$U$4:$U$503,473))=0,"",INDEX('Aides'!$U$4:$U$503,473))&amp;". "))</f>
        <v/>
      </c>
      <c r="I976">
        <f>""</f>
        <v/>
      </c>
      <c r="J976">
        <f>IF(LEN(INDEX('Aides'!$V$4:$V$503,473))=0,"",INDEX('Aides'!$V$4:$V$503,473))</f>
        <v/>
      </c>
    </row>
    <row r="977">
      <c r="A977">
        <f>IF(AND(LEN('Aides'!A477)&gt;0,ISNUMBER('Aides'!S477)),1,0)</f>
        <v/>
      </c>
      <c r="B977">
        <f>B976+A977</f>
        <v/>
      </c>
      <c r="C977">
        <f>IF(974&gt;$B$1503,"",MATCH(974-0.5,$B$3:$B$1503,1))</f>
        <v/>
      </c>
      <c r="D977">
        <f>"CPR / First Aid – "&amp;IF(LEN(INDEX('Aides'!$A$4:$A$503,474))=0,"",INDEX('Aides'!$A$4:$A$503,474))</f>
        <v/>
      </c>
      <c r="E977">
        <f>IF(ISNUMBER(INDEX('Aides'!$S$4:$S$503,474)),TEXT(INDEX('Aides'!$S$4:$S$503,474),"yyyy-mm-dd"),"")</f>
        <v/>
      </c>
      <c r="F977">
        <f>"Training"</f>
        <v/>
      </c>
      <c r="G977">
        <f>"Medium"</f>
        <v/>
      </c>
      <c r="H977">
        <f>TRIM(IF(LEN(IF(LEN(INDEX('Aides'!$U$4:$U$503,474))=0,"",INDEX('Aides'!$U$4:$U$503,474)))=0,"","Owner: "&amp;IF(LEN(INDEX('Aides'!$U$4:$U$503,474))=0,"",INDEX('Aides'!$U$4:$U$503,474))&amp;". "))</f>
        <v/>
      </c>
      <c r="I977">
        <f>""</f>
        <v/>
      </c>
      <c r="J977">
        <f>IF(LEN(INDEX('Aides'!$V$4:$V$503,474))=0,"",INDEX('Aides'!$V$4:$V$503,474))</f>
        <v/>
      </c>
    </row>
    <row r="978">
      <c r="A978">
        <f>IF(AND(LEN('Aides'!A478)&gt;0,ISNUMBER('Aides'!S478)),1,0)</f>
        <v/>
      </c>
      <c r="B978">
        <f>B977+A978</f>
        <v/>
      </c>
      <c r="C978">
        <f>IF(975&gt;$B$1503,"",MATCH(975-0.5,$B$3:$B$1503,1))</f>
        <v/>
      </c>
      <c r="D978">
        <f>"CPR / First Aid – "&amp;IF(LEN(INDEX('Aides'!$A$4:$A$503,475))=0,"",INDEX('Aides'!$A$4:$A$503,475))</f>
        <v/>
      </c>
      <c r="E978">
        <f>IF(ISNUMBER(INDEX('Aides'!$S$4:$S$503,475)),TEXT(INDEX('Aides'!$S$4:$S$503,475),"yyyy-mm-dd"),"")</f>
        <v/>
      </c>
      <c r="F978">
        <f>"Training"</f>
        <v/>
      </c>
      <c r="G978">
        <f>"Medium"</f>
        <v/>
      </c>
      <c r="H978">
        <f>TRIM(IF(LEN(IF(LEN(INDEX('Aides'!$U$4:$U$503,475))=0,"",INDEX('Aides'!$U$4:$U$503,475)))=0,"","Owner: "&amp;IF(LEN(INDEX('Aides'!$U$4:$U$503,475))=0,"",INDEX('Aides'!$U$4:$U$503,475))&amp;". "))</f>
        <v/>
      </c>
      <c r="I978">
        <f>""</f>
        <v/>
      </c>
      <c r="J978">
        <f>IF(LEN(INDEX('Aides'!$V$4:$V$503,475))=0,"",INDEX('Aides'!$V$4:$V$503,475))</f>
        <v/>
      </c>
    </row>
    <row r="979">
      <c r="A979">
        <f>IF(AND(LEN('Aides'!A479)&gt;0,ISNUMBER('Aides'!S479)),1,0)</f>
        <v/>
      </c>
      <c r="B979">
        <f>B978+A979</f>
        <v/>
      </c>
      <c r="C979">
        <f>IF(976&gt;$B$1503,"",MATCH(976-0.5,$B$3:$B$1503,1))</f>
        <v/>
      </c>
      <c r="D979">
        <f>"CPR / First Aid – "&amp;IF(LEN(INDEX('Aides'!$A$4:$A$503,476))=0,"",INDEX('Aides'!$A$4:$A$503,476))</f>
        <v/>
      </c>
      <c r="E979">
        <f>IF(ISNUMBER(INDEX('Aides'!$S$4:$S$503,476)),TEXT(INDEX('Aides'!$S$4:$S$503,476),"yyyy-mm-dd"),"")</f>
        <v/>
      </c>
      <c r="F979">
        <f>"Training"</f>
        <v/>
      </c>
      <c r="G979">
        <f>"Medium"</f>
        <v/>
      </c>
      <c r="H979">
        <f>TRIM(IF(LEN(IF(LEN(INDEX('Aides'!$U$4:$U$503,476))=0,"",INDEX('Aides'!$U$4:$U$503,476)))=0,"","Owner: "&amp;IF(LEN(INDEX('Aides'!$U$4:$U$503,476))=0,"",INDEX('Aides'!$U$4:$U$503,476))&amp;". "))</f>
        <v/>
      </c>
      <c r="I979">
        <f>""</f>
        <v/>
      </c>
      <c r="J979">
        <f>IF(LEN(INDEX('Aides'!$V$4:$V$503,476))=0,"",INDEX('Aides'!$V$4:$V$503,476))</f>
        <v/>
      </c>
    </row>
    <row r="980">
      <c r="A980">
        <f>IF(AND(LEN('Aides'!A480)&gt;0,ISNUMBER('Aides'!S480)),1,0)</f>
        <v/>
      </c>
      <c r="B980">
        <f>B979+A980</f>
        <v/>
      </c>
      <c r="C980">
        <f>IF(977&gt;$B$1503,"",MATCH(977-0.5,$B$3:$B$1503,1))</f>
        <v/>
      </c>
      <c r="D980">
        <f>"CPR / First Aid – "&amp;IF(LEN(INDEX('Aides'!$A$4:$A$503,477))=0,"",INDEX('Aides'!$A$4:$A$503,477))</f>
        <v/>
      </c>
      <c r="E980">
        <f>IF(ISNUMBER(INDEX('Aides'!$S$4:$S$503,477)),TEXT(INDEX('Aides'!$S$4:$S$503,477),"yyyy-mm-dd"),"")</f>
        <v/>
      </c>
      <c r="F980">
        <f>"Training"</f>
        <v/>
      </c>
      <c r="G980">
        <f>"Medium"</f>
        <v/>
      </c>
      <c r="H980">
        <f>TRIM(IF(LEN(IF(LEN(INDEX('Aides'!$U$4:$U$503,477))=0,"",INDEX('Aides'!$U$4:$U$503,477)))=0,"","Owner: "&amp;IF(LEN(INDEX('Aides'!$U$4:$U$503,477))=0,"",INDEX('Aides'!$U$4:$U$503,477))&amp;". "))</f>
        <v/>
      </c>
      <c r="I980">
        <f>""</f>
        <v/>
      </c>
      <c r="J980">
        <f>IF(LEN(INDEX('Aides'!$V$4:$V$503,477))=0,"",INDEX('Aides'!$V$4:$V$503,477))</f>
        <v/>
      </c>
    </row>
    <row r="981">
      <c r="A981">
        <f>IF(AND(LEN('Aides'!A481)&gt;0,ISNUMBER('Aides'!S481)),1,0)</f>
        <v/>
      </c>
      <c r="B981">
        <f>B980+A981</f>
        <v/>
      </c>
      <c r="C981">
        <f>IF(978&gt;$B$1503,"",MATCH(978-0.5,$B$3:$B$1503,1))</f>
        <v/>
      </c>
      <c r="D981">
        <f>"CPR / First Aid – "&amp;IF(LEN(INDEX('Aides'!$A$4:$A$503,478))=0,"",INDEX('Aides'!$A$4:$A$503,478))</f>
        <v/>
      </c>
      <c r="E981">
        <f>IF(ISNUMBER(INDEX('Aides'!$S$4:$S$503,478)),TEXT(INDEX('Aides'!$S$4:$S$503,478),"yyyy-mm-dd"),"")</f>
        <v/>
      </c>
      <c r="F981">
        <f>"Training"</f>
        <v/>
      </c>
      <c r="G981">
        <f>"Medium"</f>
        <v/>
      </c>
      <c r="H981">
        <f>TRIM(IF(LEN(IF(LEN(INDEX('Aides'!$U$4:$U$503,478))=0,"",INDEX('Aides'!$U$4:$U$503,478)))=0,"","Owner: "&amp;IF(LEN(INDEX('Aides'!$U$4:$U$503,478))=0,"",INDEX('Aides'!$U$4:$U$503,478))&amp;". "))</f>
        <v/>
      </c>
      <c r="I981">
        <f>""</f>
        <v/>
      </c>
      <c r="J981">
        <f>IF(LEN(INDEX('Aides'!$V$4:$V$503,478))=0,"",INDEX('Aides'!$V$4:$V$503,478))</f>
        <v/>
      </c>
    </row>
    <row r="982">
      <c r="A982">
        <f>IF(AND(LEN('Aides'!A482)&gt;0,ISNUMBER('Aides'!S482)),1,0)</f>
        <v/>
      </c>
      <c r="B982">
        <f>B981+A982</f>
        <v/>
      </c>
      <c r="C982">
        <f>IF(979&gt;$B$1503,"",MATCH(979-0.5,$B$3:$B$1503,1))</f>
        <v/>
      </c>
      <c r="D982">
        <f>"CPR / First Aid – "&amp;IF(LEN(INDEX('Aides'!$A$4:$A$503,479))=0,"",INDEX('Aides'!$A$4:$A$503,479))</f>
        <v/>
      </c>
      <c r="E982">
        <f>IF(ISNUMBER(INDEX('Aides'!$S$4:$S$503,479)),TEXT(INDEX('Aides'!$S$4:$S$503,479),"yyyy-mm-dd"),"")</f>
        <v/>
      </c>
      <c r="F982">
        <f>"Training"</f>
        <v/>
      </c>
      <c r="G982">
        <f>"Medium"</f>
        <v/>
      </c>
      <c r="H982">
        <f>TRIM(IF(LEN(IF(LEN(INDEX('Aides'!$U$4:$U$503,479))=0,"",INDEX('Aides'!$U$4:$U$503,479)))=0,"","Owner: "&amp;IF(LEN(INDEX('Aides'!$U$4:$U$503,479))=0,"",INDEX('Aides'!$U$4:$U$503,479))&amp;". "))</f>
        <v/>
      </c>
      <c r="I982">
        <f>""</f>
        <v/>
      </c>
      <c r="J982">
        <f>IF(LEN(INDEX('Aides'!$V$4:$V$503,479))=0,"",INDEX('Aides'!$V$4:$V$503,479))</f>
        <v/>
      </c>
    </row>
    <row r="983">
      <c r="A983">
        <f>IF(AND(LEN('Aides'!A483)&gt;0,ISNUMBER('Aides'!S483)),1,0)</f>
        <v/>
      </c>
      <c r="B983">
        <f>B982+A983</f>
        <v/>
      </c>
      <c r="C983">
        <f>IF(980&gt;$B$1503,"",MATCH(980-0.5,$B$3:$B$1503,1))</f>
        <v/>
      </c>
      <c r="D983">
        <f>"CPR / First Aid – "&amp;IF(LEN(INDEX('Aides'!$A$4:$A$503,480))=0,"",INDEX('Aides'!$A$4:$A$503,480))</f>
        <v/>
      </c>
      <c r="E983">
        <f>IF(ISNUMBER(INDEX('Aides'!$S$4:$S$503,480)),TEXT(INDEX('Aides'!$S$4:$S$503,480),"yyyy-mm-dd"),"")</f>
        <v/>
      </c>
      <c r="F983">
        <f>"Training"</f>
        <v/>
      </c>
      <c r="G983">
        <f>"Medium"</f>
        <v/>
      </c>
      <c r="H983">
        <f>TRIM(IF(LEN(IF(LEN(INDEX('Aides'!$U$4:$U$503,480))=0,"",INDEX('Aides'!$U$4:$U$503,480)))=0,"","Owner: "&amp;IF(LEN(INDEX('Aides'!$U$4:$U$503,480))=0,"",INDEX('Aides'!$U$4:$U$503,480))&amp;". "))</f>
        <v/>
      </c>
      <c r="I983">
        <f>""</f>
        <v/>
      </c>
      <c r="J983">
        <f>IF(LEN(INDEX('Aides'!$V$4:$V$503,480))=0,"",INDEX('Aides'!$V$4:$V$503,480))</f>
        <v/>
      </c>
    </row>
    <row r="984">
      <c r="A984">
        <f>IF(AND(LEN('Aides'!A484)&gt;0,ISNUMBER('Aides'!S484)),1,0)</f>
        <v/>
      </c>
      <c r="B984">
        <f>B983+A984</f>
        <v/>
      </c>
      <c r="C984">
        <f>IF(981&gt;$B$1503,"",MATCH(981-0.5,$B$3:$B$1503,1))</f>
        <v/>
      </c>
      <c r="D984">
        <f>"CPR / First Aid – "&amp;IF(LEN(INDEX('Aides'!$A$4:$A$503,481))=0,"",INDEX('Aides'!$A$4:$A$503,481))</f>
        <v/>
      </c>
      <c r="E984">
        <f>IF(ISNUMBER(INDEX('Aides'!$S$4:$S$503,481)),TEXT(INDEX('Aides'!$S$4:$S$503,481),"yyyy-mm-dd"),"")</f>
        <v/>
      </c>
      <c r="F984">
        <f>"Training"</f>
        <v/>
      </c>
      <c r="G984">
        <f>"Medium"</f>
        <v/>
      </c>
      <c r="H984">
        <f>TRIM(IF(LEN(IF(LEN(INDEX('Aides'!$U$4:$U$503,481))=0,"",INDEX('Aides'!$U$4:$U$503,481)))=0,"","Owner: "&amp;IF(LEN(INDEX('Aides'!$U$4:$U$503,481))=0,"",INDEX('Aides'!$U$4:$U$503,481))&amp;". "))</f>
        <v/>
      </c>
      <c r="I984">
        <f>""</f>
        <v/>
      </c>
      <c r="J984">
        <f>IF(LEN(INDEX('Aides'!$V$4:$V$503,481))=0,"",INDEX('Aides'!$V$4:$V$503,481))</f>
        <v/>
      </c>
    </row>
    <row r="985">
      <c r="A985">
        <f>IF(AND(LEN('Aides'!A485)&gt;0,ISNUMBER('Aides'!S485)),1,0)</f>
        <v/>
      </c>
      <c r="B985">
        <f>B984+A985</f>
        <v/>
      </c>
      <c r="C985">
        <f>IF(982&gt;$B$1503,"",MATCH(982-0.5,$B$3:$B$1503,1))</f>
        <v/>
      </c>
      <c r="D985">
        <f>"CPR / First Aid – "&amp;IF(LEN(INDEX('Aides'!$A$4:$A$503,482))=0,"",INDEX('Aides'!$A$4:$A$503,482))</f>
        <v/>
      </c>
      <c r="E985">
        <f>IF(ISNUMBER(INDEX('Aides'!$S$4:$S$503,482)),TEXT(INDEX('Aides'!$S$4:$S$503,482),"yyyy-mm-dd"),"")</f>
        <v/>
      </c>
      <c r="F985">
        <f>"Training"</f>
        <v/>
      </c>
      <c r="G985">
        <f>"Medium"</f>
        <v/>
      </c>
      <c r="H985">
        <f>TRIM(IF(LEN(IF(LEN(INDEX('Aides'!$U$4:$U$503,482))=0,"",INDEX('Aides'!$U$4:$U$503,482)))=0,"","Owner: "&amp;IF(LEN(INDEX('Aides'!$U$4:$U$503,482))=0,"",INDEX('Aides'!$U$4:$U$503,482))&amp;". "))</f>
        <v/>
      </c>
      <c r="I985">
        <f>""</f>
        <v/>
      </c>
      <c r="J985">
        <f>IF(LEN(INDEX('Aides'!$V$4:$V$503,482))=0,"",INDEX('Aides'!$V$4:$V$503,482))</f>
        <v/>
      </c>
    </row>
    <row r="986">
      <c r="A986">
        <f>IF(AND(LEN('Aides'!A486)&gt;0,ISNUMBER('Aides'!S486)),1,0)</f>
        <v/>
      </c>
      <c r="B986">
        <f>B985+A986</f>
        <v/>
      </c>
      <c r="C986">
        <f>IF(983&gt;$B$1503,"",MATCH(983-0.5,$B$3:$B$1503,1))</f>
        <v/>
      </c>
      <c r="D986">
        <f>"CPR / First Aid – "&amp;IF(LEN(INDEX('Aides'!$A$4:$A$503,483))=0,"",INDEX('Aides'!$A$4:$A$503,483))</f>
        <v/>
      </c>
      <c r="E986">
        <f>IF(ISNUMBER(INDEX('Aides'!$S$4:$S$503,483)),TEXT(INDEX('Aides'!$S$4:$S$503,483),"yyyy-mm-dd"),"")</f>
        <v/>
      </c>
      <c r="F986">
        <f>"Training"</f>
        <v/>
      </c>
      <c r="G986">
        <f>"Medium"</f>
        <v/>
      </c>
      <c r="H986">
        <f>TRIM(IF(LEN(IF(LEN(INDEX('Aides'!$U$4:$U$503,483))=0,"",INDEX('Aides'!$U$4:$U$503,483)))=0,"","Owner: "&amp;IF(LEN(INDEX('Aides'!$U$4:$U$503,483))=0,"",INDEX('Aides'!$U$4:$U$503,483))&amp;". "))</f>
        <v/>
      </c>
      <c r="I986">
        <f>""</f>
        <v/>
      </c>
      <c r="J986">
        <f>IF(LEN(INDEX('Aides'!$V$4:$V$503,483))=0,"",INDEX('Aides'!$V$4:$V$503,483))</f>
        <v/>
      </c>
    </row>
    <row r="987">
      <c r="A987">
        <f>IF(AND(LEN('Aides'!A487)&gt;0,ISNUMBER('Aides'!S487)),1,0)</f>
        <v/>
      </c>
      <c r="B987">
        <f>B986+A987</f>
        <v/>
      </c>
      <c r="C987">
        <f>IF(984&gt;$B$1503,"",MATCH(984-0.5,$B$3:$B$1503,1))</f>
        <v/>
      </c>
      <c r="D987">
        <f>"CPR / First Aid – "&amp;IF(LEN(INDEX('Aides'!$A$4:$A$503,484))=0,"",INDEX('Aides'!$A$4:$A$503,484))</f>
        <v/>
      </c>
      <c r="E987">
        <f>IF(ISNUMBER(INDEX('Aides'!$S$4:$S$503,484)),TEXT(INDEX('Aides'!$S$4:$S$503,484),"yyyy-mm-dd"),"")</f>
        <v/>
      </c>
      <c r="F987">
        <f>"Training"</f>
        <v/>
      </c>
      <c r="G987">
        <f>"Medium"</f>
        <v/>
      </c>
      <c r="H987">
        <f>TRIM(IF(LEN(IF(LEN(INDEX('Aides'!$U$4:$U$503,484))=0,"",INDEX('Aides'!$U$4:$U$503,484)))=0,"","Owner: "&amp;IF(LEN(INDEX('Aides'!$U$4:$U$503,484))=0,"",INDEX('Aides'!$U$4:$U$503,484))&amp;". "))</f>
        <v/>
      </c>
      <c r="I987">
        <f>""</f>
        <v/>
      </c>
      <c r="J987">
        <f>IF(LEN(INDEX('Aides'!$V$4:$V$503,484))=0,"",INDEX('Aides'!$V$4:$V$503,484))</f>
        <v/>
      </c>
    </row>
    <row r="988">
      <c r="A988">
        <f>IF(AND(LEN('Aides'!A488)&gt;0,ISNUMBER('Aides'!S488)),1,0)</f>
        <v/>
      </c>
      <c r="B988">
        <f>B987+A988</f>
        <v/>
      </c>
      <c r="C988">
        <f>IF(985&gt;$B$1503,"",MATCH(985-0.5,$B$3:$B$1503,1))</f>
        <v/>
      </c>
      <c r="D988">
        <f>"CPR / First Aid – "&amp;IF(LEN(INDEX('Aides'!$A$4:$A$503,485))=0,"",INDEX('Aides'!$A$4:$A$503,485))</f>
        <v/>
      </c>
      <c r="E988">
        <f>IF(ISNUMBER(INDEX('Aides'!$S$4:$S$503,485)),TEXT(INDEX('Aides'!$S$4:$S$503,485),"yyyy-mm-dd"),"")</f>
        <v/>
      </c>
      <c r="F988">
        <f>"Training"</f>
        <v/>
      </c>
      <c r="G988">
        <f>"Medium"</f>
        <v/>
      </c>
      <c r="H988">
        <f>TRIM(IF(LEN(IF(LEN(INDEX('Aides'!$U$4:$U$503,485))=0,"",INDEX('Aides'!$U$4:$U$503,485)))=0,"","Owner: "&amp;IF(LEN(INDEX('Aides'!$U$4:$U$503,485))=0,"",INDEX('Aides'!$U$4:$U$503,485))&amp;". "))</f>
        <v/>
      </c>
      <c r="I988">
        <f>""</f>
        <v/>
      </c>
      <c r="J988">
        <f>IF(LEN(INDEX('Aides'!$V$4:$V$503,485))=0,"",INDEX('Aides'!$V$4:$V$503,485))</f>
        <v/>
      </c>
    </row>
    <row r="989">
      <c r="A989">
        <f>IF(AND(LEN('Aides'!A489)&gt;0,ISNUMBER('Aides'!S489)),1,0)</f>
        <v/>
      </c>
      <c r="B989">
        <f>B988+A989</f>
        <v/>
      </c>
      <c r="C989">
        <f>IF(986&gt;$B$1503,"",MATCH(986-0.5,$B$3:$B$1503,1))</f>
        <v/>
      </c>
      <c r="D989">
        <f>"CPR / First Aid – "&amp;IF(LEN(INDEX('Aides'!$A$4:$A$503,486))=0,"",INDEX('Aides'!$A$4:$A$503,486))</f>
        <v/>
      </c>
      <c r="E989">
        <f>IF(ISNUMBER(INDEX('Aides'!$S$4:$S$503,486)),TEXT(INDEX('Aides'!$S$4:$S$503,486),"yyyy-mm-dd"),"")</f>
        <v/>
      </c>
      <c r="F989">
        <f>"Training"</f>
        <v/>
      </c>
      <c r="G989">
        <f>"Medium"</f>
        <v/>
      </c>
      <c r="H989">
        <f>TRIM(IF(LEN(IF(LEN(INDEX('Aides'!$U$4:$U$503,486))=0,"",INDEX('Aides'!$U$4:$U$503,486)))=0,"","Owner: "&amp;IF(LEN(INDEX('Aides'!$U$4:$U$503,486))=0,"",INDEX('Aides'!$U$4:$U$503,486))&amp;". "))</f>
        <v/>
      </c>
      <c r="I989">
        <f>""</f>
        <v/>
      </c>
      <c r="J989">
        <f>IF(LEN(INDEX('Aides'!$V$4:$V$503,486))=0,"",INDEX('Aides'!$V$4:$V$503,486))</f>
        <v/>
      </c>
    </row>
    <row r="990">
      <c r="A990">
        <f>IF(AND(LEN('Aides'!A490)&gt;0,ISNUMBER('Aides'!S490)),1,0)</f>
        <v/>
      </c>
      <c r="B990">
        <f>B989+A990</f>
        <v/>
      </c>
      <c r="C990">
        <f>IF(987&gt;$B$1503,"",MATCH(987-0.5,$B$3:$B$1503,1))</f>
        <v/>
      </c>
      <c r="D990">
        <f>"CPR / First Aid – "&amp;IF(LEN(INDEX('Aides'!$A$4:$A$503,487))=0,"",INDEX('Aides'!$A$4:$A$503,487))</f>
        <v/>
      </c>
      <c r="E990">
        <f>IF(ISNUMBER(INDEX('Aides'!$S$4:$S$503,487)),TEXT(INDEX('Aides'!$S$4:$S$503,487),"yyyy-mm-dd"),"")</f>
        <v/>
      </c>
      <c r="F990">
        <f>"Training"</f>
        <v/>
      </c>
      <c r="G990">
        <f>"Medium"</f>
        <v/>
      </c>
      <c r="H990">
        <f>TRIM(IF(LEN(IF(LEN(INDEX('Aides'!$U$4:$U$503,487))=0,"",INDEX('Aides'!$U$4:$U$503,487)))=0,"","Owner: "&amp;IF(LEN(INDEX('Aides'!$U$4:$U$503,487))=0,"",INDEX('Aides'!$U$4:$U$503,487))&amp;". "))</f>
        <v/>
      </c>
      <c r="I990">
        <f>""</f>
        <v/>
      </c>
      <c r="J990">
        <f>IF(LEN(INDEX('Aides'!$V$4:$V$503,487))=0,"",INDEX('Aides'!$V$4:$V$503,487))</f>
        <v/>
      </c>
    </row>
    <row r="991">
      <c r="A991">
        <f>IF(AND(LEN('Aides'!A491)&gt;0,ISNUMBER('Aides'!S491)),1,0)</f>
        <v/>
      </c>
      <c r="B991">
        <f>B990+A991</f>
        <v/>
      </c>
      <c r="C991">
        <f>IF(988&gt;$B$1503,"",MATCH(988-0.5,$B$3:$B$1503,1))</f>
        <v/>
      </c>
      <c r="D991">
        <f>"CPR / First Aid – "&amp;IF(LEN(INDEX('Aides'!$A$4:$A$503,488))=0,"",INDEX('Aides'!$A$4:$A$503,488))</f>
        <v/>
      </c>
      <c r="E991">
        <f>IF(ISNUMBER(INDEX('Aides'!$S$4:$S$503,488)),TEXT(INDEX('Aides'!$S$4:$S$503,488),"yyyy-mm-dd"),"")</f>
        <v/>
      </c>
      <c r="F991">
        <f>"Training"</f>
        <v/>
      </c>
      <c r="G991">
        <f>"Medium"</f>
        <v/>
      </c>
      <c r="H991">
        <f>TRIM(IF(LEN(IF(LEN(INDEX('Aides'!$U$4:$U$503,488))=0,"",INDEX('Aides'!$U$4:$U$503,488)))=0,"","Owner: "&amp;IF(LEN(INDEX('Aides'!$U$4:$U$503,488))=0,"",INDEX('Aides'!$U$4:$U$503,488))&amp;". "))</f>
        <v/>
      </c>
      <c r="I991">
        <f>""</f>
        <v/>
      </c>
      <c r="J991">
        <f>IF(LEN(INDEX('Aides'!$V$4:$V$503,488))=0,"",INDEX('Aides'!$V$4:$V$503,488))</f>
        <v/>
      </c>
    </row>
    <row r="992">
      <c r="A992">
        <f>IF(AND(LEN('Aides'!A492)&gt;0,ISNUMBER('Aides'!S492)),1,0)</f>
        <v/>
      </c>
      <c r="B992">
        <f>B991+A992</f>
        <v/>
      </c>
      <c r="C992">
        <f>IF(989&gt;$B$1503,"",MATCH(989-0.5,$B$3:$B$1503,1))</f>
        <v/>
      </c>
      <c r="D992">
        <f>"CPR / First Aid – "&amp;IF(LEN(INDEX('Aides'!$A$4:$A$503,489))=0,"",INDEX('Aides'!$A$4:$A$503,489))</f>
        <v/>
      </c>
      <c r="E992">
        <f>IF(ISNUMBER(INDEX('Aides'!$S$4:$S$503,489)),TEXT(INDEX('Aides'!$S$4:$S$503,489),"yyyy-mm-dd"),"")</f>
        <v/>
      </c>
      <c r="F992">
        <f>"Training"</f>
        <v/>
      </c>
      <c r="G992">
        <f>"Medium"</f>
        <v/>
      </c>
      <c r="H992">
        <f>TRIM(IF(LEN(IF(LEN(INDEX('Aides'!$U$4:$U$503,489))=0,"",INDEX('Aides'!$U$4:$U$503,489)))=0,"","Owner: "&amp;IF(LEN(INDEX('Aides'!$U$4:$U$503,489))=0,"",INDEX('Aides'!$U$4:$U$503,489))&amp;". "))</f>
        <v/>
      </c>
      <c r="I992">
        <f>""</f>
        <v/>
      </c>
      <c r="J992">
        <f>IF(LEN(INDEX('Aides'!$V$4:$V$503,489))=0,"",INDEX('Aides'!$V$4:$V$503,489))</f>
        <v/>
      </c>
    </row>
    <row r="993">
      <c r="A993">
        <f>IF(AND(LEN('Aides'!A493)&gt;0,ISNUMBER('Aides'!S493)),1,0)</f>
        <v/>
      </c>
      <c r="B993">
        <f>B992+A993</f>
        <v/>
      </c>
      <c r="C993">
        <f>IF(990&gt;$B$1503,"",MATCH(990-0.5,$B$3:$B$1503,1))</f>
        <v/>
      </c>
      <c r="D993">
        <f>"CPR / First Aid – "&amp;IF(LEN(INDEX('Aides'!$A$4:$A$503,490))=0,"",INDEX('Aides'!$A$4:$A$503,490))</f>
        <v/>
      </c>
      <c r="E993">
        <f>IF(ISNUMBER(INDEX('Aides'!$S$4:$S$503,490)),TEXT(INDEX('Aides'!$S$4:$S$503,490),"yyyy-mm-dd"),"")</f>
        <v/>
      </c>
      <c r="F993">
        <f>"Training"</f>
        <v/>
      </c>
      <c r="G993">
        <f>"Medium"</f>
        <v/>
      </c>
      <c r="H993">
        <f>TRIM(IF(LEN(IF(LEN(INDEX('Aides'!$U$4:$U$503,490))=0,"",INDEX('Aides'!$U$4:$U$503,490)))=0,"","Owner: "&amp;IF(LEN(INDEX('Aides'!$U$4:$U$503,490))=0,"",INDEX('Aides'!$U$4:$U$503,490))&amp;". "))</f>
        <v/>
      </c>
      <c r="I993">
        <f>""</f>
        <v/>
      </c>
      <c r="J993">
        <f>IF(LEN(INDEX('Aides'!$V$4:$V$503,490))=0,"",INDEX('Aides'!$V$4:$V$503,490))</f>
        <v/>
      </c>
    </row>
    <row r="994">
      <c r="A994">
        <f>IF(AND(LEN('Aides'!A494)&gt;0,ISNUMBER('Aides'!S494)),1,0)</f>
        <v/>
      </c>
      <c r="B994">
        <f>B993+A994</f>
        <v/>
      </c>
      <c r="C994">
        <f>IF(991&gt;$B$1503,"",MATCH(991-0.5,$B$3:$B$1503,1))</f>
        <v/>
      </c>
      <c r="D994">
        <f>"CPR / First Aid – "&amp;IF(LEN(INDEX('Aides'!$A$4:$A$503,491))=0,"",INDEX('Aides'!$A$4:$A$503,491))</f>
        <v/>
      </c>
      <c r="E994">
        <f>IF(ISNUMBER(INDEX('Aides'!$S$4:$S$503,491)),TEXT(INDEX('Aides'!$S$4:$S$503,491),"yyyy-mm-dd"),"")</f>
        <v/>
      </c>
      <c r="F994">
        <f>"Training"</f>
        <v/>
      </c>
      <c r="G994">
        <f>"Medium"</f>
        <v/>
      </c>
      <c r="H994">
        <f>TRIM(IF(LEN(IF(LEN(INDEX('Aides'!$U$4:$U$503,491))=0,"",INDEX('Aides'!$U$4:$U$503,491)))=0,"","Owner: "&amp;IF(LEN(INDEX('Aides'!$U$4:$U$503,491))=0,"",INDEX('Aides'!$U$4:$U$503,491))&amp;". "))</f>
        <v/>
      </c>
      <c r="I994">
        <f>""</f>
        <v/>
      </c>
      <c r="J994">
        <f>IF(LEN(INDEX('Aides'!$V$4:$V$503,491))=0,"",INDEX('Aides'!$V$4:$V$503,491))</f>
        <v/>
      </c>
    </row>
    <row r="995">
      <c r="A995">
        <f>IF(AND(LEN('Aides'!A495)&gt;0,ISNUMBER('Aides'!S495)),1,0)</f>
        <v/>
      </c>
      <c r="B995">
        <f>B994+A995</f>
        <v/>
      </c>
      <c r="C995">
        <f>IF(992&gt;$B$1503,"",MATCH(992-0.5,$B$3:$B$1503,1))</f>
        <v/>
      </c>
      <c r="D995">
        <f>"CPR / First Aid – "&amp;IF(LEN(INDEX('Aides'!$A$4:$A$503,492))=0,"",INDEX('Aides'!$A$4:$A$503,492))</f>
        <v/>
      </c>
      <c r="E995">
        <f>IF(ISNUMBER(INDEX('Aides'!$S$4:$S$503,492)),TEXT(INDEX('Aides'!$S$4:$S$503,492),"yyyy-mm-dd"),"")</f>
        <v/>
      </c>
      <c r="F995">
        <f>"Training"</f>
        <v/>
      </c>
      <c r="G995">
        <f>"Medium"</f>
        <v/>
      </c>
      <c r="H995">
        <f>TRIM(IF(LEN(IF(LEN(INDEX('Aides'!$U$4:$U$503,492))=0,"",INDEX('Aides'!$U$4:$U$503,492)))=0,"","Owner: "&amp;IF(LEN(INDEX('Aides'!$U$4:$U$503,492))=0,"",INDEX('Aides'!$U$4:$U$503,492))&amp;". "))</f>
        <v/>
      </c>
      <c r="I995">
        <f>""</f>
        <v/>
      </c>
      <c r="J995">
        <f>IF(LEN(INDEX('Aides'!$V$4:$V$503,492))=0,"",INDEX('Aides'!$V$4:$V$503,492))</f>
        <v/>
      </c>
    </row>
    <row r="996">
      <c r="A996">
        <f>IF(AND(LEN('Aides'!A496)&gt;0,ISNUMBER('Aides'!S496)),1,0)</f>
        <v/>
      </c>
      <c r="B996">
        <f>B995+A996</f>
        <v/>
      </c>
      <c r="C996">
        <f>IF(993&gt;$B$1503,"",MATCH(993-0.5,$B$3:$B$1503,1))</f>
        <v/>
      </c>
      <c r="D996">
        <f>"CPR / First Aid – "&amp;IF(LEN(INDEX('Aides'!$A$4:$A$503,493))=0,"",INDEX('Aides'!$A$4:$A$503,493))</f>
        <v/>
      </c>
      <c r="E996">
        <f>IF(ISNUMBER(INDEX('Aides'!$S$4:$S$503,493)),TEXT(INDEX('Aides'!$S$4:$S$503,493),"yyyy-mm-dd"),"")</f>
        <v/>
      </c>
      <c r="F996">
        <f>"Training"</f>
        <v/>
      </c>
      <c r="G996">
        <f>"Medium"</f>
        <v/>
      </c>
      <c r="H996">
        <f>TRIM(IF(LEN(IF(LEN(INDEX('Aides'!$U$4:$U$503,493))=0,"",INDEX('Aides'!$U$4:$U$503,493)))=0,"","Owner: "&amp;IF(LEN(INDEX('Aides'!$U$4:$U$503,493))=0,"",INDEX('Aides'!$U$4:$U$503,493))&amp;". "))</f>
        <v/>
      </c>
      <c r="I996">
        <f>""</f>
        <v/>
      </c>
      <c r="J996">
        <f>IF(LEN(INDEX('Aides'!$V$4:$V$503,493))=0,"",INDEX('Aides'!$V$4:$V$503,493))</f>
        <v/>
      </c>
    </row>
    <row r="997">
      <c r="A997">
        <f>IF(AND(LEN('Aides'!A497)&gt;0,ISNUMBER('Aides'!S497)),1,0)</f>
        <v/>
      </c>
      <c r="B997">
        <f>B996+A997</f>
        <v/>
      </c>
      <c r="C997">
        <f>IF(994&gt;$B$1503,"",MATCH(994-0.5,$B$3:$B$1503,1))</f>
        <v/>
      </c>
      <c r="D997">
        <f>"CPR / First Aid – "&amp;IF(LEN(INDEX('Aides'!$A$4:$A$503,494))=0,"",INDEX('Aides'!$A$4:$A$503,494))</f>
        <v/>
      </c>
      <c r="E997">
        <f>IF(ISNUMBER(INDEX('Aides'!$S$4:$S$503,494)),TEXT(INDEX('Aides'!$S$4:$S$503,494),"yyyy-mm-dd"),"")</f>
        <v/>
      </c>
      <c r="F997">
        <f>"Training"</f>
        <v/>
      </c>
      <c r="G997">
        <f>"Medium"</f>
        <v/>
      </c>
      <c r="H997">
        <f>TRIM(IF(LEN(IF(LEN(INDEX('Aides'!$U$4:$U$503,494))=0,"",INDEX('Aides'!$U$4:$U$503,494)))=0,"","Owner: "&amp;IF(LEN(INDEX('Aides'!$U$4:$U$503,494))=0,"",INDEX('Aides'!$U$4:$U$503,494))&amp;". "))</f>
        <v/>
      </c>
      <c r="I997">
        <f>""</f>
        <v/>
      </c>
      <c r="J997">
        <f>IF(LEN(INDEX('Aides'!$V$4:$V$503,494))=0,"",INDEX('Aides'!$V$4:$V$503,494))</f>
        <v/>
      </c>
    </row>
    <row r="998">
      <c r="A998">
        <f>IF(AND(LEN('Aides'!A498)&gt;0,ISNUMBER('Aides'!S498)),1,0)</f>
        <v/>
      </c>
      <c r="B998">
        <f>B997+A998</f>
        <v/>
      </c>
      <c r="C998">
        <f>IF(995&gt;$B$1503,"",MATCH(995-0.5,$B$3:$B$1503,1))</f>
        <v/>
      </c>
      <c r="D998">
        <f>"CPR / First Aid – "&amp;IF(LEN(INDEX('Aides'!$A$4:$A$503,495))=0,"",INDEX('Aides'!$A$4:$A$503,495))</f>
        <v/>
      </c>
      <c r="E998">
        <f>IF(ISNUMBER(INDEX('Aides'!$S$4:$S$503,495)),TEXT(INDEX('Aides'!$S$4:$S$503,495),"yyyy-mm-dd"),"")</f>
        <v/>
      </c>
      <c r="F998">
        <f>"Training"</f>
        <v/>
      </c>
      <c r="G998">
        <f>"Medium"</f>
        <v/>
      </c>
      <c r="H998">
        <f>TRIM(IF(LEN(IF(LEN(INDEX('Aides'!$U$4:$U$503,495))=0,"",INDEX('Aides'!$U$4:$U$503,495)))=0,"","Owner: "&amp;IF(LEN(INDEX('Aides'!$U$4:$U$503,495))=0,"",INDEX('Aides'!$U$4:$U$503,495))&amp;". "))</f>
        <v/>
      </c>
      <c r="I998">
        <f>""</f>
        <v/>
      </c>
      <c r="J998">
        <f>IF(LEN(INDEX('Aides'!$V$4:$V$503,495))=0,"",INDEX('Aides'!$V$4:$V$503,495))</f>
        <v/>
      </c>
    </row>
    <row r="999">
      <c r="A999">
        <f>IF(AND(LEN('Aides'!A499)&gt;0,ISNUMBER('Aides'!S499)),1,0)</f>
        <v/>
      </c>
      <c r="B999">
        <f>B998+A999</f>
        <v/>
      </c>
      <c r="C999">
        <f>IF(996&gt;$B$1503,"",MATCH(996-0.5,$B$3:$B$1503,1))</f>
        <v/>
      </c>
      <c r="D999">
        <f>"CPR / First Aid – "&amp;IF(LEN(INDEX('Aides'!$A$4:$A$503,496))=0,"",INDEX('Aides'!$A$4:$A$503,496))</f>
        <v/>
      </c>
      <c r="E999">
        <f>IF(ISNUMBER(INDEX('Aides'!$S$4:$S$503,496)),TEXT(INDEX('Aides'!$S$4:$S$503,496),"yyyy-mm-dd"),"")</f>
        <v/>
      </c>
      <c r="F999">
        <f>"Training"</f>
        <v/>
      </c>
      <c r="G999">
        <f>"Medium"</f>
        <v/>
      </c>
      <c r="H999">
        <f>TRIM(IF(LEN(IF(LEN(INDEX('Aides'!$U$4:$U$503,496))=0,"",INDEX('Aides'!$U$4:$U$503,496)))=0,"","Owner: "&amp;IF(LEN(INDEX('Aides'!$U$4:$U$503,496))=0,"",INDEX('Aides'!$U$4:$U$503,496))&amp;". "))</f>
        <v/>
      </c>
      <c r="I999">
        <f>""</f>
        <v/>
      </c>
      <c r="J999">
        <f>IF(LEN(INDEX('Aides'!$V$4:$V$503,496))=0,"",INDEX('Aides'!$V$4:$V$503,496))</f>
        <v/>
      </c>
    </row>
    <row r="1000">
      <c r="A1000">
        <f>IF(AND(LEN('Aides'!A500)&gt;0,ISNUMBER('Aides'!S500)),1,0)</f>
        <v/>
      </c>
      <c r="B1000">
        <f>B999+A1000</f>
        <v/>
      </c>
      <c r="C1000">
        <f>IF(997&gt;$B$1503,"",MATCH(997-0.5,$B$3:$B$1503,1))</f>
        <v/>
      </c>
      <c r="D1000">
        <f>"CPR / First Aid – "&amp;IF(LEN(INDEX('Aides'!$A$4:$A$503,497))=0,"",INDEX('Aides'!$A$4:$A$503,497))</f>
        <v/>
      </c>
      <c r="E1000">
        <f>IF(ISNUMBER(INDEX('Aides'!$S$4:$S$503,497)),TEXT(INDEX('Aides'!$S$4:$S$503,497),"yyyy-mm-dd"),"")</f>
        <v/>
      </c>
      <c r="F1000">
        <f>"Training"</f>
        <v/>
      </c>
      <c r="G1000">
        <f>"Medium"</f>
        <v/>
      </c>
      <c r="H1000">
        <f>TRIM(IF(LEN(IF(LEN(INDEX('Aides'!$U$4:$U$503,497))=0,"",INDEX('Aides'!$U$4:$U$503,497)))=0,"","Owner: "&amp;IF(LEN(INDEX('Aides'!$U$4:$U$503,497))=0,"",INDEX('Aides'!$U$4:$U$503,497))&amp;". "))</f>
        <v/>
      </c>
      <c r="I1000">
        <f>""</f>
        <v/>
      </c>
      <c r="J1000">
        <f>IF(LEN(INDEX('Aides'!$V$4:$V$503,497))=0,"",INDEX('Aides'!$V$4:$V$503,497))</f>
        <v/>
      </c>
    </row>
    <row r="1001">
      <c r="A1001">
        <f>IF(AND(LEN('Aides'!A501)&gt;0,ISNUMBER('Aides'!S501)),1,0)</f>
        <v/>
      </c>
      <c r="B1001">
        <f>B1000+A1001</f>
        <v/>
      </c>
      <c r="C1001">
        <f>IF(998&gt;$B$1503,"",MATCH(998-0.5,$B$3:$B$1503,1))</f>
        <v/>
      </c>
      <c r="D1001">
        <f>"CPR / First Aid – "&amp;IF(LEN(INDEX('Aides'!$A$4:$A$503,498))=0,"",INDEX('Aides'!$A$4:$A$503,498))</f>
        <v/>
      </c>
      <c r="E1001">
        <f>IF(ISNUMBER(INDEX('Aides'!$S$4:$S$503,498)),TEXT(INDEX('Aides'!$S$4:$S$503,498),"yyyy-mm-dd"),"")</f>
        <v/>
      </c>
      <c r="F1001">
        <f>"Training"</f>
        <v/>
      </c>
      <c r="G1001">
        <f>"Medium"</f>
        <v/>
      </c>
      <c r="H1001">
        <f>TRIM(IF(LEN(IF(LEN(INDEX('Aides'!$U$4:$U$503,498))=0,"",INDEX('Aides'!$U$4:$U$503,498)))=0,"","Owner: "&amp;IF(LEN(INDEX('Aides'!$U$4:$U$503,498))=0,"",INDEX('Aides'!$U$4:$U$503,498))&amp;". "))</f>
        <v/>
      </c>
      <c r="I1001">
        <f>""</f>
        <v/>
      </c>
      <c r="J1001">
        <f>IF(LEN(INDEX('Aides'!$V$4:$V$503,498))=0,"",INDEX('Aides'!$V$4:$V$503,498))</f>
        <v/>
      </c>
    </row>
    <row r="1002">
      <c r="A1002">
        <f>IF(AND(LEN('Aides'!A502)&gt;0,ISNUMBER('Aides'!S502)),1,0)</f>
        <v/>
      </c>
      <c r="B1002">
        <f>B1001+A1002</f>
        <v/>
      </c>
      <c r="C1002">
        <f>IF(999&gt;$B$1503,"",MATCH(999-0.5,$B$3:$B$1503,1))</f>
        <v/>
      </c>
      <c r="D1002">
        <f>"CPR / First Aid – "&amp;IF(LEN(INDEX('Aides'!$A$4:$A$503,499))=0,"",INDEX('Aides'!$A$4:$A$503,499))</f>
        <v/>
      </c>
      <c r="E1002">
        <f>IF(ISNUMBER(INDEX('Aides'!$S$4:$S$503,499)),TEXT(INDEX('Aides'!$S$4:$S$503,499),"yyyy-mm-dd"),"")</f>
        <v/>
      </c>
      <c r="F1002">
        <f>"Training"</f>
        <v/>
      </c>
      <c r="G1002">
        <f>"Medium"</f>
        <v/>
      </c>
      <c r="H1002">
        <f>TRIM(IF(LEN(IF(LEN(INDEX('Aides'!$U$4:$U$503,499))=0,"",INDEX('Aides'!$U$4:$U$503,499)))=0,"","Owner: "&amp;IF(LEN(INDEX('Aides'!$U$4:$U$503,499))=0,"",INDEX('Aides'!$U$4:$U$503,499))&amp;". "))</f>
        <v/>
      </c>
      <c r="I1002">
        <f>""</f>
        <v/>
      </c>
      <c r="J1002">
        <f>IF(LEN(INDEX('Aides'!$V$4:$V$503,499))=0,"",INDEX('Aides'!$V$4:$V$503,499))</f>
        <v/>
      </c>
    </row>
    <row r="1003">
      <c r="A1003">
        <f>IF(AND(LEN('Aides'!A503)&gt;0,ISNUMBER('Aides'!S503)),1,0)</f>
        <v/>
      </c>
      <c r="B1003">
        <f>B1002+A1003</f>
        <v/>
      </c>
      <c r="C1003">
        <f>IF(1000&gt;$B$1503,"",MATCH(1000-0.5,$B$3:$B$1503,1))</f>
        <v/>
      </c>
      <c r="D1003">
        <f>"CPR / First Aid – "&amp;IF(LEN(INDEX('Aides'!$A$4:$A$503,500))=0,"",INDEX('Aides'!$A$4:$A$503,500))</f>
        <v/>
      </c>
      <c r="E1003">
        <f>IF(ISNUMBER(INDEX('Aides'!$S$4:$S$503,500)),TEXT(INDEX('Aides'!$S$4:$S$503,500),"yyyy-mm-dd"),"")</f>
        <v/>
      </c>
      <c r="F1003">
        <f>"Training"</f>
        <v/>
      </c>
      <c r="G1003">
        <f>"Medium"</f>
        <v/>
      </c>
      <c r="H1003">
        <f>TRIM(IF(LEN(IF(LEN(INDEX('Aides'!$U$4:$U$503,500))=0,"",INDEX('Aides'!$U$4:$U$503,500)))=0,"","Owner: "&amp;IF(LEN(INDEX('Aides'!$U$4:$U$503,500))=0,"",INDEX('Aides'!$U$4:$U$503,500))&amp;". "))</f>
        <v/>
      </c>
      <c r="I1003">
        <f>""</f>
        <v/>
      </c>
      <c r="J1003">
        <f>IF(LEN(INDEX('Aides'!$V$4:$V$503,500))=0,"",INDEX('Aides'!$V$4:$V$503,500))</f>
        <v/>
      </c>
    </row>
    <row r="1004">
      <c r="A1004">
        <f>IF(AND(LEN('Aides'!A4)&gt;0,ISNUMBER('Aides'!O4)),1,0)</f>
        <v/>
      </c>
      <c r="B1004">
        <f>B1003+A1004</f>
        <v/>
      </c>
      <c r="C1004">
        <f>IF(1001&gt;$B$1503,"",MATCH(1001-0.5,$B$3:$B$1503,1))</f>
        <v/>
      </c>
      <c r="D1004">
        <f>"In-service hours due – "&amp;IF(LEN(INDEX('Aides'!$A$4:$A$503,1))=0,"",INDEX('Aides'!$A$4:$A$503,1))</f>
        <v/>
      </c>
      <c r="E1004">
        <f>IF(ISNUMBER(INDEX('Aides'!$O$4:$O$503,1)),TEXT(INDEX('Aides'!$O$4:$O$503,1),"yyyy-mm-dd"),"")</f>
        <v/>
      </c>
      <c r="F1004">
        <f>"Training"</f>
        <v/>
      </c>
      <c r="G1004">
        <f>"Medium"</f>
        <v/>
      </c>
      <c r="H1004">
        <f>TRIM(IF(LEN(IF(LEN(INDEX('Aides'!$P$4:$P$503,1))=0,"",INDEX('Aides'!$P$4:$P$503,1)))=0,"","Hours done: "&amp;IF(LEN(INDEX('Aides'!$P$4:$P$503,1))=0,"",INDEX('Aides'!$P$4:$P$503,1))&amp;". ")&amp;IF(LEN(IF(LEN(INDEX('Aides'!$Q$4:$Q$503,1))=0,"",INDEX('Aides'!$Q$4:$Q$503,1)))=0,"","Target: "&amp;IF(LEN(INDEX('Aides'!$Q$4:$Q$503,1))=0,"",INDEX('Aides'!$Q$4:$Q$503,1))&amp;". ")&amp;IF(LEN(IF(LEN(INDEX('Aides'!$R$4:$R$503,1))=0,"",INDEX('Aides'!$R$4:$R$503,1)))=0,"","Hours still needed: "&amp;IF(LEN(INDEX('Aides'!$R$4:$R$503,1))=0,"",INDEX('Aides'!$R$4:$R$503,1))&amp;". ")&amp;IF(LEN(IF(LEN(INDEX('Aides'!$U$4:$U$503,1))=0,"",INDEX('Aides'!$U$4:$U$503,1)))=0,"","Owner: "&amp;IF(LEN(INDEX('Aides'!$U$4:$U$503,1))=0,"",INDEX('Aides'!$U$4:$U$503,1))&amp;". "))</f>
        <v/>
      </c>
      <c r="I1004">
        <f>""</f>
        <v/>
      </c>
      <c r="J1004">
        <f>IF(LEN(INDEX('Aides'!$V$4:$V$503,1))=0,"",INDEX('Aides'!$V$4:$V$503,1))</f>
        <v/>
      </c>
    </row>
    <row r="1005">
      <c r="A1005">
        <f>IF(AND(LEN('Aides'!A5)&gt;0,ISNUMBER('Aides'!O5)),1,0)</f>
        <v/>
      </c>
      <c r="B1005">
        <f>B1004+A1005</f>
        <v/>
      </c>
      <c r="C1005">
        <f>IF(1002&gt;$B$1503,"",MATCH(1002-0.5,$B$3:$B$1503,1))</f>
        <v/>
      </c>
      <c r="D1005">
        <f>"In-service hours due – "&amp;IF(LEN(INDEX('Aides'!$A$4:$A$503,2))=0,"",INDEX('Aides'!$A$4:$A$503,2))</f>
        <v/>
      </c>
      <c r="E1005">
        <f>IF(ISNUMBER(INDEX('Aides'!$O$4:$O$503,2)),TEXT(INDEX('Aides'!$O$4:$O$503,2),"yyyy-mm-dd"),"")</f>
        <v/>
      </c>
      <c r="F1005">
        <f>"Training"</f>
        <v/>
      </c>
      <c r="G1005">
        <f>"Medium"</f>
        <v/>
      </c>
      <c r="H1005">
        <f>TRIM(IF(LEN(IF(LEN(INDEX('Aides'!$P$4:$P$503,2))=0,"",INDEX('Aides'!$P$4:$P$503,2)))=0,"","Hours done: "&amp;IF(LEN(INDEX('Aides'!$P$4:$P$503,2))=0,"",INDEX('Aides'!$P$4:$P$503,2))&amp;". ")&amp;IF(LEN(IF(LEN(INDEX('Aides'!$Q$4:$Q$503,2))=0,"",INDEX('Aides'!$Q$4:$Q$503,2)))=0,"","Target: "&amp;IF(LEN(INDEX('Aides'!$Q$4:$Q$503,2))=0,"",INDEX('Aides'!$Q$4:$Q$503,2))&amp;". ")&amp;IF(LEN(IF(LEN(INDEX('Aides'!$R$4:$R$503,2))=0,"",INDEX('Aides'!$R$4:$R$503,2)))=0,"","Hours still needed: "&amp;IF(LEN(INDEX('Aides'!$R$4:$R$503,2))=0,"",INDEX('Aides'!$R$4:$R$503,2))&amp;". ")&amp;IF(LEN(IF(LEN(INDEX('Aides'!$U$4:$U$503,2))=0,"",INDEX('Aides'!$U$4:$U$503,2)))=0,"","Owner: "&amp;IF(LEN(INDEX('Aides'!$U$4:$U$503,2))=0,"",INDEX('Aides'!$U$4:$U$503,2))&amp;". "))</f>
        <v/>
      </c>
      <c r="I1005">
        <f>""</f>
        <v/>
      </c>
      <c r="J1005">
        <f>IF(LEN(INDEX('Aides'!$V$4:$V$503,2))=0,"",INDEX('Aides'!$V$4:$V$503,2))</f>
        <v/>
      </c>
    </row>
    <row r="1006">
      <c r="A1006">
        <f>IF(AND(LEN('Aides'!A6)&gt;0,ISNUMBER('Aides'!O6)),1,0)</f>
        <v/>
      </c>
      <c r="B1006">
        <f>B1005+A1006</f>
        <v/>
      </c>
      <c r="C1006">
        <f>IF(1003&gt;$B$1503,"",MATCH(1003-0.5,$B$3:$B$1503,1))</f>
        <v/>
      </c>
      <c r="D1006">
        <f>"In-service hours due – "&amp;IF(LEN(INDEX('Aides'!$A$4:$A$503,3))=0,"",INDEX('Aides'!$A$4:$A$503,3))</f>
        <v/>
      </c>
      <c r="E1006">
        <f>IF(ISNUMBER(INDEX('Aides'!$O$4:$O$503,3)),TEXT(INDEX('Aides'!$O$4:$O$503,3),"yyyy-mm-dd"),"")</f>
        <v/>
      </c>
      <c r="F1006">
        <f>"Training"</f>
        <v/>
      </c>
      <c r="G1006">
        <f>"Medium"</f>
        <v/>
      </c>
      <c r="H1006">
        <f>TRIM(IF(LEN(IF(LEN(INDEX('Aides'!$P$4:$P$503,3))=0,"",INDEX('Aides'!$P$4:$P$503,3)))=0,"","Hours done: "&amp;IF(LEN(INDEX('Aides'!$P$4:$P$503,3))=0,"",INDEX('Aides'!$P$4:$P$503,3))&amp;". ")&amp;IF(LEN(IF(LEN(INDEX('Aides'!$Q$4:$Q$503,3))=0,"",INDEX('Aides'!$Q$4:$Q$503,3)))=0,"","Target: "&amp;IF(LEN(INDEX('Aides'!$Q$4:$Q$503,3))=0,"",INDEX('Aides'!$Q$4:$Q$503,3))&amp;". ")&amp;IF(LEN(IF(LEN(INDEX('Aides'!$R$4:$R$503,3))=0,"",INDEX('Aides'!$R$4:$R$503,3)))=0,"","Hours still needed: "&amp;IF(LEN(INDEX('Aides'!$R$4:$R$503,3))=0,"",INDEX('Aides'!$R$4:$R$503,3))&amp;". ")&amp;IF(LEN(IF(LEN(INDEX('Aides'!$U$4:$U$503,3))=0,"",INDEX('Aides'!$U$4:$U$503,3)))=0,"","Owner: "&amp;IF(LEN(INDEX('Aides'!$U$4:$U$503,3))=0,"",INDEX('Aides'!$U$4:$U$503,3))&amp;". "))</f>
        <v/>
      </c>
      <c r="I1006">
        <f>""</f>
        <v/>
      </c>
      <c r="J1006">
        <f>IF(LEN(INDEX('Aides'!$V$4:$V$503,3))=0,"",INDEX('Aides'!$V$4:$V$503,3))</f>
        <v/>
      </c>
    </row>
    <row r="1007">
      <c r="A1007">
        <f>IF(AND(LEN('Aides'!A7)&gt;0,ISNUMBER('Aides'!O7)),1,0)</f>
        <v/>
      </c>
      <c r="B1007">
        <f>B1006+A1007</f>
        <v/>
      </c>
      <c r="C1007">
        <f>IF(1004&gt;$B$1503,"",MATCH(1004-0.5,$B$3:$B$1503,1))</f>
        <v/>
      </c>
      <c r="D1007">
        <f>"In-service hours due – "&amp;IF(LEN(INDEX('Aides'!$A$4:$A$503,4))=0,"",INDEX('Aides'!$A$4:$A$503,4))</f>
        <v/>
      </c>
      <c r="E1007">
        <f>IF(ISNUMBER(INDEX('Aides'!$O$4:$O$503,4)),TEXT(INDEX('Aides'!$O$4:$O$503,4),"yyyy-mm-dd"),"")</f>
        <v/>
      </c>
      <c r="F1007">
        <f>"Training"</f>
        <v/>
      </c>
      <c r="G1007">
        <f>"Medium"</f>
        <v/>
      </c>
      <c r="H1007">
        <f>TRIM(IF(LEN(IF(LEN(INDEX('Aides'!$P$4:$P$503,4))=0,"",INDEX('Aides'!$P$4:$P$503,4)))=0,"","Hours done: "&amp;IF(LEN(INDEX('Aides'!$P$4:$P$503,4))=0,"",INDEX('Aides'!$P$4:$P$503,4))&amp;". ")&amp;IF(LEN(IF(LEN(INDEX('Aides'!$Q$4:$Q$503,4))=0,"",INDEX('Aides'!$Q$4:$Q$503,4)))=0,"","Target: "&amp;IF(LEN(INDEX('Aides'!$Q$4:$Q$503,4))=0,"",INDEX('Aides'!$Q$4:$Q$503,4))&amp;". ")&amp;IF(LEN(IF(LEN(INDEX('Aides'!$R$4:$R$503,4))=0,"",INDEX('Aides'!$R$4:$R$503,4)))=0,"","Hours still needed: "&amp;IF(LEN(INDEX('Aides'!$R$4:$R$503,4))=0,"",INDEX('Aides'!$R$4:$R$503,4))&amp;". ")&amp;IF(LEN(IF(LEN(INDEX('Aides'!$U$4:$U$503,4))=0,"",INDEX('Aides'!$U$4:$U$503,4)))=0,"","Owner: "&amp;IF(LEN(INDEX('Aides'!$U$4:$U$503,4))=0,"",INDEX('Aides'!$U$4:$U$503,4))&amp;". "))</f>
        <v/>
      </c>
      <c r="I1007">
        <f>""</f>
        <v/>
      </c>
      <c r="J1007">
        <f>IF(LEN(INDEX('Aides'!$V$4:$V$503,4))=0,"",INDEX('Aides'!$V$4:$V$503,4))</f>
        <v/>
      </c>
    </row>
    <row r="1008">
      <c r="A1008">
        <f>IF(AND(LEN('Aides'!A8)&gt;0,ISNUMBER('Aides'!O8)),1,0)</f>
        <v/>
      </c>
      <c r="B1008">
        <f>B1007+A1008</f>
        <v/>
      </c>
      <c r="C1008">
        <f>IF(1005&gt;$B$1503,"",MATCH(1005-0.5,$B$3:$B$1503,1))</f>
        <v/>
      </c>
      <c r="D1008">
        <f>"In-service hours due – "&amp;IF(LEN(INDEX('Aides'!$A$4:$A$503,5))=0,"",INDEX('Aides'!$A$4:$A$503,5))</f>
        <v/>
      </c>
      <c r="E1008">
        <f>IF(ISNUMBER(INDEX('Aides'!$O$4:$O$503,5)),TEXT(INDEX('Aides'!$O$4:$O$503,5),"yyyy-mm-dd"),"")</f>
        <v/>
      </c>
      <c r="F1008">
        <f>"Training"</f>
        <v/>
      </c>
      <c r="G1008">
        <f>"Medium"</f>
        <v/>
      </c>
      <c r="H1008">
        <f>TRIM(IF(LEN(IF(LEN(INDEX('Aides'!$P$4:$P$503,5))=0,"",INDEX('Aides'!$P$4:$P$503,5)))=0,"","Hours done: "&amp;IF(LEN(INDEX('Aides'!$P$4:$P$503,5))=0,"",INDEX('Aides'!$P$4:$P$503,5))&amp;". ")&amp;IF(LEN(IF(LEN(INDEX('Aides'!$Q$4:$Q$503,5))=0,"",INDEX('Aides'!$Q$4:$Q$503,5)))=0,"","Target: "&amp;IF(LEN(INDEX('Aides'!$Q$4:$Q$503,5))=0,"",INDEX('Aides'!$Q$4:$Q$503,5))&amp;". ")&amp;IF(LEN(IF(LEN(INDEX('Aides'!$R$4:$R$503,5))=0,"",INDEX('Aides'!$R$4:$R$503,5)))=0,"","Hours still needed: "&amp;IF(LEN(INDEX('Aides'!$R$4:$R$503,5))=0,"",INDEX('Aides'!$R$4:$R$503,5))&amp;". ")&amp;IF(LEN(IF(LEN(INDEX('Aides'!$U$4:$U$503,5))=0,"",INDEX('Aides'!$U$4:$U$503,5)))=0,"","Owner: "&amp;IF(LEN(INDEX('Aides'!$U$4:$U$503,5))=0,"",INDEX('Aides'!$U$4:$U$503,5))&amp;". "))</f>
        <v/>
      </c>
      <c r="I1008">
        <f>""</f>
        <v/>
      </c>
      <c r="J1008">
        <f>IF(LEN(INDEX('Aides'!$V$4:$V$503,5))=0,"",INDEX('Aides'!$V$4:$V$503,5))</f>
        <v/>
      </c>
    </row>
    <row r="1009">
      <c r="A1009">
        <f>IF(AND(LEN('Aides'!A9)&gt;0,ISNUMBER('Aides'!O9)),1,0)</f>
        <v/>
      </c>
      <c r="B1009">
        <f>B1008+A1009</f>
        <v/>
      </c>
      <c r="C1009">
        <f>IF(1006&gt;$B$1503,"",MATCH(1006-0.5,$B$3:$B$1503,1))</f>
        <v/>
      </c>
      <c r="D1009">
        <f>"In-service hours due – "&amp;IF(LEN(INDEX('Aides'!$A$4:$A$503,6))=0,"",INDEX('Aides'!$A$4:$A$503,6))</f>
        <v/>
      </c>
      <c r="E1009">
        <f>IF(ISNUMBER(INDEX('Aides'!$O$4:$O$503,6)),TEXT(INDEX('Aides'!$O$4:$O$503,6),"yyyy-mm-dd"),"")</f>
        <v/>
      </c>
      <c r="F1009">
        <f>"Training"</f>
        <v/>
      </c>
      <c r="G1009">
        <f>"Medium"</f>
        <v/>
      </c>
      <c r="H1009">
        <f>TRIM(IF(LEN(IF(LEN(INDEX('Aides'!$P$4:$P$503,6))=0,"",INDEX('Aides'!$P$4:$P$503,6)))=0,"","Hours done: "&amp;IF(LEN(INDEX('Aides'!$P$4:$P$503,6))=0,"",INDEX('Aides'!$P$4:$P$503,6))&amp;". ")&amp;IF(LEN(IF(LEN(INDEX('Aides'!$Q$4:$Q$503,6))=0,"",INDEX('Aides'!$Q$4:$Q$503,6)))=0,"","Target: "&amp;IF(LEN(INDEX('Aides'!$Q$4:$Q$503,6))=0,"",INDEX('Aides'!$Q$4:$Q$503,6))&amp;". ")&amp;IF(LEN(IF(LEN(INDEX('Aides'!$R$4:$R$503,6))=0,"",INDEX('Aides'!$R$4:$R$503,6)))=0,"","Hours still needed: "&amp;IF(LEN(INDEX('Aides'!$R$4:$R$503,6))=0,"",INDEX('Aides'!$R$4:$R$503,6))&amp;". ")&amp;IF(LEN(IF(LEN(INDEX('Aides'!$U$4:$U$503,6))=0,"",INDEX('Aides'!$U$4:$U$503,6)))=0,"","Owner: "&amp;IF(LEN(INDEX('Aides'!$U$4:$U$503,6))=0,"",INDEX('Aides'!$U$4:$U$503,6))&amp;". "))</f>
        <v/>
      </c>
      <c r="I1009">
        <f>""</f>
        <v/>
      </c>
      <c r="J1009">
        <f>IF(LEN(INDEX('Aides'!$V$4:$V$503,6))=0,"",INDEX('Aides'!$V$4:$V$503,6))</f>
        <v/>
      </c>
    </row>
    <row r="1010">
      <c r="A1010">
        <f>IF(AND(LEN('Aides'!A10)&gt;0,ISNUMBER('Aides'!O10)),1,0)</f>
        <v/>
      </c>
      <c r="B1010">
        <f>B1009+A1010</f>
        <v/>
      </c>
      <c r="C1010">
        <f>IF(1007&gt;$B$1503,"",MATCH(1007-0.5,$B$3:$B$1503,1))</f>
        <v/>
      </c>
      <c r="D1010">
        <f>"In-service hours due – "&amp;IF(LEN(INDEX('Aides'!$A$4:$A$503,7))=0,"",INDEX('Aides'!$A$4:$A$503,7))</f>
        <v/>
      </c>
      <c r="E1010">
        <f>IF(ISNUMBER(INDEX('Aides'!$O$4:$O$503,7)),TEXT(INDEX('Aides'!$O$4:$O$503,7),"yyyy-mm-dd"),"")</f>
        <v/>
      </c>
      <c r="F1010">
        <f>"Training"</f>
        <v/>
      </c>
      <c r="G1010">
        <f>"Medium"</f>
        <v/>
      </c>
      <c r="H1010">
        <f>TRIM(IF(LEN(IF(LEN(INDEX('Aides'!$P$4:$P$503,7))=0,"",INDEX('Aides'!$P$4:$P$503,7)))=0,"","Hours done: "&amp;IF(LEN(INDEX('Aides'!$P$4:$P$503,7))=0,"",INDEX('Aides'!$P$4:$P$503,7))&amp;". ")&amp;IF(LEN(IF(LEN(INDEX('Aides'!$Q$4:$Q$503,7))=0,"",INDEX('Aides'!$Q$4:$Q$503,7)))=0,"","Target: "&amp;IF(LEN(INDEX('Aides'!$Q$4:$Q$503,7))=0,"",INDEX('Aides'!$Q$4:$Q$503,7))&amp;". ")&amp;IF(LEN(IF(LEN(INDEX('Aides'!$R$4:$R$503,7))=0,"",INDEX('Aides'!$R$4:$R$503,7)))=0,"","Hours still needed: "&amp;IF(LEN(INDEX('Aides'!$R$4:$R$503,7))=0,"",INDEX('Aides'!$R$4:$R$503,7))&amp;". ")&amp;IF(LEN(IF(LEN(INDEX('Aides'!$U$4:$U$503,7))=0,"",INDEX('Aides'!$U$4:$U$503,7)))=0,"","Owner: "&amp;IF(LEN(INDEX('Aides'!$U$4:$U$503,7))=0,"",INDEX('Aides'!$U$4:$U$503,7))&amp;". "))</f>
        <v/>
      </c>
      <c r="I1010">
        <f>""</f>
        <v/>
      </c>
      <c r="J1010">
        <f>IF(LEN(INDEX('Aides'!$V$4:$V$503,7))=0,"",INDEX('Aides'!$V$4:$V$503,7))</f>
        <v/>
      </c>
    </row>
    <row r="1011">
      <c r="A1011">
        <f>IF(AND(LEN('Aides'!A11)&gt;0,ISNUMBER('Aides'!O11)),1,0)</f>
        <v/>
      </c>
      <c r="B1011">
        <f>B1010+A1011</f>
        <v/>
      </c>
      <c r="C1011">
        <f>IF(1008&gt;$B$1503,"",MATCH(1008-0.5,$B$3:$B$1503,1))</f>
        <v/>
      </c>
      <c r="D1011">
        <f>"In-service hours due – "&amp;IF(LEN(INDEX('Aides'!$A$4:$A$503,8))=0,"",INDEX('Aides'!$A$4:$A$503,8))</f>
        <v/>
      </c>
      <c r="E1011">
        <f>IF(ISNUMBER(INDEX('Aides'!$O$4:$O$503,8)),TEXT(INDEX('Aides'!$O$4:$O$503,8),"yyyy-mm-dd"),"")</f>
        <v/>
      </c>
      <c r="F1011">
        <f>"Training"</f>
        <v/>
      </c>
      <c r="G1011">
        <f>"Medium"</f>
        <v/>
      </c>
      <c r="H1011">
        <f>TRIM(IF(LEN(IF(LEN(INDEX('Aides'!$P$4:$P$503,8))=0,"",INDEX('Aides'!$P$4:$P$503,8)))=0,"","Hours done: "&amp;IF(LEN(INDEX('Aides'!$P$4:$P$503,8))=0,"",INDEX('Aides'!$P$4:$P$503,8))&amp;". ")&amp;IF(LEN(IF(LEN(INDEX('Aides'!$Q$4:$Q$503,8))=0,"",INDEX('Aides'!$Q$4:$Q$503,8)))=0,"","Target: "&amp;IF(LEN(INDEX('Aides'!$Q$4:$Q$503,8))=0,"",INDEX('Aides'!$Q$4:$Q$503,8))&amp;". ")&amp;IF(LEN(IF(LEN(INDEX('Aides'!$R$4:$R$503,8))=0,"",INDEX('Aides'!$R$4:$R$503,8)))=0,"","Hours still needed: "&amp;IF(LEN(INDEX('Aides'!$R$4:$R$503,8))=0,"",INDEX('Aides'!$R$4:$R$503,8))&amp;". ")&amp;IF(LEN(IF(LEN(INDEX('Aides'!$U$4:$U$503,8))=0,"",INDEX('Aides'!$U$4:$U$503,8)))=0,"","Owner: "&amp;IF(LEN(INDEX('Aides'!$U$4:$U$503,8))=0,"",INDEX('Aides'!$U$4:$U$503,8))&amp;". "))</f>
        <v/>
      </c>
      <c r="I1011">
        <f>""</f>
        <v/>
      </c>
      <c r="J1011">
        <f>IF(LEN(INDEX('Aides'!$V$4:$V$503,8))=0,"",INDEX('Aides'!$V$4:$V$503,8))</f>
        <v/>
      </c>
    </row>
    <row r="1012">
      <c r="A1012">
        <f>IF(AND(LEN('Aides'!A12)&gt;0,ISNUMBER('Aides'!O12)),1,0)</f>
        <v/>
      </c>
      <c r="B1012">
        <f>B1011+A1012</f>
        <v/>
      </c>
      <c r="C1012">
        <f>IF(1009&gt;$B$1503,"",MATCH(1009-0.5,$B$3:$B$1503,1))</f>
        <v/>
      </c>
      <c r="D1012">
        <f>"In-service hours due – "&amp;IF(LEN(INDEX('Aides'!$A$4:$A$503,9))=0,"",INDEX('Aides'!$A$4:$A$503,9))</f>
        <v/>
      </c>
      <c r="E1012">
        <f>IF(ISNUMBER(INDEX('Aides'!$O$4:$O$503,9)),TEXT(INDEX('Aides'!$O$4:$O$503,9),"yyyy-mm-dd"),"")</f>
        <v/>
      </c>
      <c r="F1012">
        <f>"Training"</f>
        <v/>
      </c>
      <c r="G1012">
        <f>"Medium"</f>
        <v/>
      </c>
      <c r="H1012">
        <f>TRIM(IF(LEN(IF(LEN(INDEX('Aides'!$P$4:$P$503,9))=0,"",INDEX('Aides'!$P$4:$P$503,9)))=0,"","Hours done: "&amp;IF(LEN(INDEX('Aides'!$P$4:$P$503,9))=0,"",INDEX('Aides'!$P$4:$P$503,9))&amp;". ")&amp;IF(LEN(IF(LEN(INDEX('Aides'!$Q$4:$Q$503,9))=0,"",INDEX('Aides'!$Q$4:$Q$503,9)))=0,"","Target: "&amp;IF(LEN(INDEX('Aides'!$Q$4:$Q$503,9))=0,"",INDEX('Aides'!$Q$4:$Q$503,9))&amp;". ")&amp;IF(LEN(IF(LEN(INDEX('Aides'!$R$4:$R$503,9))=0,"",INDEX('Aides'!$R$4:$R$503,9)))=0,"","Hours still needed: "&amp;IF(LEN(INDEX('Aides'!$R$4:$R$503,9))=0,"",INDEX('Aides'!$R$4:$R$503,9))&amp;". ")&amp;IF(LEN(IF(LEN(INDEX('Aides'!$U$4:$U$503,9))=0,"",INDEX('Aides'!$U$4:$U$503,9)))=0,"","Owner: "&amp;IF(LEN(INDEX('Aides'!$U$4:$U$503,9))=0,"",INDEX('Aides'!$U$4:$U$503,9))&amp;". "))</f>
        <v/>
      </c>
      <c r="I1012">
        <f>""</f>
        <v/>
      </c>
      <c r="J1012">
        <f>IF(LEN(INDEX('Aides'!$V$4:$V$503,9))=0,"",INDEX('Aides'!$V$4:$V$503,9))</f>
        <v/>
      </c>
    </row>
    <row r="1013">
      <c r="A1013">
        <f>IF(AND(LEN('Aides'!A13)&gt;0,ISNUMBER('Aides'!O13)),1,0)</f>
        <v/>
      </c>
      <c r="B1013">
        <f>B1012+A1013</f>
        <v/>
      </c>
      <c r="C1013">
        <f>IF(1010&gt;$B$1503,"",MATCH(1010-0.5,$B$3:$B$1503,1))</f>
        <v/>
      </c>
      <c r="D1013">
        <f>"In-service hours due – "&amp;IF(LEN(INDEX('Aides'!$A$4:$A$503,10))=0,"",INDEX('Aides'!$A$4:$A$503,10))</f>
        <v/>
      </c>
      <c r="E1013">
        <f>IF(ISNUMBER(INDEX('Aides'!$O$4:$O$503,10)),TEXT(INDEX('Aides'!$O$4:$O$503,10),"yyyy-mm-dd"),"")</f>
        <v/>
      </c>
      <c r="F1013">
        <f>"Training"</f>
        <v/>
      </c>
      <c r="G1013">
        <f>"Medium"</f>
        <v/>
      </c>
      <c r="H1013">
        <f>TRIM(IF(LEN(IF(LEN(INDEX('Aides'!$P$4:$P$503,10))=0,"",INDEX('Aides'!$P$4:$P$503,10)))=0,"","Hours done: "&amp;IF(LEN(INDEX('Aides'!$P$4:$P$503,10))=0,"",INDEX('Aides'!$P$4:$P$503,10))&amp;". ")&amp;IF(LEN(IF(LEN(INDEX('Aides'!$Q$4:$Q$503,10))=0,"",INDEX('Aides'!$Q$4:$Q$503,10)))=0,"","Target: "&amp;IF(LEN(INDEX('Aides'!$Q$4:$Q$503,10))=0,"",INDEX('Aides'!$Q$4:$Q$503,10))&amp;". ")&amp;IF(LEN(IF(LEN(INDEX('Aides'!$R$4:$R$503,10))=0,"",INDEX('Aides'!$R$4:$R$503,10)))=0,"","Hours still needed: "&amp;IF(LEN(INDEX('Aides'!$R$4:$R$503,10))=0,"",INDEX('Aides'!$R$4:$R$503,10))&amp;". ")&amp;IF(LEN(IF(LEN(INDEX('Aides'!$U$4:$U$503,10))=0,"",INDEX('Aides'!$U$4:$U$503,10)))=0,"","Owner: "&amp;IF(LEN(INDEX('Aides'!$U$4:$U$503,10))=0,"",INDEX('Aides'!$U$4:$U$503,10))&amp;". "))</f>
        <v/>
      </c>
      <c r="I1013">
        <f>""</f>
        <v/>
      </c>
      <c r="J1013">
        <f>IF(LEN(INDEX('Aides'!$V$4:$V$503,10))=0,"",INDEX('Aides'!$V$4:$V$503,10))</f>
        <v/>
      </c>
    </row>
    <row r="1014">
      <c r="A1014">
        <f>IF(AND(LEN('Aides'!A14)&gt;0,ISNUMBER('Aides'!O14)),1,0)</f>
        <v/>
      </c>
      <c r="B1014">
        <f>B1013+A1014</f>
        <v/>
      </c>
      <c r="C1014">
        <f>IF(1011&gt;$B$1503,"",MATCH(1011-0.5,$B$3:$B$1503,1))</f>
        <v/>
      </c>
      <c r="D1014">
        <f>"In-service hours due – "&amp;IF(LEN(INDEX('Aides'!$A$4:$A$503,11))=0,"",INDEX('Aides'!$A$4:$A$503,11))</f>
        <v/>
      </c>
      <c r="E1014">
        <f>IF(ISNUMBER(INDEX('Aides'!$O$4:$O$503,11)),TEXT(INDEX('Aides'!$O$4:$O$503,11),"yyyy-mm-dd"),"")</f>
        <v/>
      </c>
      <c r="F1014">
        <f>"Training"</f>
        <v/>
      </c>
      <c r="G1014">
        <f>"Medium"</f>
        <v/>
      </c>
      <c r="H1014">
        <f>TRIM(IF(LEN(IF(LEN(INDEX('Aides'!$P$4:$P$503,11))=0,"",INDEX('Aides'!$P$4:$P$503,11)))=0,"","Hours done: "&amp;IF(LEN(INDEX('Aides'!$P$4:$P$503,11))=0,"",INDEX('Aides'!$P$4:$P$503,11))&amp;". ")&amp;IF(LEN(IF(LEN(INDEX('Aides'!$Q$4:$Q$503,11))=0,"",INDEX('Aides'!$Q$4:$Q$503,11)))=0,"","Target: "&amp;IF(LEN(INDEX('Aides'!$Q$4:$Q$503,11))=0,"",INDEX('Aides'!$Q$4:$Q$503,11))&amp;". ")&amp;IF(LEN(IF(LEN(INDEX('Aides'!$R$4:$R$503,11))=0,"",INDEX('Aides'!$R$4:$R$503,11)))=0,"","Hours still needed: "&amp;IF(LEN(INDEX('Aides'!$R$4:$R$503,11))=0,"",INDEX('Aides'!$R$4:$R$503,11))&amp;". ")&amp;IF(LEN(IF(LEN(INDEX('Aides'!$U$4:$U$503,11))=0,"",INDEX('Aides'!$U$4:$U$503,11)))=0,"","Owner: "&amp;IF(LEN(INDEX('Aides'!$U$4:$U$503,11))=0,"",INDEX('Aides'!$U$4:$U$503,11))&amp;". "))</f>
        <v/>
      </c>
      <c r="I1014">
        <f>""</f>
        <v/>
      </c>
      <c r="J1014">
        <f>IF(LEN(INDEX('Aides'!$V$4:$V$503,11))=0,"",INDEX('Aides'!$V$4:$V$503,11))</f>
        <v/>
      </c>
    </row>
    <row r="1015">
      <c r="A1015">
        <f>IF(AND(LEN('Aides'!A15)&gt;0,ISNUMBER('Aides'!O15)),1,0)</f>
        <v/>
      </c>
      <c r="B1015">
        <f>B1014+A1015</f>
        <v/>
      </c>
      <c r="C1015">
        <f>IF(1012&gt;$B$1503,"",MATCH(1012-0.5,$B$3:$B$1503,1))</f>
        <v/>
      </c>
      <c r="D1015">
        <f>"In-service hours due – "&amp;IF(LEN(INDEX('Aides'!$A$4:$A$503,12))=0,"",INDEX('Aides'!$A$4:$A$503,12))</f>
        <v/>
      </c>
      <c r="E1015">
        <f>IF(ISNUMBER(INDEX('Aides'!$O$4:$O$503,12)),TEXT(INDEX('Aides'!$O$4:$O$503,12),"yyyy-mm-dd"),"")</f>
        <v/>
      </c>
      <c r="F1015">
        <f>"Training"</f>
        <v/>
      </c>
      <c r="G1015">
        <f>"Medium"</f>
        <v/>
      </c>
      <c r="H1015">
        <f>TRIM(IF(LEN(IF(LEN(INDEX('Aides'!$P$4:$P$503,12))=0,"",INDEX('Aides'!$P$4:$P$503,12)))=0,"","Hours done: "&amp;IF(LEN(INDEX('Aides'!$P$4:$P$503,12))=0,"",INDEX('Aides'!$P$4:$P$503,12))&amp;". ")&amp;IF(LEN(IF(LEN(INDEX('Aides'!$Q$4:$Q$503,12))=0,"",INDEX('Aides'!$Q$4:$Q$503,12)))=0,"","Target: "&amp;IF(LEN(INDEX('Aides'!$Q$4:$Q$503,12))=0,"",INDEX('Aides'!$Q$4:$Q$503,12))&amp;". ")&amp;IF(LEN(IF(LEN(INDEX('Aides'!$R$4:$R$503,12))=0,"",INDEX('Aides'!$R$4:$R$503,12)))=0,"","Hours still needed: "&amp;IF(LEN(INDEX('Aides'!$R$4:$R$503,12))=0,"",INDEX('Aides'!$R$4:$R$503,12))&amp;". ")&amp;IF(LEN(IF(LEN(INDEX('Aides'!$U$4:$U$503,12))=0,"",INDEX('Aides'!$U$4:$U$503,12)))=0,"","Owner: "&amp;IF(LEN(INDEX('Aides'!$U$4:$U$503,12))=0,"",INDEX('Aides'!$U$4:$U$503,12))&amp;". "))</f>
        <v/>
      </c>
      <c r="I1015">
        <f>""</f>
        <v/>
      </c>
      <c r="J1015">
        <f>IF(LEN(INDEX('Aides'!$V$4:$V$503,12))=0,"",INDEX('Aides'!$V$4:$V$503,12))</f>
        <v/>
      </c>
    </row>
    <row r="1016">
      <c r="A1016">
        <f>IF(AND(LEN('Aides'!A16)&gt;0,ISNUMBER('Aides'!O16)),1,0)</f>
        <v/>
      </c>
      <c r="B1016">
        <f>B1015+A1016</f>
        <v/>
      </c>
      <c r="C1016">
        <f>IF(1013&gt;$B$1503,"",MATCH(1013-0.5,$B$3:$B$1503,1))</f>
        <v/>
      </c>
      <c r="D1016">
        <f>"In-service hours due – "&amp;IF(LEN(INDEX('Aides'!$A$4:$A$503,13))=0,"",INDEX('Aides'!$A$4:$A$503,13))</f>
        <v/>
      </c>
      <c r="E1016">
        <f>IF(ISNUMBER(INDEX('Aides'!$O$4:$O$503,13)),TEXT(INDEX('Aides'!$O$4:$O$503,13),"yyyy-mm-dd"),"")</f>
        <v/>
      </c>
      <c r="F1016">
        <f>"Training"</f>
        <v/>
      </c>
      <c r="G1016">
        <f>"Medium"</f>
        <v/>
      </c>
      <c r="H1016">
        <f>TRIM(IF(LEN(IF(LEN(INDEX('Aides'!$P$4:$P$503,13))=0,"",INDEX('Aides'!$P$4:$P$503,13)))=0,"","Hours done: "&amp;IF(LEN(INDEX('Aides'!$P$4:$P$503,13))=0,"",INDEX('Aides'!$P$4:$P$503,13))&amp;". ")&amp;IF(LEN(IF(LEN(INDEX('Aides'!$Q$4:$Q$503,13))=0,"",INDEX('Aides'!$Q$4:$Q$503,13)))=0,"","Target: "&amp;IF(LEN(INDEX('Aides'!$Q$4:$Q$503,13))=0,"",INDEX('Aides'!$Q$4:$Q$503,13))&amp;". ")&amp;IF(LEN(IF(LEN(INDEX('Aides'!$R$4:$R$503,13))=0,"",INDEX('Aides'!$R$4:$R$503,13)))=0,"","Hours still needed: "&amp;IF(LEN(INDEX('Aides'!$R$4:$R$503,13))=0,"",INDEX('Aides'!$R$4:$R$503,13))&amp;". ")&amp;IF(LEN(IF(LEN(INDEX('Aides'!$U$4:$U$503,13))=0,"",INDEX('Aides'!$U$4:$U$503,13)))=0,"","Owner: "&amp;IF(LEN(INDEX('Aides'!$U$4:$U$503,13))=0,"",INDEX('Aides'!$U$4:$U$503,13))&amp;". "))</f>
        <v/>
      </c>
      <c r="I1016">
        <f>""</f>
        <v/>
      </c>
      <c r="J1016">
        <f>IF(LEN(INDEX('Aides'!$V$4:$V$503,13))=0,"",INDEX('Aides'!$V$4:$V$503,13))</f>
        <v/>
      </c>
    </row>
    <row r="1017">
      <c r="A1017">
        <f>IF(AND(LEN('Aides'!A17)&gt;0,ISNUMBER('Aides'!O17)),1,0)</f>
        <v/>
      </c>
      <c r="B1017">
        <f>B1016+A1017</f>
        <v/>
      </c>
      <c r="C1017">
        <f>IF(1014&gt;$B$1503,"",MATCH(1014-0.5,$B$3:$B$1503,1))</f>
        <v/>
      </c>
      <c r="D1017">
        <f>"In-service hours due – "&amp;IF(LEN(INDEX('Aides'!$A$4:$A$503,14))=0,"",INDEX('Aides'!$A$4:$A$503,14))</f>
        <v/>
      </c>
      <c r="E1017">
        <f>IF(ISNUMBER(INDEX('Aides'!$O$4:$O$503,14)),TEXT(INDEX('Aides'!$O$4:$O$503,14),"yyyy-mm-dd"),"")</f>
        <v/>
      </c>
      <c r="F1017">
        <f>"Training"</f>
        <v/>
      </c>
      <c r="G1017">
        <f>"Medium"</f>
        <v/>
      </c>
      <c r="H1017">
        <f>TRIM(IF(LEN(IF(LEN(INDEX('Aides'!$P$4:$P$503,14))=0,"",INDEX('Aides'!$P$4:$P$503,14)))=0,"","Hours done: "&amp;IF(LEN(INDEX('Aides'!$P$4:$P$503,14))=0,"",INDEX('Aides'!$P$4:$P$503,14))&amp;". ")&amp;IF(LEN(IF(LEN(INDEX('Aides'!$Q$4:$Q$503,14))=0,"",INDEX('Aides'!$Q$4:$Q$503,14)))=0,"","Target: "&amp;IF(LEN(INDEX('Aides'!$Q$4:$Q$503,14))=0,"",INDEX('Aides'!$Q$4:$Q$503,14))&amp;". ")&amp;IF(LEN(IF(LEN(INDEX('Aides'!$R$4:$R$503,14))=0,"",INDEX('Aides'!$R$4:$R$503,14)))=0,"","Hours still needed: "&amp;IF(LEN(INDEX('Aides'!$R$4:$R$503,14))=0,"",INDEX('Aides'!$R$4:$R$503,14))&amp;". ")&amp;IF(LEN(IF(LEN(INDEX('Aides'!$U$4:$U$503,14))=0,"",INDEX('Aides'!$U$4:$U$503,14)))=0,"","Owner: "&amp;IF(LEN(INDEX('Aides'!$U$4:$U$503,14))=0,"",INDEX('Aides'!$U$4:$U$503,14))&amp;". "))</f>
        <v/>
      </c>
      <c r="I1017">
        <f>""</f>
        <v/>
      </c>
      <c r="J1017">
        <f>IF(LEN(INDEX('Aides'!$V$4:$V$503,14))=0,"",INDEX('Aides'!$V$4:$V$503,14))</f>
        <v/>
      </c>
    </row>
    <row r="1018">
      <c r="A1018">
        <f>IF(AND(LEN('Aides'!A18)&gt;0,ISNUMBER('Aides'!O18)),1,0)</f>
        <v/>
      </c>
      <c r="B1018">
        <f>B1017+A1018</f>
        <v/>
      </c>
      <c r="C1018">
        <f>IF(1015&gt;$B$1503,"",MATCH(1015-0.5,$B$3:$B$1503,1))</f>
        <v/>
      </c>
      <c r="D1018">
        <f>"In-service hours due – "&amp;IF(LEN(INDEX('Aides'!$A$4:$A$503,15))=0,"",INDEX('Aides'!$A$4:$A$503,15))</f>
        <v/>
      </c>
      <c r="E1018">
        <f>IF(ISNUMBER(INDEX('Aides'!$O$4:$O$503,15)),TEXT(INDEX('Aides'!$O$4:$O$503,15),"yyyy-mm-dd"),"")</f>
        <v/>
      </c>
      <c r="F1018">
        <f>"Training"</f>
        <v/>
      </c>
      <c r="G1018">
        <f>"Medium"</f>
        <v/>
      </c>
      <c r="H1018">
        <f>TRIM(IF(LEN(IF(LEN(INDEX('Aides'!$P$4:$P$503,15))=0,"",INDEX('Aides'!$P$4:$P$503,15)))=0,"","Hours done: "&amp;IF(LEN(INDEX('Aides'!$P$4:$P$503,15))=0,"",INDEX('Aides'!$P$4:$P$503,15))&amp;". ")&amp;IF(LEN(IF(LEN(INDEX('Aides'!$Q$4:$Q$503,15))=0,"",INDEX('Aides'!$Q$4:$Q$503,15)))=0,"","Target: "&amp;IF(LEN(INDEX('Aides'!$Q$4:$Q$503,15))=0,"",INDEX('Aides'!$Q$4:$Q$503,15))&amp;". ")&amp;IF(LEN(IF(LEN(INDEX('Aides'!$R$4:$R$503,15))=0,"",INDEX('Aides'!$R$4:$R$503,15)))=0,"","Hours still needed: "&amp;IF(LEN(INDEX('Aides'!$R$4:$R$503,15))=0,"",INDEX('Aides'!$R$4:$R$503,15))&amp;". ")&amp;IF(LEN(IF(LEN(INDEX('Aides'!$U$4:$U$503,15))=0,"",INDEX('Aides'!$U$4:$U$503,15)))=0,"","Owner: "&amp;IF(LEN(INDEX('Aides'!$U$4:$U$503,15))=0,"",INDEX('Aides'!$U$4:$U$503,15))&amp;". "))</f>
        <v/>
      </c>
      <c r="I1018">
        <f>""</f>
        <v/>
      </c>
      <c r="J1018">
        <f>IF(LEN(INDEX('Aides'!$V$4:$V$503,15))=0,"",INDEX('Aides'!$V$4:$V$503,15))</f>
        <v/>
      </c>
    </row>
    <row r="1019">
      <c r="A1019">
        <f>IF(AND(LEN('Aides'!A19)&gt;0,ISNUMBER('Aides'!O19)),1,0)</f>
        <v/>
      </c>
      <c r="B1019">
        <f>B1018+A1019</f>
        <v/>
      </c>
      <c r="C1019">
        <f>IF(1016&gt;$B$1503,"",MATCH(1016-0.5,$B$3:$B$1503,1))</f>
        <v/>
      </c>
      <c r="D1019">
        <f>"In-service hours due – "&amp;IF(LEN(INDEX('Aides'!$A$4:$A$503,16))=0,"",INDEX('Aides'!$A$4:$A$503,16))</f>
        <v/>
      </c>
      <c r="E1019">
        <f>IF(ISNUMBER(INDEX('Aides'!$O$4:$O$503,16)),TEXT(INDEX('Aides'!$O$4:$O$503,16),"yyyy-mm-dd"),"")</f>
        <v/>
      </c>
      <c r="F1019">
        <f>"Training"</f>
        <v/>
      </c>
      <c r="G1019">
        <f>"Medium"</f>
        <v/>
      </c>
      <c r="H1019">
        <f>TRIM(IF(LEN(IF(LEN(INDEX('Aides'!$P$4:$P$503,16))=0,"",INDEX('Aides'!$P$4:$P$503,16)))=0,"","Hours done: "&amp;IF(LEN(INDEX('Aides'!$P$4:$P$503,16))=0,"",INDEX('Aides'!$P$4:$P$503,16))&amp;". ")&amp;IF(LEN(IF(LEN(INDEX('Aides'!$Q$4:$Q$503,16))=0,"",INDEX('Aides'!$Q$4:$Q$503,16)))=0,"","Target: "&amp;IF(LEN(INDEX('Aides'!$Q$4:$Q$503,16))=0,"",INDEX('Aides'!$Q$4:$Q$503,16))&amp;". ")&amp;IF(LEN(IF(LEN(INDEX('Aides'!$R$4:$R$503,16))=0,"",INDEX('Aides'!$R$4:$R$503,16)))=0,"","Hours still needed: "&amp;IF(LEN(INDEX('Aides'!$R$4:$R$503,16))=0,"",INDEX('Aides'!$R$4:$R$503,16))&amp;". ")&amp;IF(LEN(IF(LEN(INDEX('Aides'!$U$4:$U$503,16))=0,"",INDEX('Aides'!$U$4:$U$503,16)))=0,"","Owner: "&amp;IF(LEN(INDEX('Aides'!$U$4:$U$503,16))=0,"",INDEX('Aides'!$U$4:$U$503,16))&amp;". "))</f>
        <v/>
      </c>
      <c r="I1019">
        <f>""</f>
        <v/>
      </c>
      <c r="J1019">
        <f>IF(LEN(INDEX('Aides'!$V$4:$V$503,16))=0,"",INDEX('Aides'!$V$4:$V$503,16))</f>
        <v/>
      </c>
    </row>
    <row r="1020">
      <c r="A1020">
        <f>IF(AND(LEN('Aides'!A20)&gt;0,ISNUMBER('Aides'!O20)),1,0)</f>
        <v/>
      </c>
      <c r="B1020">
        <f>B1019+A1020</f>
        <v/>
      </c>
      <c r="C1020">
        <f>IF(1017&gt;$B$1503,"",MATCH(1017-0.5,$B$3:$B$1503,1))</f>
        <v/>
      </c>
      <c r="D1020">
        <f>"In-service hours due – "&amp;IF(LEN(INDEX('Aides'!$A$4:$A$503,17))=0,"",INDEX('Aides'!$A$4:$A$503,17))</f>
        <v/>
      </c>
      <c r="E1020">
        <f>IF(ISNUMBER(INDEX('Aides'!$O$4:$O$503,17)),TEXT(INDEX('Aides'!$O$4:$O$503,17),"yyyy-mm-dd"),"")</f>
        <v/>
      </c>
      <c r="F1020">
        <f>"Training"</f>
        <v/>
      </c>
      <c r="G1020">
        <f>"Medium"</f>
        <v/>
      </c>
      <c r="H1020">
        <f>TRIM(IF(LEN(IF(LEN(INDEX('Aides'!$P$4:$P$503,17))=0,"",INDEX('Aides'!$P$4:$P$503,17)))=0,"","Hours done: "&amp;IF(LEN(INDEX('Aides'!$P$4:$P$503,17))=0,"",INDEX('Aides'!$P$4:$P$503,17))&amp;". ")&amp;IF(LEN(IF(LEN(INDEX('Aides'!$Q$4:$Q$503,17))=0,"",INDEX('Aides'!$Q$4:$Q$503,17)))=0,"","Target: "&amp;IF(LEN(INDEX('Aides'!$Q$4:$Q$503,17))=0,"",INDEX('Aides'!$Q$4:$Q$503,17))&amp;". ")&amp;IF(LEN(IF(LEN(INDEX('Aides'!$R$4:$R$503,17))=0,"",INDEX('Aides'!$R$4:$R$503,17)))=0,"","Hours still needed: "&amp;IF(LEN(INDEX('Aides'!$R$4:$R$503,17))=0,"",INDEX('Aides'!$R$4:$R$503,17))&amp;". ")&amp;IF(LEN(IF(LEN(INDEX('Aides'!$U$4:$U$503,17))=0,"",INDEX('Aides'!$U$4:$U$503,17)))=0,"","Owner: "&amp;IF(LEN(INDEX('Aides'!$U$4:$U$503,17))=0,"",INDEX('Aides'!$U$4:$U$503,17))&amp;". "))</f>
        <v/>
      </c>
      <c r="I1020">
        <f>""</f>
        <v/>
      </c>
      <c r="J1020">
        <f>IF(LEN(INDEX('Aides'!$V$4:$V$503,17))=0,"",INDEX('Aides'!$V$4:$V$503,17))</f>
        <v/>
      </c>
    </row>
    <row r="1021">
      <c r="A1021">
        <f>IF(AND(LEN('Aides'!A21)&gt;0,ISNUMBER('Aides'!O21)),1,0)</f>
        <v/>
      </c>
      <c r="B1021">
        <f>B1020+A1021</f>
        <v/>
      </c>
      <c r="C1021">
        <f>IF(1018&gt;$B$1503,"",MATCH(1018-0.5,$B$3:$B$1503,1))</f>
        <v/>
      </c>
      <c r="D1021">
        <f>"In-service hours due – "&amp;IF(LEN(INDEX('Aides'!$A$4:$A$503,18))=0,"",INDEX('Aides'!$A$4:$A$503,18))</f>
        <v/>
      </c>
      <c r="E1021">
        <f>IF(ISNUMBER(INDEX('Aides'!$O$4:$O$503,18)),TEXT(INDEX('Aides'!$O$4:$O$503,18),"yyyy-mm-dd"),"")</f>
        <v/>
      </c>
      <c r="F1021">
        <f>"Training"</f>
        <v/>
      </c>
      <c r="G1021">
        <f>"Medium"</f>
        <v/>
      </c>
      <c r="H1021">
        <f>TRIM(IF(LEN(IF(LEN(INDEX('Aides'!$P$4:$P$503,18))=0,"",INDEX('Aides'!$P$4:$P$503,18)))=0,"","Hours done: "&amp;IF(LEN(INDEX('Aides'!$P$4:$P$503,18))=0,"",INDEX('Aides'!$P$4:$P$503,18))&amp;". ")&amp;IF(LEN(IF(LEN(INDEX('Aides'!$Q$4:$Q$503,18))=0,"",INDEX('Aides'!$Q$4:$Q$503,18)))=0,"","Target: "&amp;IF(LEN(INDEX('Aides'!$Q$4:$Q$503,18))=0,"",INDEX('Aides'!$Q$4:$Q$503,18))&amp;". ")&amp;IF(LEN(IF(LEN(INDEX('Aides'!$R$4:$R$503,18))=0,"",INDEX('Aides'!$R$4:$R$503,18)))=0,"","Hours still needed: "&amp;IF(LEN(INDEX('Aides'!$R$4:$R$503,18))=0,"",INDEX('Aides'!$R$4:$R$503,18))&amp;". ")&amp;IF(LEN(IF(LEN(INDEX('Aides'!$U$4:$U$503,18))=0,"",INDEX('Aides'!$U$4:$U$503,18)))=0,"","Owner: "&amp;IF(LEN(INDEX('Aides'!$U$4:$U$503,18))=0,"",INDEX('Aides'!$U$4:$U$503,18))&amp;". "))</f>
        <v/>
      </c>
      <c r="I1021">
        <f>""</f>
        <v/>
      </c>
      <c r="J1021">
        <f>IF(LEN(INDEX('Aides'!$V$4:$V$503,18))=0,"",INDEX('Aides'!$V$4:$V$503,18))</f>
        <v/>
      </c>
    </row>
    <row r="1022">
      <c r="A1022">
        <f>IF(AND(LEN('Aides'!A22)&gt;0,ISNUMBER('Aides'!O22)),1,0)</f>
        <v/>
      </c>
      <c r="B1022">
        <f>B1021+A1022</f>
        <v/>
      </c>
      <c r="C1022">
        <f>IF(1019&gt;$B$1503,"",MATCH(1019-0.5,$B$3:$B$1503,1))</f>
        <v/>
      </c>
      <c r="D1022">
        <f>"In-service hours due – "&amp;IF(LEN(INDEX('Aides'!$A$4:$A$503,19))=0,"",INDEX('Aides'!$A$4:$A$503,19))</f>
        <v/>
      </c>
      <c r="E1022">
        <f>IF(ISNUMBER(INDEX('Aides'!$O$4:$O$503,19)),TEXT(INDEX('Aides'!$O$4:$O$503,19),"yyyy-mm-dd"),"")</f>
        <v/>
      </c>
      <c r="F1022">
        <f>"Training"</f>
        <v/>
      </c>
      <c r="G1022">
        <f>"Medium"</f>
        <v/>
      </c>
      <c r="H1022">
        <f>TRIM(IF(LEN(IF(LEN(INDEX('Aides'!$P$4:$P$503,19))=0,"",INDEX('Aides'!$P$4:$P$503,19)))=0,"","Hours done: "&amp;IF(LEN(INDEX('Aides'!$P$4:$P$503,19))=0,"",INDEX('Aides'!$P$4:$P$503,19))&amp;". ")&amp;IF(LEN(IF(LEN(INDEX('Aides'!$Q$4:$Q$503,19))=0,"",INDEX('Aides'!$Q$4:$Q$503,19)))=0,"","Target: "&amp;IF(LEN(INDEX('Aides'!$Q$4:$Q$503,19))=0,"",INDEX('Aides'!$Q$4:$Q$503,19))&amp;". ")&amp;IF(LEN(IF(LEN(INDEX('Aides'!$R$4:$R$503,19))=0,"",INDEX('Aides'!$R$4:$R$503,19)))=0,"","Hours still needed: "&amp;IF(LEN(INDEX('Aides'!$R$4:$R$503,19))=0,"",INDEX('Aides'!$R$4:$R$503,19))&amp;". ")&amp;IF(LEN(IF(LEN(INDEX('Aides'!$U$4:$U$503,19))=0,"",INDEX('Aides'!$U$4:$U$503,19)))=0,"","Owner: "&amp;IF(LEN(INDEX('Aides'!$U$4:$U$503,19))=0,"",INDEX('Aides'!$U$4:$U$503,19))&amp;". "))</f>
        <v/>
      </c>
      <c r="I1022">
        <f>""</f>
        <v/>
      </c>
      <c r="J1022">
        <f>IF(LEN(INDEX('Aides'!$V$4:$V$503,19))=0,"",INDEX('Aides'!$V$4:$V$503,19))</f>
        <v/>
      </c>
    </row>
    <row r="1023">
      <c r="A1023">
        <f>IF(AND(LEN('Aides'!A23)&gt;0,ISNUMBER('Aides'!O23)),1,0)</f>
        <v/>
      </c>
      <c r="B1023">
        <f>B1022+A1023</f>
        <v/>
      </c>
      <c r="C1023">
        <f>IF(1020&gt;$B$1503,"",MATCH(1020-0.5,$B$3:$B$1503,1))</f>
        <v/>
      </c>
      <c r="D1023">
        <f>"In-service hours due – "&amp;IF(LEN(INDEX('Aides'!$A$4:$A$503,20))=0,"",INDEX('Aides'!$A$4:$A$503,20))</f>
        <v/>
      </c>
      <c r="E1023">
        <f>IF(ISNUMBER(INDEX('Aides'!$O$4:$O$503,20)),TEXT(INDEX('Aides'!$O$4:$O$503,20),"yyyy-mm-dd"),"")</f>
        <v/>
      </c>
      <c r="F1023">
        <f>"Training"</f>
        <v/>
      </c>
      <c r="G1023">
        <f>"Medium"</f>
        <v/>
      </c>
      <c r="H1023">
        <f>TRIM(IF(LEN(IF(LEN(INDEX('Aides'!$P$4:$P$503,20))=0,"",INDEX('Aides'!$P$4:$P$503,20)))=0,"","Hours done: "&amp;IF(LEN(INDEX('Aides'!$P$4:$P$503,20))=0,"",INDEX('Aides'!$P$4:$P$503,20))&amp;". ")&amp;IF(LEN(IF(LEN(INDEX('Aides'!$Q$4:$Q$503,20))=0,"",INDEX('Aides'!$Q$4:$Q$503,20)))=0,"","Target: "&amp;IF(LEN(INDEX('Aides'!$Q$4:$Q$503,20))=0,"",INDEX('Aides'!$Q$4:$Q$503,20))&amp;". ")&amp;IF(LEN(IF(LEN(INDEX('Aides'!$R$4:$R$503,20))=0,"",INDEX('Aides'!$R$4:$R$503,20)))=0,"","Hours still needed: "&amp;IF(LEN(INDEX('Aides'!$R$4:$R$503,20))=0,"",INDEX('Aides'!$R$4:$R$503,20))&amp;". ")&amp;IF(LEN(IF(LEN(INDEX('Aides'!$U$4:$U$503,20))=0,"",INDEX('Aides'!$U$4:$U$503,20)))=0,"","Owner: "&amp;IF(LEN(INDEX('Aides'!$U$4:$U$503,20))=0,"",INDEX('Aides'!$U$4:$U$503,20))&amp;". "))</f>
        <v/>
      </c>
      <c r="I1023">
        <f>""</f>
        <v/>
      </c>
      <c r="J1023">
        <f>IF(LEN(INDEX('Aides'!$V$4:$V$503,20))=0,"",INDEX('Aides'!$V$4:$V$503,20))</f>
        <v/>
      </c>
    </row>
    <row r="1024">
      <c r="A1024">
        <f>IF(AND(LEN('Aides'!A24)&gt;0,ISNUMBER('Aides'!O24)),1,0)</f>
        <v/>
      </c>
      <c r="B1024">
        <f>B1023+A1024</f>
        <v/>
      </c>
      <c r="C1024">
        <f>IF(1021&gt;$B$1503,"",MATCH(1021-0.5,$B$3:$B$1503,1))</f>
        <v/>
      </c>
      <c r="D1024">
        <f>"In-service hours due – "&amp;IF(LEN(INDEX('Aides'!$A$4:$A$503,21))=0,"",INDEX('Aides'!$A$4:$A$503,21))</f>
        <v/>
      </c>
      <c r="E1024">
        <f>IF(ISNUMBER(INDEX('Aides'!$O$4:$O$503,21)),TEXT(INDEX('Aides'!$O$4:$O$503,21),"yyyy-mm-dd"),"")</f>
        <v/>
      </c>
      <c r="F1024">
        <f>"Training"</f>
        <v/>
      </c>
      <c r="G1024">
        <f>"Medium"</f>
        <v/>
      </c>
      <c r="H1024">
        <f>TRIM(IF(LEN(IF(LEN(INDEX('Aides'!$P$4:$P$503,21))=0,"",INDEX('Aides'!$P$4:$P$503,21)))=0,"","Hours done: "&amp;IF(LEN(INDEX('Aides'!$P$4:$P$503,21))=0,"",INDEX('Aides'!$P$4:$P$503,21))&amp;". ")&amp;IF(LEN(IF(LEN(INDEX('Aides'!$Q$4:$Q$503,21))=0,"",INDEX('Aides'!$Q$4:$Q$503,21)))=0,"","Target: "&amp;IF(LEN(INDEX('Aides'!$Q$4:$Q$503,21))=0,"",INDEX('Aides'!$Q$4:$Q$503,21))&amp;". ")&amp;IF(LEN(IF(LEN(INDEX('Aides'!$R$4:$R$503,21))=0,"",INDEX('Aides'!$R$4:$R$503,21)))=0,"","Hours still needed: "&amp;IF(LEN(INDEX('Aides'!$R$4:$R$503,21))=0,"",INDEX('Aides'!$R$4:$R$503,21))&amp;". ")&amp;IF(LEN(IF(LEN(INDEX('Aides'!$U$4:$U$503,21))=0,"",INDEX('Aides'!$U$4:$U$503,21)))=0,"","Owner: "&amp;IF(LEN(INDEX('Aides'!$U$4:$U$503,21))=0,"",INDEX('Aides'!$U$4:$U$503,21))&amp;". "))</f>
        <v/>
      </c>
      <c r="I1024">
        <f>""</f>
        <v/>
      </c>
      <c r="J1024">
        <f>IF(LEN(INDEX('Aides'!$V$4:$V$503,21))=0,"",INDEX('Aides'!$V$4:$V$503,21))</f>
        <v/>
      </c>
    </row>
    <row r="1025">
      <c r="A1025">
        <f>IF(AND(LEN('Aides'!A25)&gt;0,ISNUMBER('Aides'!O25)),1,0)</f>
        <v/>
      </c>
      <c r="B1025">
        <f>B1024+A1025</f>
        <v/>
      </c>
      <c r="C1025">
        <f>IF(1022&gt;$B$1503,"",MATCH(1022-0.5,$B$3:$B$1503,1))</f>
        <v/>
      </c>
      <c r="D1025">
        <f>"In-service hours due – "&amp;IF(LEN(INDEX('Aides'!$A$4:$A$503,22))=0,"",INDEX('Aides'!$A$4:$A$503,22))</f>
        <v/>
      </c>
      <c r="E1025">
        <f>IF(ISNUMBER(INDEX('Aides'!$O$4:$O$503,22)),TEXT(INDEX('Aides'!$O$4:$O$503,22),"yyyy-mm-dd"),"")</f>
        <v/>
      </c>
      <c r="F1025">
        <f>"Training"</f>
        <v/>
      </c>
      <c r="G1025">
        <f>"Medium"</f>
        <v/>
      </c>
      <c r="H1025">
        <f>TRIM(IF(LEN(IF(LEN(INDEX('Aides'!$P$4:$P$503,22))=0,"",INDEX('Aides'!$P$4:$P$503,22)))=0,"","Hours done: "&amp;IF(LEN(INDEX('Aides'!$P$4:$P$503,22))=0,"",INDEX('Aides'!$P$4:$P$503,22))&amp;". ")&amp;IF(LEN(IF(LEN(INDEX('Aides'!$Q$4:$Q$503,22))=0,"",INDEX('Aides'!$Q$4:$Q$503,22)))=0,"","Target: "&amp;IF(LEN(INDEX('Aides'!$Q$4:$Q$503,22))=0,"",INDEX('Aides'!$Q$4:$Q$503,22))&amp;". ")&amp;IF(LEN(IF(LEN(INDEX('Aides'!$R$4:$R$503,22))=0,"",INDEX('Aides'!$R$4:$R$503,22)))=0,"","Hours still needed: "&amp;IF(LEN(INDEX('Aides'!$R$4:$R$503,22))=0,"",INDEX('Aides'!$R$4:$R$503,22))&amp;". ")&amp;IF(LEN(IF(LEN(INDEX('Aides'!$U$4:$U$503,22))=0,"",INDEX('Aides'!$U$4:$U$503,22)))=0,"","Owner: "&amp;IF(LEN(INDEX('Aides'!$U$4:$U$503,22))=0,"",INDEX('Aides'!$U$4:$U$503,22))&amp;". "))</f>
        <v/>
      </c>
      <c r="I1025">
        <f>""</f>
        <v/>
      </c>
      <c r="J1025">
        <f>IF(LEN(INDEX('Aides'!$V$4:$V$503,22))=0,"",INDEX('Aides'!$V$4:$V$503,22))</f>
        <v/>
      </c>
    </row>
    <row r="1026">
      <c r="A1026">
        <f>IF(AND(LEN('Aides'!A26)&gt;0,ISNUMBER('Aides'!O26)),1,0)</f>
        <v/>
      </c>
      <c r="B1026">
        <f>B1025+A1026</f>
        <v/>
      </c>
      <c r="C1026">
        <f>IF(1023&gt;$B$1503,"",MATCH(1023-0.5,$B$3:$B$1503,1))</f>
        <v/>
      </c>
      <c r="D1026">
        <f>"In-service hours due – "&amp;IF(LEN(INDEX('Aides'!$A$4:$A$503,23))=0,"",INDEX('Aides'!$A$4:$A$503,23))</f>
        <v/>
      </c>
      <c r="E1026">
        <f>IF(ISNUMBER(INDEX('Aides'!$O$4:$O$503,23)),TEXT(INDEX('Aides'!$O$4:$O$503,23),"yyyy-mm-dd"),"")</f>
        <v/>
      </c>
      <c r="F1026">
        <f>"Training"</f>
        <v/>
      </c>
      <c r="G1026">
        <f>"Medium"</f>
        <v/>
      </c>
      <c r="H1026">
        <f>TRIM(IF(LEN(IF(LEN(INDEX('Aides'!$P$4:$P$503,23))=0,"",INDEX('Aides'!$P$4:$P$503,23)))=0,"","Hours done: "&amp;IF(LEN(INDEX('Aides'!$P$4:$P$503,23))=0,"",INDEX('Aides'!$P$4:$P$503,23))&amp;". ")&amp;IF(LEN(IF(LEN(INDEX('Aides'!$Q$4:$Q$503,23))=0,"",INDEX('Aides'!$Q$4:$Q$503,23)))=0,"","Target: "&amp;IF(LEN(INDEX('Aides'!$Q$4:$Q$503,23))=0,"",INDEX('Aides'!$Q$4:$Q$503,23))&amp;". ")&amp;IF(LEN(IF(LEN(INDEX('Aides'!$R$4:$R$503,23))=0,"",INDEX('Aides'!$R$4:$R$503,23)))=0,"","Hours still needed: "&amp;IF(LEN(INDEX('Aides'!$R$4:$R$503,23))=0,"",INDEX('Aides'!$R$4:$R$503,23))&amp;". ")&amp;IF(LEN(IF(LEN(INDEX('Aides'!$U$4:$U$503,23))=0,"",INDEX('Aides'!$U$4:$U$503,23)))=0,"","Owner: "&amp;IF(LEN(INDEX('Aides'!$U$4:$U$503,23))=0,"",INDEX('Aides'!$U$4:$U$503,23))&amp;". "))</f>
        <v/>
      </c>
      <c r="I1026">
        <f>""</f>
        <v/>
      </c>
      <c r="J1026">
        <f>IF(LEN(INDEX('Aides'!$V$4:$V$503,23))=0,"",INDEX('Aides'!$V$4:$V$503,23))</f>
        <v/>
      </c>
    </row>
    <row r="1027">
      <c r="A1027">
        <f>IF(AND(LEN('Aides'!A27)&gt;0,ISNUMBER('Aides'!O27)),1,0)</f>
        <v/>
      </c>
      <c r="B1027">
        <f>B1026+A1027</f>
        <v/>
      </c>
      <c r="C1027">
        <f>IF(1024&gt;$B$1503,"",MATCH(1024-0.5,$B$3:$B$1503,1))</f>
        <v/>
      </c>
      <c r="D1027">
        <f>"In-service hours due – "&amp;IF(LEN(INDEX('Aides'!$A$4:$A$503,24))=0,"",INDEX('Aides'!$A$4:$A$503,24))</f>
        <v/>
      </c>
      <c r="E1027">
        <f>IF(ISNUMBER(INDEX('Aides'!$O$4:$O$503,24)),TEXT(INDEX('Aides'!$O$4:$O$503,24),"yyyy-mm-dd"),"")</f>
        <v/>
      </c>
      <c r="F1027">
        <f>"Training"</f>
        <v/>
      </c>
      <c r="G1027">
        <f>"Medium"</f>
        <v/>
      </c>
      <c r="H1027">
        <f>TRIM(IF(LEN(IF(LEN(INDEX('Aides'!$P$4:$P$503,24))=0,"",INDEX('Aides'!$P$4:$P$503,24)))=0,"","Hours done: "&amp;IF(LEN(INDEX('Aides'!$P$4:$P$503,24))=0,"",INDEX('Aides'!$P$4:$P$503,24))&amp;". ")&amp;IF(LEN(IF(LEN(INDEX('Aides'!$Q$4:$Q$503,24))=0,"",INDEX('Aides'!$Q$4:$Q$503,24)))=0,"","Target: "&amp;IF(LEN(INDEX('Aides'!$Q$4:$Q$503,24))=0,"",INDEX('Aides'!$Q$4:$Q$503,24))&amp;". ")&amp;IF(LEN(IF(LEN(INDEX('Aides'!$R$4:$R$503,24))=0,"",INDEX('Aides'!$R$4:$R$503,24)))=0,"","Hours still needed: "&amp;IF(LEN(INDEX('Aides'!$R$4:$R$503,24))=0,"",INDEX('Aides'!$R$4:$R$503,24))&amp;". ")&amp;IF(LEN(IF(LEN(INDEX('Aides'!$U$4:$U$503,24))=0,"",INDEX('Aides'!$U$4:$U$503,24)))=0,"","Owner: "&amp;IF(LEN(INDEX('Aides'!$U$4:$U$503,24))=0,"",INDEX('Aides'!$U$4:$U$503,24))&amp;". "))</f>
        <v/>
      </c>
      <c r="I1027">
        <f>""</f>
        <v/>
      </c>
      <c r="J1027">
        <f>IF(LEN(INDEX('Aides'!$V$4:$V$503,24))=0,"",INDEX('Aides'!$V$4:$V$503,24))</f>
        <v/>
      </c>
    </row>
    <row r="1028">
      <c r="A1028">
        <f>IF(AND(LEN('Aides'!A28)&gt;0,ISNUMBER('Aides'!O28)),1,0)</f>
        <v/>
      </c>
      <c r="B1028">
        <f>B1027+A1028</f>
        <v/>
      </c>
      <c r="C1028">
        <f>IF(1025&gt;$B$1503,"",MATCH(1025-0.5,$B$3:$B$1503,1))</f>
        <v/>
      </c>
      <c r="D1028">
        <f>"In-service hours due – "&amp;IF(LEN(INDEX('Aides'!$A$4:$A$503,25))=0,"",INDEX('Aides'!$A$4:$A$503,25))</f>
        <v/>
      </c>
      <c r="E1028">
        <f>IF(ISNUMBER(INDEX('Aides'!$O$4:$O$503,25)),TEXT(INDEX('Aides'!$O$4:$O$503,25),"yyyy-mm-dd"),"")</f>
        <v/>
      </c>
      <c r="F1028">
        <f>"Training"</f>
        <v/>
      </c>
      <c r="G1028">
        <f>"Medium"</f>
        <v/>
      </c>
      <c r="H1028">
        <f>TRIM(IF(LEN(IF(LEN(INDEX('Aides'!$P$4:$P$503,25))=0,"",INDEX('Aides'!$P$4:$P$503,25)))=0,"","Hours done: "&amp;IF(LEN(INDEX('Aides'!$P$4:$P$503,25))=0,"",INDEX('Aides'!$P$4:$P$503,25))&amp;". ")&amp;IF(LEN(IF(LEN(INDEX('Aides'!$Q$4:$Q$503,25))=0,"",INDEX('Aides'!$Q$4:$Q$503,25)))=0,"","Target: "&amp;IF(LEN(INDEX('Aides'!$Q$4:$Q$503,25))=0,"",INDEX('Aides'!$Q$4:$Q$503,25))&amp;". ")&amp;IF(LEN(IF(LEN(INDEX('Aides'!$R$4:$R$503,25))=0,"",INDEX('Aides'!$R$4:$R$503,25)))=0,"","Hours still needed: "&amp;IF(LEN(INDEX('Aides'!$R$4:$R$503,25))=0,"",INDEX('Aides'!$R$4:$R$503,25))&amp;". ")&amp;IF(LEN(IF(LEN(INDEX('Aides'!$U$4:$U$503,25))=0,"",INDEX('Aides'!$U$4:$U$503,25)))=0,"","Owner: "&amp;IF(LEN(INDEX('Aides'!$U$4:$U$503,25))=0,"",INDEX('Aides'!$U$4:$U$503,25))&amp;". "))</f>
        <v/>
      </c>
      <c r="I1028">
        <f>""</f>
        <v/>
      </c>
      <c r="J1028">
        <f>IF(LEN(INDEX('Aides'!$V$4:$V$503,25))=0,"",INDEX('Aides'!$V$4:$V$503,25))</f>
        <v/>
      </c>
    </row>
    <row r="1029">
      <c r="A1029">
        <f>IF(AND(LEN('Aides'!A29)&gt;0,ISNUMBER('Aides'!O29)),1,0)</f>
        <v/>
      </c>
      <c r="B1029">
        <f>B1028+A1029</f>
        <v/>
      </c>
      <c r="C1029">
        <f>IF(1026&gt;$B$1503,"",MATCH(1026-0.5,$B$3:$B$1503,1))</f>
        <v/>
      </c>
      <c r="D1029">
        <f>"In-service hours due – "&amp;IF(LEN(INDEX('Aides'!$A$4:$A$503,26))=0,"",INDEX('Aides'!$A$4:$A$503,26))</f>
        <v/>
      </c>
      <c r="E1029">
        <f>IF(ISNUMBER(INDEX('Aides'!$O$4:$O$503,26)),TEXT(INDEX('Aides'!$O$4:$O$503,26),"yyyy-mm-dd"),"")</f>
        <v/>
      </c>
      <c r="F1029">
        <f>"Training"</f>
        <v/>
      </c>
      <c r="G1029">
        <f>"Medium"</f>
        <v/>
      </c>
      <c r="H1029">
        <f>TRIM(IF(LEN(IF(LEN(INDEX('Aides'!$P$4:$P$503,26))=0,"",INDEX('Aides'!$P$4:$P$503,26)))=0,"","Hours done: "&amp;IF(LEN(INDEX('Aides'!$P$4:$P$503,26))=0,"",INDEX('Aides'!$P$4:$P$503,26))&amp;". ")&amp;IF(LEN(IF(LEN(INDEX('Aides'!$Q$4:$Q$503,26))=0,"",INDEX('Aides'!$Q$4:$Q$503,26)))=0,"","Target: "&amp;IF(LEN(INDEX('Aides'!$Q$4:$Q$503,26))=0,"",INDEX('Aides'!$Q$4:$Q$503,26))&amp;". ")&amp;IF(LEN(IF(LEN(INDEX('Aides'!$R$4:$R$503,26))=0,"",INDEX('Aides'!$R$4:$R$503,26)))=0,"","Hours still needed: "&amp;IF(LEN(INDEX('Aides'!$R$4:$R$503,26))=0,"",INDEX('Aides'!$R$4:$R$503,26))&amp;". ")&amp;IF(LEN(IF(LEN(INDEX('Aides'!$U$4:$U$503,26))=0,"",INDEX('Aides'!$U$4:$U$503,26)))=0,"","Owner: "&amp;IF(LEN(INDEX('Aides'!$U$4:$U$503,26))=0,"",INDEX('Aides'!$U$4:$U$503,26))&amp;". "))</f>
        <v/>
      </c>
      <c r="I1029">
        <f>""</f>
        <v/>
      </c>
      <c r="J1029">
        <f>IF(LEN(INDEX('Aides'!$V$4:$V$503,26))=0,"",INDEX('Aides'!$V$4:$V$503,26))</f>
        <v/>
      </c>
    </row>
    <row r="1030">
      <c r="A1030">
        <f>IF(AND(LEN('Aides'!A30)&gt;0,ISNUMBER('Aides'!O30)),1,0)</f>
        <v/>
      </c>
      <c r="B1030">
        <f>B1029+A1030</f>
        <v/>
      </c>
      <c r="C1030">
        <f>IF(1027&gt;$B$1503,"",MATCH(1027-0.5,$B$3:$B$1503,1))</f>
        <v/>
      </c>
      <c r="D1030">
        <f>"In-service hours due – "&amp;IF(LEN(INDEX('Aides'!$A$4:$A$503,27))=0,"",INDEX('Aides'!$A$4:$A$503,27))</f>
        <v/>
      </c>
      <c r="E1030">
        <f>IF(ISNUMBER(INDEX('Aides'!$O$4:$O$503,27)),TEXT(INDEX('Aides'!$O$4:$O$503,27),"yyyy-mm-dd"),"")</f>
        <v/>
      </c>
      <c r="F1030">
        <f>"Training"</f>
        <v/>
      </c>
      <c r="G1030">
        <f>"Medium"</f>
        <v/>
      </c>
      <c r="H1030">
        <f>TRIM(IF(LEN(IF(LEN(INDEX('Aides'!$P$4:$P$503,27))=0,"",INDEX('Aides'!$P$4:$P$503,27)))=0,"","Hours done: "&amp;IF(LEN(INDEX('Aides'!$P$4:$P$503,27))=0,"",INDEX('Aides'!$P$4:$P$503,27))&amp;". ")&amp;IF(LEN(IF(LEN(INDEX('Aides'!$Q$4:$Q$503,27))=0,"",INDEX('Aides'!$Q$4:$Q$503,27)))=0,"","Target: "&amp;IF(LEN(INDEX('Aides'!$Q$4:$Q$503,27))=0,"",INDEX('Aides'!$Q$4:$Q$503,27))&amp;". ")&amp;IF(LEN(IF(LEN(INDEX('Aides'!$R$4:$R$503,27))=0,"",INDEX('Aides'!$R$4:$R$503,27)))=0,"","Hours still needed: "&amp;IF(LEN(INDEX('Aides'!$R$4:$R$503,27))=0,"",INDEX('Aides'!$R$4:$R$503,27))&amp;". ")&amp;IF(LEN(IF(LEN(INDEX('Aides'!$U$4:$U$503,27))=0,"",INDEX('Aides'!$U$4:$U$503,27)))=0,"","Owner: "&amp;IF(LEN(INDEX('Aides'!$U$4:$U$503,27))=0,"",INDEX('Aides'!$U$4:$U$503,27))&amp;". "))</f>
        <v/>
      </c>
      <c r="I1030">
        <f>""</f>
        <v/>
      </c>
      <c r="J1030">
        <f>IF(LEN(INDEX('Aides'!$V$4:$V$503,27))=0,"",INDEX('Aides'!$V$4:$V$503,27))</f>
        <v/>
      </c>
    </row>
    <row r="1031">
      <c r="A1031">
        <f>IF(AND(LEN('Aides'!A31)&gt;0,ISNUMBER('Aides'!O31)),1,0)</f>
        <v/>
      </c>
      <c r="B1031">
        <f>B1030+A1031</f>
        <v/>
      </c>
      <c r="C1031">
        <f>IF(1028&gt;$B$1503,"",MATCH(1028-0.5,$B$3:$B$1503,1))</f>
        <v/>
      </c>
      <c r="D1031">
        <f>"In-service hours due – "&amp;IF(LEN(INDEX('Aides'!$A$4:$A$503,28))=0,"",INDEX('Aides'!$A$4:$A$503,28))</f>
        <v/>
      </c>
      <c r="E1031">
        <f>IF(ISNUMBER(INDEX('Aides'!$O$4:$O$503,28)),TEXT(INDEX('Aides'!$O$4:$O$503,28),"yyyy-mm-dd"),"")</f>
        <v/>
      </c>
      <c r="F1031">
        <f>"Training"</f>
        <v/>
      </c>
      <c r="G1031">
        <f>"Medium"</f>
        <v/>
      </c>
      <c r="H1031">
        <f>TRIM(IF(LEN(IF(LEN(INDEX('Aides'!$P$4:$P$503,28))=0,"",INDEX('Aides'!$P$4:$P$503,28)))=0,"","Hours done: "&amp;IF(LEN(INDEX('Aides'!$P$4:$P$503,28))=0,"",INDEX('Aides'!$P$4:$P$503,28))&amp;". ")&amp;IF(LEN(IF(LEN(INDEX('Aides'!$Q$4:$Q$503,28))=0,"",INDEX('Aides'!$Q$4:$Q$503,28)))=0,"","Target: "&amp;IF(LEN(INDEX('Aides'!$Q$4:$Q$503,28))=0,"",INDEX('Aides'!$Q$4:$Q$503,28))&amp;". ")&amp;IF(LEN(IF(LEN(INDEX('Aides'!$R$4:$R$503,28))=0,"",INDEX('Aides'!$R$4:$R$503,28)))=0,"","Hours still needed: "&amp;IF(LEN(INDEX('Aides'!$R$4:$R$503,28))=0,"",INDEX('Aides'!$R$4:$R$503,28))&amp;". ")&amp;IF(LEN(IF(LEN(INDEX('Aides'!$U$4:$U$503,28))=0,"",INDEX('Aides'!$U$4:$U$503,28)))=0,"","Owner: "&amp;IF(LEN(INDEX('Aides'!$U$4:$U$503,28))=0,"",INDEX('Aides'!$U$4:$U$503,28))&amp;". "))</f>
        <v/>
      </c>
      <c r="I1031">
        <f>""</f>
        <v/>
      </c>
      <c r="J1031">
        <f>IF(LEN(INDEX('Aides'!$V$4:$V$503,28))=0,"",INDEX('Aides'!$V$4:$V$503,28))</f>
        <v/>
      </c>
    </row>
    <row r="1032">
      <c r="A1032">
        <f>IF(AND(LEN('Aides'!A32)&gt;0,ISNUMBER('Aides'!O32)),1,0)</f>
        <v/>
      </c>
      <c r="B1032">
        <f>B1031+A1032</f>
        <v/>
      </c>
      <c r="C1032">
        <f>IF(1029&gt;$B$1503,"",MATCH(1029-0.5,$B$3:$B$1503,1))</f>
        <v/>
      </c>
      <c r="D1032">
        <f>"In-service hours due – "&amp;IF(LEN(INDEX('Aides'!$A$4:$A$503,29))=0,"",INDEX('Aides'!$A$4:$A$503,29))</f>
        <v/>
      </c>
      <c r="E1032">
        <f>IF(ISNUMBER(INDEX('Aides'!$O$4:$O$503,29)),TEXT(INDEX('Aides'!$O$4:$O$503,29),"yyyy-mm-dd"),"")</f>
        <v/>
      </c>
      <c r="F1032">
        <f>"Training"</f>
        <v/>
      </c>
      <c r="G1032">
        <f>"Medium"</f>
        <v/>
      </c>
      <c r="H1032">
        <f>TRIM(IF(LEN(IF(LEN(INDEX('Aides'!$P$4:$P$503,29))=0,"",INDEX('Aides'!$P$4:$P$503,29)))=0,"","Hours done: "&amp;IF(LEN(INDEX('Aides'!$P$4:$P$503,29))=0,"",INDEX('Aides'!$P$4:$P$503,29))&amp;". ")&amp;IF(LEN(IF(LEN(INDEX('Aides'!$Q$4:$Q$503,29))=0,"",INDEX('Aides'!$Q$4:$Q$503,29)))=0,"","Target: "&amp;IF(LEN(INDEX('Aides'!$Q$4:$Q$503,29))=0,"",INDEX('Aides'!$Q$4:$Q$503,29))&amp;". ")&amp;IF(LEN(IF(LEN(INDEX('Aides'!$R$4:$R$503,29))=0,"",INDEX('Aides'!$R$4:$R$503,29)))=0,"","Hours still needed: "&amp;IF(LEN(INDEX('Aides'!$R$4:$R$503,29))=0,"",INDEX('Aides'!$R$4:$R$503,29))&amp;". ")&amp;IF(LEN(IF(LEN(INDEX('Aides'!$U$4:$U$503,29))=0,"",INDEX('Aides'!$U$4:$U$503,29)))=0,"","Owner: "&amp;IF(LEN(INDEX('Aides'!$U$4:$U$503,29))=0,"",INDEX('Aides'!$U$4:$U$503,29))&amp;". "))</f>
        <v/>
      </c>
      <c r="I1032">
        <f>""</f>
        <v/>
      </c>
      <c r="J1032">
        <f>IF(LEN(INDEX('Aides'!$V$4:$V$503,29))=0,"",INDEX('Aides'!$V$4:$V$503,29))</f>
        <v/>
      </c>
    </row>
    <row r="1033">
      <c r="A1033">
        <f>IF(AND(LEN('Aides'!A33)&gt;0,ISNUMBER('Aides'!O33)),1,0)</f>
        <v/>
      </c>
      <c r="B1033">
        <f>B1032+A1033</f>
        <v/>
      </c>
      <c r="C1033">
        <f>IF(1030&gt;$B$1503,"",MATCH(1030-0.5,$B$3:$B$1503,1))</f>
        <v/>
      </c>
      <c r="D1033">
        <f>"In-service hours due – "&amp;IF(LEN(INDEX('Aides'!$A$4:$A$503,30))=0,"",INDEX('Aides'!$A$4:$A$503,30))</f>
        <v/>
      </c>
      <c r="E1033">
        <f>IF(ISNUMBER(INDEX('Aides'!$O$4:$O$503,30)),TEXT(INDEX('Aides'!$O$4:$O$503,30),"yyyy-mm-dd"),"")</f>
        <v/>
      </c>
      <c r="F1033">
        <f>"Training"</f>
        <v/>
      </c>
      <c r="G1033">
        <f>"Medium"</f>
        <v/>
      </c>
      <c r="H1033">
        <f>TRIM(IF(LEN(IF(LEN(INDEX('Aides'!$P$4:$P$503,30))=0,"",INDEX('Aides'!$P$4:$P$503,30)))=0,"","Hours done: "&amp;IF(LEN(INDEX('Aides'!$P$4:$P$503,30))=0,"",INDEX('Aides'!$P$4:$P$503,30))&amp;". ")&amp;IF(LEN(IF(LEN(INDEX('Aides'!$Q$4:$Q$503,30))=0,"",INDEX('Aides'!$Q$4:$Q$503,30)))=0,"","Target: "&amp;IF(LEN(INDEX('Aides'!$Q$4:$Q$503,30))=0,"",INDEX('Aides'!$Q$4:$Q$503,30))&amp;". ")&amp;IF(LEN(IF(LEN(INDEX('Aides'!$R$4:$R$503,30))=0,"",INDEX('Aides'!$R$4:$R$503,30)))=0,"","Hours still needed: "&amp;IF(LEN(INDEX('Aides'!$R$4:$R$503,30))=0,"",INDEX('Aides'!$R$4:$R$503,30))&amp;". ")&amp;IF(LEN(IF(LEN(INDEX('Aides'!$U$4:$U$503,30))=0,"",INDEX('Aides'!$U$4:$U$503,30)))=0,"","Owner: "&amp;IF(LEN(INDEX('Aides'!$U$4:$U$503,30))=0,"",INDEX('Aides'!$U$4:$U$503,30))&amp;". "))</f>
        <v/>
      </c>
      <c r="I1033">
        <f>""</f>
        <v/>
      </c>
      <c r="J1033">
        <f>IF(LEN(INDEX('Aides'!$V$4:$V$503,30))=0,"",INDEX('Aides'!$V$4:$V$503,30))</f>
        <v/>
      </c>
    </row>
    <row r="1034">
      <c r="A1034">
        <f>IF(AND(LEN('Aides'!A34)&gt;0,ISNUMBER('Aides'!O34)),1,0)</f>
        <v/>
      </c>
      <c r="B1034">
        <f>B1033+A1034</f>
        <v/>
      </c>
      <c r="C1034">
        <f>IF(1031&gt;$B$1503,"",MATCH(1031-0.5,$B$3:$B$1503,1))</f>
        <v/>
      </c>
      <c r="D1034">
        <f>"In-service hours due – "&amp;IF(LEN(INDEX('Aides'!$A$4:$A$503,31))=0,"",INDEX('Aides'!$A$4:$A$503,31))</f>
        <v/>
      </c>
      <c r="E1034">
        <f>IF(ISNUMBER(INDEX('Aides'!$O$4:$O$503,31)),TEXT(INDEX('Aides'!$O$4:$O$503,31),"yyyy-mm-dd"),"")</f>
        <v/>
      </c>
      <c r="F1034">
        <f>"Training"</f>
        <v/>
      </c>
      <c r="G1034">
        <f>"Medium"</f>
        <v/>
      </c>
      <c r="H1034">
        <f>TRIM(IF(LEN(IF(LEN(INDEX('Aides'!$P$4:$P$503,31))=0,"",INDEX('Aides'!$P$4:$P$503,31)))=0,"","Hours done: "&amp;IF(LEN(INDEX('Aides'!$P$4:$P$503,31))=0,"",INDEX('Aides'!$P$4:$P$503,31))&amp;". ")&amp;IF(LEN(IF(LEN(INDEX('Aides'!$Q$4:$Q$503,31))=0,"",INDEX('Aides'!$Q$4:$Q$503,31)))=0,"","Target: "&amp;IF(LEN(INDEX('Aides'!$Q$4:$Q$503,31))=0,"",INDEX('Aides'!$Q$4:$Q$503,31))&amp;". ")&amp;IF(LEN(IF(LEN(INDEX('Aides'!$R$4:$R$503,31))=0,"",INDEX('Aides'!$R$4:$R$503,31)))=0,"","Hours still needed: "&amp;IF(LEN(INDEX('Aides'!$R$4:$R$503,31))=0,"",INDEX('Aides'!$R$4:$R$503,31))&amp;". ")&amp;IF(LEN(IF(LEN(INDEX('Aides'!$U$4:$U$503,31))=0,"",INDEX('Aides'!$U$4:$U$503,31)))=0,"","Owner: "&amp;IF(LEN(INDEX('Aides'!$U$4:$U$503,31))=0,"",INDEX('Aides'!$U$4:$U$503,31))&amp;". "))</f>
        <v/>
      </c>
      <c r="I1034">
        <f>""</f>
        <v/>
      </c>
      <c r="J1034">
        <f>IF(LEN(INDEX('Aides'!$V$4:$V$503,31))=0,"",INDEX('Aides'!$V$4:$V$503,31))</f>
        <v/>
      </c>
    </row>
    <row r="1035">
      <c r="A1035">
        <f>IF(AND(LEN('Aides'!A35)&gt;0,ISNUMBER('Aides'!O35)),1,0)</f>
        <v/>
      </c>
      <c r="B1035">
        <f>B1034+A1035</f>
        <v/>
      </c>
      <c r="C1035">
        <f>IF(1032&gt;$B$1503,"",MATCH(1032-0.5,$B$3:$B$1503,1))</f>
        <v/>
      </c>
      <c r="D1035">
        <f>"In-service hours due – "&amp;IF(LEN(INDEX('Aides'!$A$4:$A$503,32))=0,"",INDEX('Aides'!$A$4:$A$503,32))</f>
        <v/>
      </c>
      <c r="E1035">
        <f>IF(ISNUMBER(INDEX('Aides'!$O$4:$O$503,32)),TEXT(INDEX('Aides'!$O$4:$O$503,32),"yyyy-mm-dd"),"")</f>
        <v/>
      </c>
      <c r="F1035">
        <f>"Training"</f>
        <v/>
      </c>
      <c r="G1035">
        <f>"Medium"</f>
        <v/>
      </c>
      <c r="H1035">
        <f>TRIM(IF(LEN(IF(LEN(INDEX('Aides'!$P$4:$P$503,32))=0,"",INDEX('Aides'!$P$4:$P$503,32)))=0,"","Hours done: "&amp;IF(LEN(INDEX('Aides'!$P$4:$P$503,32))=0,"",INDEX('Aides'!$P$4:$P$503,32))&amp;". ")&amp;IF(LEN(IF(LEN(INDEX('Aides'!$Q$4:$Q$503,32))=0,"",INDEX('Aides'!$Q$4:$Q$503,32)))=0,"","Target: "&amp;IF(LEN(INDEX('Aides'!$Q$4:$Q$503,32))=0,"",INDEX('Aides'!$Q$4:$Q$503,32))&amp;". ")&amp;IF(LEN(IF(LEN(INDEX('Aides'!$R$4:$R$503,32))=0,"",INDEX('Aides'!$R$4:$R$503,32)))=0,"","Hours still needed: "&amp;IF(LEN(INDEX('Aides'!$R$4:$R$503,32))=0,"",INDEX('Aides'!$R$4:$R$503,32))&amp;". ")&amp;IF(LEN(IF(LEN(INDEX('Aides'!$U$4:$U$503,32))=0,"",INDEX('Aides'!$U$4:$U$503,32)))=0,"","Owner: "&amp;IF(LEN(INDEX('Aides'!$U$4:$U$503,32))=0,"",INDEX('Aides'!$U$4:$U$503,32))&amp;". "))</f>
        <v/>
      </c>
      <c r="I1035">
        <f>""</f>
        <v/>
      </c>
      <c r="J1035">
        <f>IF(LEN(INDEX('Aides'!$V$4:$V$503,32))=0,"",INDEX('Aides'!$V$4:$V$503,32))</f>
        <v/>
      </c>
    </row>
    <row r="1036">
      <c r="A1036">
        <f>IF(AND(LEN('Aides'!A36)&gt;0,ISNUMBER('Aides'!O36)),1,0)</f>
        <v/>
      </c>
      <c r="B1036">
        <f>B1035+A1036</f>
        <v/>
      </c>
      <c r="C1036">
        <f>IF(1033&gt;$B$1503,"",MATCH(1033-0.5,$B$3:$B$1503,1))</f>
        <v/>
      </c>
      <c r="D1036">
        <f>"In-service hours due – "&amp;IF(LEN(INDEX('Aides'!$A$4:$A$503,33))=0,"",INDEX('Aides'!$A$4:$A$503,33))</f>
        <v/>
      </c>
      <c r="E1036">
        <f>IF(ISNUMBER(INDEX('Aides'!$O$4:$O$503,33)),TEXT(INDEX('Aides'!$O$4:$O$503,33),"yyyy-mm-dd"),"")</f>
        <v/>
      </c>
      <c r="F1036">
        <f>"Training"</f>
        <v/>
      </c>
      <c r="G1036">
        <f>"Medium"</f>
        <v/>
      </c>
      <c r="H1036">
        <f>TRIM(IF(LEN(IF(LEN(INDEX('Aides'!$P$4:$P$503,33))=0,"",INDEX('Aides'!$P$4:$P$503,33)))=0,"","Hours done: "&amp;IF(LEN(INDEX('Aides'!$P$4:$P$503,33))=0,"",INDEX('Aides'!$P$4:$P$503,33))&amp;". ")&amp;IF(LEN(IF(LEN(INDEX('Aides'!$Q$4:$Q$503,33))=0,"",INDEX('Aides'!$Q$4:$Q$503,33)))=0,"","Target: "&amp;IF(LEN(INDEX('Aides'!$Q$4:$Q$503,33))=0,"",INDEX('Aides'!$Q$4:$Q$503,33))&amp;". ")&amp;IF(LEN(IF(LEN(INDEX('Aides'!$R$4:$R$503,33))=0,"",INDEX('Aides'!$R$4:$R$503,33)))=0,"","Hours still needed: "&amp;IF(LEN(INDEX('Aides'!$R$4:$R$503,33))=0,"",INDEX('Aides'!$R$4:$R$503,33))&amp;". ")&amp;IF(LEN(IF(LEN(INDEX('Aides'!$U$4:$U$503,33))=0,"",INDEX('Aides'!$U$4:$U$503,33)))=0,"","Owner: "&amp;IF(LEN(INDEX('Aides'!$U$4:$U$503,33))=0,"",INDEX('Aides'!$U$4:$U$503,33))&amp;". "))</f>
        <v/>
      </c>
      <c r="I1036">
        <f>""</f>
        <v/>
      </c>
      <c r="J1036">
        <f>IF(LEN(INDEX('Aides'!$V$4:$V$503,33))=0,"",INDEX('Aides'!$V$4:$V$503,33))</f>
        <v/>
      </c>
    </row>
    <row r="1037">
      <c r="A1037">
        <f>IF(AND(LEN('Aides'!A37)&gt;0,ISNUMBER('Aides'!O37)),1,0)</f>
        <v/>
      </c>
      <c r="B1037">
        <f>B1036+A1037</f>
        <v/>
      </c>
      <c r="C1037">
        <f>IF(1034&gt;$B$1503,"",MATCH(1034-0.5,$B$3:$B$1503,1))</f>
        <v/>
      </c>
      <c r="D1037">
        <f>"In-service hours due – "&amp;IF(LEN(INDEX('Aides'!$A$4:$A$503,34))=0,"",INDEX('Aides'!$A$4:$A$503,34))</f>
        <v/>
      </c>
      <c r="E1037">
        <f>IF(ISNUMBER(INDEX('Aides'!$O$4:$O$503,34)),TEXT(INDEX('Aides'!$O$4:$O$503,34),"yyyy-mm-dd"),"")</f>
        <v/>
      </c>
      <c r="F1037">
        <f>"Training"</f>
        <v/>
      </c>
      <c r="G1037">
        <f>"Medium"</f>
        <v/>
      </c>
      <c r="H1037">
        <f>TRIM(IF(LEN(IF(LEN(INDEX('Aides'!$P$4:$P$503,34))=0,"",INDEX('Aides'!$P$4:$P$503,34)))=0,"","Hours done: "&amp;IF(LEN(INDEX('Aides'!$P$4:$P$503,34))=0,"",INDEX('Aides'!$P$4:$P$503,34))&amp;". ")&amp;IF(LEN(IF(LEN(INDEX('Aides'!$Q$4:$Q$503,34))=0,"",INDEX('Aides'!$Q$4:$Q$503,34)))=0,"","Target: "&amp;IF(LEN(INDEX('Aides'!$Q$4:$Q$503,34))=0,"",INDEX('Aides'!$Q$4:$Q$503,34))&amp;". ")&amp;IF(LEN(IF(LEN(INDEX('Aides'!$R$4:$R$503,34))=0,"",INDEX('Aides'!$R$4:$R$503,34)))=0,"","Hours still needed: "&amp;IF(LEN(INDEX('Aides'!$R$4:$R$503,34))=0,"",INDEX('Aides'!$R$4:$R$503,34))&amp;". ")&amp;IF(LEN(IF(LEN(INDEX('Aides'!$U$4:$U$503,34))=0,"",INDEX('Aides'!$U$4:$U$503,34)))=0,"","Owner: "&amp;IF(LEN(INDEX('Aides'!$U$4:$U$503,34))=0,"",INDEX('Aides'!$U$4:$U$503,34))&amp;". "))</f>
        <v/>
      </c>
      <c r="I1037">
        <f>""</f>
        <v/>
      </c>
      <c r="J1037">
        <f>IF(LEN(INDEX('Aides'!$V$4:$V$503,34))=0,"",INDEX('Aides'!$V$4:$V$503,34))</f>
        <v/>
      </c>
    </row>
    <row r="1038">
      <c r="A1038">
        <f>IF(AND(LEN('Aides'!A38)&gt;0,ISNUMBER('Aides'!O38)),1,0)</f>
        <v/>
      </c>
      <c r="B1038">
        <f>B1037+A1038</f>
        <v/>
      </c>
      <c r="C1038">
        <f>IF(1035&gt;$B$1503,"",MATCH(1035-0.5,$B$3:$B$1503,1))</f>
        <v/>
      </c>
      <c r="D1038">
        <f>"In-service hours due – "&amp;IF(LEN(INDEX('Aides'!$A$4:$A$503,35))=0,"",INDEX('Aides'!$A$4:$A$503,35))</f>
        <v/>
      </c>
      <c r="E1038">
        <f>IF(ISNUMBER(INDEX('Aides'!$O$4:$O$503,35)),TEXT(INDEX('Aides'!$O$4:$O$503,35),"yyyy-mm-dd"),"")</f>
        <v/>
      </c>
      <c r="F1038">
        <f>"Training"</f>
        <v/>
      </c>
      <c r="G1038">
        <f>"Medium"</f>
        <v/>
      </c>
      <c r="H1038">
        <f>TRIM(IF(LEN(IF(LEN(INDEX('Aides'!$P$4:$P$503,35))=0,"",INDEX('Aides'!$P$4:$P$503,35)))=0,"","Hours done: "&amp;IF(LEN(INDEX('Aides'!$P$4:$P$503,35))=0,"",INDEX('Aides'!$P$4:$P$503,35))&amp;". ")&amp;IF(LEN(IF(LEN(INDEX('Aides'!$Q$4:$Q$503,35))=0,"",INDEX('Aides'!$Q$4:$Q$503,35)))=0,"","Target: "&amp;IF(LEN(INDEX('Aides'!$Q$4:$Q$503,35))=0,"",INDEX('Aides'!$Q$4:$Q$503,35))&amp;". ")&amp;IF(LEN(IF(LEN(INDEX('Aides'!$R$4:$R$503,35))=0,"",INDEX('Aides'!$R$4:$R$503,35)))=0,"","Hours still needed: "&amp;IF(LEN(INDEX('Aides'!$R$4:$R$503,35))=0,"",INDEX('Aides'!$R$4:$R$503,35))&amp;". ")&amp;IF(LEN(IF(LEN(INDEX('Aides'!$U$4:$U$503,35))=0,"",INDEX('Aides'!$U$4:$U$503,35)))=0,"","Owner: "&amp;IF(LEN(INDEX('Aides'!$U$4:$U$503,35))=0,"",INDEX('Aides'!$U$4:$U$503,35))&amp;". "))</f>
        <v/>
      </c>
      <c r="I1038">
        <f>""</f>
        <v/>
      </c>
      <c r="J1038">
        <f>IF(LEN(INDEX('Aides'!$V$4:$V$503,35))=0,"",INDEX('Aides'!$V$4:$V$503,35))</f>
        <v/>
      </c>
    </row>
    <row r="1039">
      <c r="A1039">
        <f>IF(AND(LEN('Aides'!A39)&gt;0,ISNUMBER('Aides'!O39)),1,0)</f>
        <v/>
      </c>
      <c r="B1039">
        <f>B1038+A1039</f>
        <v/>
      </c>
      <c r="C1039">
        <f>IF(1036&gt;$B$1503,"",MATCH(1036-0.5,$B$3:$B$1503,1))</f>
        <v/>
      </c>
      <c r="D1039">
        <f>"In-service hours due – "&amp;IF(LEN(INDEX('Aides'!$A$4:$A$503,36))=0,"",INDEX('Aides'!$A$4:$A$503,36))</f>
        <v/>
      </c>
      <c r="E1039">
        <f>IF(ISNUMBER(INDEX('Aides'!$O$4:$O$503,36)),TEXT(INDEX('Aides'!$O$4:$O$503,36),"yyyy-mm-dd"),"")</f>
        <v/>
      </c>
      <c r="F1039">
        <f>"Training"</f>
        <v/>
      </c>
      <c r="G1039">
        <f>"Medium"</f>
        <v/>
      </c>
      <c r="H1039">
        <f>TRIM(IF(LEN(IF(LEN(INDEX('Aides'!$P$4:$P$503,36))=0,"",INDEX('Aides'!$P$4:$P$503,36)))=0,"","Hours done: "&amp;IF(LEN(INDEX('Aides'!$P$4:$P$503,36))=0,"",INDEX('Aides'!$P$4:$P$503,36))&amp;". ")&amp;IF(LEN(IF(LEN(INDEX('Aides'!$Q$4:$Q$503,36))=0,"",INDEX('Aides'!$Q$4:$Q$503,36)))=0,"","Target: "&amp;IF(LEN(INDEX('Aides'!$Q$4:$Q$503,36))=0,"",INDEX('Aides'!$Q$4:$Q$503,36))&amp;". ")&amp;IF(LEN(IF(LEN(INDEX('Aides'!$R$4:$R$503,36))=0,"",INDEX('Aides'!$R$4:$R$503,36)))=0,"","Hours still needed: "&amp;IF(LEN(INDEX('Aides'!$R$4:$R$503,36))=0,"",INDEX('Aides'!$R$4:$R$503,36))&amp;". ")&amp;IF(LEN(IF(LEN(INDEX('Aides'!$U$4:$U$503,36))=0,"",INDEX('Aides'!$U$4:$U$503,36)))=0,"","Owner: "&amp;IF(LEN(INDEX('Aides'!$U$4:$U$503,36))=0,"",INDEX('Aides'!$U$4:$U$503,36))&amp;". "))</f>
        <v/>
      </c>
      <c r="I1039">
        <f>""</f>
        <v/>
      </c>
      <c r="J1039">
        <f>IF(LEN(INDEX('Aides'!$V$4:$V$503,36))=0,"",INDEX('Aides'!$V$4:$V$503,36))</f>
        <v/>
      </c>
    </row>
    <row r="1040">
      <c r="A1040">
        <f>IF(AND(LEN('Aides'!A40)&gt;0,ISNUMBER('Aides'!O40)),1,0)</f>
        <v/>
      </c>
      <c r="B1040">
        <f>B1039+A1040</f>
        <v/>
      </c>
      <c r="C1040">
        <f>IF(1037&gt;$B$1503,"",MATCH(1037-0.5,$B$3:$B$1503,1))</f>
        <v/>
      </c>
      <c r="D1040">
        <f>"In-service hours due – "&amp;IF(LEN(INDEX('Aides'!$A$4:$A$503,37))=0,"",INDEX('Aides'!$A$4:$A$503,37))</f>
        <v/>
      </c>
      <c r="E1040">
        <f>IF(ISNUMBER(INDEX('Aides'!$O$4:$O$503,37)),TEXT(INDEX('Aides'!$O$4:$O$503,37),"yyyy-mm-dd"),"")</f>
        <v/>
      </c>
      <c r="F1040">
        <f>"Training"</f>
        <v/>
      </c>
      <c r="G1040">
        <f>"Medium"</f>
        <v/>
      </c>
      <c r="H1040">
        <f>TRIM(IF(LEN(IF(LEN(INDEX('Aides'!$P$4:$P$503,37))=0,"",INDEX('Aides'!$P$4:$P$503,37)))=0,"","Hours done: "&amp;IF(LEN(INDEX('Aides'!$P$4:$P$503,37))=0,"",INDEX('Aides'!$P$4:$P$503,37))&amp;". ")&amp;IF(LEN(IF(LEN(INDEX('Aides'!$Q$4:$Q$503,37))=0,"",INDEX('Aides'!$Q$4:$Q$503,37)))=0,"","Target: "&amp;IF(LEN(INDEX('Aides'!$Q$4:$Q$503,37))=0,"",INDEX('Aides'!$Q$4:$Q$503,37))&amp;". ")&amp;IF(LEN(IF(LEN(INDEX('Aides'!$R$4:$R$503,37))=0,"",INDEX('Aides'!$R$4:$R$503,37)))=0,"","Hours still needed: "&amp;IF(LEN(INDEX('Aides'!$R$4:$R$503,37))=0,"",INDEX('Aides'!$R$4:$R$503,37))&amp;". ")&amp;IF(LEN(IF(LEN(INDEX('Aides'!$U$4:$U$503,37))=0,"",INDEX('Aides'!$U$4:$U$503,37)))=0,"","Owner: "&amp;IF(LEN(INDEX('Aides'!$U$4:$U$503,37))=0,"",INDEX('Aides'!$U$4:$U$503,37))&amp;". "))</f>
        <v/>
      </c>
      <c r="I1040">
        <f>""</f>
        <v/>
      </c>
      <c r="J1040">
        <f>IF(LEN(INDEX('Aides'!$V$4:$V$503,37))=0,"",INDEX('Aides'!$V$4:$V$503,37))</f>
        <v/>
      </c>
    </row>
    <row r="1041">
      <c r="A1041">
        <f>IF(AND(LEN('Aides'!A41)&gt;0,ISNUMBER('Aides'!O41)),1,0)</f>
        <v/>
      </c>
      <c r="B1041">
        <f>B1040+A1041</f>
        <v/>
      </c>
      <c r="C1041">
        <f>IF(1038&gt;$B$1503,"",MATCH(1038-0.5,$B$3:$B$1503,1))</f>
        <v/>
      </c>
      <c r="D1041">
        <f>"In-service hours due – "&amp;IF(LEN(INDEX('Aides'!$A$4:$A$503,38))=0,"",INDEX('Aides'!$A$4:$A$503,38))</f>
        <v/>
      </c>
      <c r="E1041">
        <f>IF(ISNUMBER(INDEX('Aides'!$O$4:$O$503,38)),TEXT(INDEX('Aides'!$O$4:$O$503,38),"yyyy-mm-dd"),"")</f>
        <v/>
      </c>
      <c r="F1041">
        <f>"Training"</f>
        <v/>
      </c>
      <c r="G1041">
        <f>"Medium"</f>
        <v/>
      </c>
      <c r="H1041">
        <f>TRIM(IF(LEN(IF(LEN(INDEX('Aides'!$P$4:$P$503,38))=0,"",INDEX('Aides'!$P$4:$P$503,38)))=0,"","Hours done: "&amp;IF(LEN(INDEX('Aides'!$P$4:$P$503,38))=0,"",INDEX('Aides'!$P$4:$P$503,38))&amp;". ")&amp;IF(LEN(IF(LEN(INDEX('Aides'!$Q$4:$Q$503,38))=0,"",INDEX('Aides'!$Q$4:$Q$503,38)))=0,"","Target: "&amp;IF(LEN(INDEX('Aides'!$Q$4:$Q$503,38))=0,"",INDEX('Aides'!$Q$4:$Q$503,38))&amp;". ")&amp;IF(LEN(IF(LEN(INDEX('Aides'!$R$4:$R$503,38))=0,"",INDEX('Aides'!$R$4:$R$503,38)))=0,"","Hours still needed: "&amp;IF(LEN(INDEX('Aides'!$R$4:$R$503,38))=0,"",INDEX('Aides'!$R$4:$R$503,38))&amp;". ")&amp;IF(LEN(IF(LEN(INDEX('Aides'!$U$4:$U$503,38))=0,"",INDEX('Aides'!$U$4:$U$503,38)))=0,"","Owner: "&amp;IF(LEN(INDEX('Aides'!$U$4:$U$503,38))=0,"",INDEX('Aides'!$U$4:$U$503,38))&amp;". "))</f>
        <v/>
      </c>
      <c r="I1041">
        <f>""</f>
        <v/>
      </c>
      <c r="J1041">
        <f>IF(LEN(INDEX('Aides'!$V$4:$V$503,38))=0,"",INDEX('Aides'!$V$4:$V$503,38))</f>
        <v/>
      </c>
    </row>
    <row r="1042">
      <c r="A1042">
        <f>IF(AND(LEN('Aides'!A42)&gt;0,ISNUMBER('Aides'!O42)),1,0)</f>
        <v/>
      </c>
      <c r="B1042">
        <f>B1041+A1042</f>
        <v/>
      </c>
      <c r="C1042">
        <f>IF(1039&gt;$B$1503,"",MATCH(1039-0.5,$B$3:$B$1503,1))</f>
        <v/>
      </c>
      <c r="D1042">
        <f>"In-service hours due – "&amp;IF(LEN(INDEX('Aides'!$A$4:$A$503,39))=0,"",INDEX('Aides'!$A$4:$A$503,39))</f>
        <v/>
      </c>
      <c r="E1042">
        <f>IF(ISNUMBER(INDEX('Aides'!$O$4:$O$503,39)),TEXT(INDEX('Aides'!$O$4:$O$503,39),"yyyy-mm-dd"),"")</f>
        <v/>
      </c>
      <c r="F1042">
        <f>"Training"</f>
        <v/>
      </c>
      <c r="G1042">
        <f>"Medium"</f>
        <v/>
      </c>
      <c r="H1042">
        <f>TRIM(IF(LEN(IF(LEN(INDEX('Aides'!$P$4:$P$503,39))=0,"",INDEX('Aides'!$P$4:$P$503,39)))=0,"","Hours done: "&amp;IF(LEN(INDEX('Aides'!$P$4:$P$503,39))=0,"",INDEX('Aides'!$P$4:$P$503,39))&amp;". ")&amp;IF(LEN(IF(LEN(INDEX('Aides'!$Q$4:$Q$503,39))=0,"",INDEX('Aides'!$Q$4:$Q$503,39)))=0,"","Target: "&amp;IF(LEN(INDEX('Aides'!$Q$4:$Q$503,39))=0,"",INDEX('Aides'!$Q$4:$Q$503,39))&amp;". ")&amp;IF(LEN(IF(LEN(INDEX('Aides'!$R$4:$R$503,39))=0,"",INDEX('Aides'!$R$4:$R$503,39)))=0,"","Hours still needed: "&amp;IF(LEN(INDEX('Aides'!$R$4:$R$503,39))=0,"",INDEX('Aides'!$R$4:$R$503,39))&amp;". ")&amp;IF(LEN(IF(LEN(INDEX('Aides'!$U$4:$U$503,39))=0,"",INDEX('Aides'!$U$4:$U$503,39)))=0,"","Owner: "&amp;IF(LEN(INDEX('Aides'!$U$4:$U$503,39))=0,"",INDEX('Aides'!$U$4:$U$503,39))&amp;". "))</f>
        <v/>
      </c>
      <c r="I1042">
        <f>""</f>
        <v/>
      </c>
      <c r="J1042">
        <f>IF(LEN(INDEX('Aides'!$V$4:$V$503,39))=0,"",INDEX('Aides'!$V$4:$V$503,39))</f>
        <v/>
      </c>
    </row>
    <row r="1043">
      <c r="A1043">
        <f>IF(AND(LEN('Aides'!A43)&gt;0,ISNUMBER('Aides'!O43)),1,0)</f>
        <v/>
      </c>
      <c r="B1043">
        <f>B1042+A1043</f>
        <v/>
      </c>
      <c r="C1043">
        <f>IF(1040&gt;$B$1503,"",MATCH(1040-0.5,$B$3:$B$1503,1))</f>
        <v/>
      </c>
      <c r="D1043">
        <f>"In-service hours due – "&amp;IF(LEN(INDEX('Aides'!$A$4:$A$503,40))=0,"",INDEX('Aides'!$A$4:$A$503,40))</f>
        <v/>
      </c>
      <c r="E1043">
        <f>IF(ISNUMBER(INDEX('Aides'!$O$4:$O$503,40)),TEXT(INDEX('Aides'!$O$4:$O$503,40),"yyyy-mm-dd"),"")</f>
        <v/>
      </c>
      <c r="F1043">
        <f>"Training"</f>
        <v/>
      </c>
      <c r="G1043">
        <f>"Medium"</f>
        <v/>
      </c>
      <c r="H1043">
        <f>TRIM(IF(LEN(IF(LEN(INDEX('Aides'!$P$4:$P$503,40))=0,"",INDEX('Aides'!$P$4:$P$503,40)))=0,"","Hours done: "&amp;IF(LEN(INDEX('Aides'!$P$4:$P$503,40))=0,"",INDEX('Aides'!$P$4:$P$503,40))&amp;". ")&amp;IF(LEN(IF(LEN(INDEX('Aides'!$Q$4:$Q$503,40))=0,"",INDEX('Aides'!$Q$4:$Q$503,40)))=0,"","Target: "&amp;IF(LEN(INDEX('Aides'!$Q$4:$Q$503,40))=0,"",INDEX('Aides'!$Q$4:$Q$503,40))&amp;". ")&amp;IF(LEN(IF(LEN(INDEX('Aides'!$R$4:$R$503,40))=0,"",INDEX('Aides'!$R$4:$R$503,40)))=0,"","Hours still needed: "&amp;IF(LEN(INDEX('Aides'!$R$4:$R$503,40))=0,"",INDEX('Aides'!$R$4:$R$503,40))&amp;". ")&amp;IF(LEN(IF(LEN(INDEX('Aides'!$U$4:$U$503,40))=0,"",INDEX('Aides'!$U$4:$U$503,40)))=0,"","Owner: "&amp;IF(LEN(INDEX('Aides'!$U$4:$U$503,40))=0,"",INDEX('Aides'!$U$4:$U$503,40))&amp;". "))</f>
        <v/>
      </c>
      <c r="I1043">
        <f>""</f>
        <v/>
      </c>
      <c r="J1043">
        <f>IF(LEN(INDEX('Aides'!$V$4:$V$503,40))=0,"",INDEX('Aides'!$V$4:$V$503,40))</f>
        <v/>
      </c>
    </row>
    <row r="1044">
      <c r="A1044">
        <f>IF(AND(LEN('Aides'!A44)&gt;0,ISNUMBER('Aides'!O44)),1,0)</f>
        <v/>
      </c>
      <c r="B1044">
        <f>B1043+A1044</f>
        <v/>
      </c>
      <c r="C1044">
        <f>IF(1041&gt;$B$1503,"",MATCH(1041-0.5,$B$3:$B$1503,1))</f>
        <v/>
      </c>
      <c r="D1044">
        <f>"In-service hours due – "&amp;IF(LEN(INDEX('Aides'!$A$4:$A$503,41))=0,"",INDEX('Aides'!$A$4:$A$503,41))</f>
        <v/>
      </c>
      <c r="E1044">
        <f>IF(ISNUMBER(INDEX('Aides'!$O$4:$O$503,41)),TEXT(INDEX('Aides'!$O$4:$O$503,41),"yyyy-mm-dd"),"")</f>
        <v/>
      </c>
      <c r="F1044">
        <f>"Training"</f>
        <v/>
      </c>
      <c r="G1044">
        <f>"Medium"</f>
        <v/>
      </c>
      <c r="H1044">
        <f>TRIM(IF(LEN(IF(LEN(INDEX('Aides'!$P$4:$P$503,41))=0,"",INDEX('Aides'!$P$4:$P$503,41)))=0,"","Hours done: "&amp;IF(LEN(INDEX('Aides'!$P$4:$P$503,41))=0,"",INDEX('Aides'!$P$4:$P$503,41))&amp;". ")&amp;IF(LEN(IF(LEN(INDEX('Aides'!$Q$4:$Q$503,41))=0,"",INDEX('Aides'!$Q$4:$Q$503,41)))=0,"","Target: "&amp;IF(LEN(INDEX('Aides'!$Q$4:$Q$503,41))=0,"",INDEX('Aides'!$Q$4:$Q$503,41))&amp;". ")&amp;IF(LEN(IF(LEN(INDEX('Aides'!$R$4:$R$503,41))=0,"",INDEX('Aides'!$R$4:$R$503,41)))=0,"","Hours still needed: "&amp;IF(LEN(INDEX('Aides'!$R$4:$R$503,41))=0,"",INDEX('Aides'!$R$4:$R$503,41))&amp;". ")&amp;IF(LEN(IF(LEN(INDEX('Aides'!$U$4:$U$503,41))=0,"",INDEX('Aides'!$U$4:$U$503,41)))=0,"","Owner: "&amp;IF(LEN(INDEX('Aides'!$U$4:$U$503,41))=0,"",INDEX('Aides'!$U$4:$U$503,41))&amp;". "))</f>
        <v/>
      </c>
      <c r="I1044">
        <f>""</f>
        <v/>
      </c>
      <c r="J1044">
        <f>IF(LEN(INDEX('Aides'!$V$4:$V$503,41))=0,"",INDEX('Aides'!$V$4:$V$503,41))</f>
        <v/>
      </c>
    </row>
    <row r="1045">
      <c r="A1045">
        <f>IF(AND(LEN('Aides'!A45)&gt;0,ISNUMBER('Aides'!O45)),1,0)</f>
        <v/>
      </c>
      <c r="B1045">
        <f>B1044+A1045</f>
        <v/>
      </c>
      <c r="C1045">
        <f>IF(1042&gt;$B$1503,"",MATCH(1042-0.5,$B$3:$B$1503,1))</f>
        <v/>
      </c>
      <c r="D1045">
        <f>"In-service hours due – "&amp;IF(LEN(INDEX('Aides'!$A$4:$A$503,42))=0,"",INDEX('Aides'!$A$4:$A$503,42))</f>
        <v/>
      </c>
      <c r="E1045">
        <f>IF(ISNUMBER(INDEX('Aides'!$O$4:$O$503,42)),TEXT(INDEX('Aides'!$O$4:$O$503,42),"yyyy-mm-dd"),"")</f>
        <v/>
      </c>
      <c r="F1045">
        <f>"Training"</f>
        <v/>
      </c>
      <c r="G1045">
        <f>"Medium"</f>
        <v/>
      </c>
      <c r="H1045">
        <f>TRIM(IF(LEN(IF(LEN(INDEX('Aides'!$P$4:$P$503,42))=0,"",INDEX('Aides'!$P$4:$P$503,42)))=0,"","Hours done: "&amp;IF(LEN(INDEX('Aides'!$P$4:$P$503,42))=0,"",INDEX('Aides'!$P$4:$P$503,42))&amp;". ")&amp;IF(LEN(IF(LEN(INDEX('Aides'!$Q$4:$Q$503,42))=0,"",INDEX('Aides'!$Q$4:$Q$503,42)))=0,"","Target: "&amp;IF(LEN(INDEX('Aides'!$Q$4:$Q$503,42))=0,"",INDEX('Aides'!$Q$4:$Q$503,42))&amp;". ")&amp;IF(LEN(IF(LEN(INDEX('Aides'!$R$4:$R$503,42))=0,"",INDEX('Aides'!$R$4:$R$503,42)))=0,"","Hours still needed: "&amp;IF(LEN(INDEX('Aides'!$R$4:$R$503,42))=0,"",INDEX('Aides'!$R$4:$R$503,42))&amp;". ")&amp;IF(LEN(IF(LEN(INDEX('Aides'!$U$4:$U$503,42))=0,"",INDEX('Aides'!$U$4:$U$503,42)))=0,"","Owner: "&amp;IF(LEN(INDEX('Aides'!$U$4:$U$503,42))=0,"",INDEX('Aides'!$U$4:$U$503,42))&amp;". "))</f>
        <v/>
      </c>
      <c r="I1045">
        <f>""</f>
        <v/>
      </c>
      <c r="J1045">
        <f>IF(LEN(INDEX('Aides'!$V$4:$V$503,42))=0,"",INDEX('Aides'!$V$4:$V$503,42))</f>
        <v/>
      </c>
    </row>
    <row r="1046">
      <c r="A1046">
        <f>IF(AND(LEN('Aides'!A46)&gt;0,ISNUMBER('Aides'!O46)),1,0)</f>
        <v/>
      </c>
      <c r="B1046">
        <f>B1045+A1046</f>
        <v/>
      </c>
      <c r="C1046">
        <f>IF(1043&gt;$B$1503,"",MATCH(1043-0.5,$B$3:$B$1503,1))</f>
        <v/>
      </c>
      <c r="D1046">
        <f>"In-service hours due – "&amp;IF(LEN(INDEX('Aides'!$A$4:$A$503,43))=0,"",INDEX('Aides'!$A$4:$A$503,43))</f>
        <v/>
      </c>
      <c r="E1046">
        <f>IF(ISNUMBER(INDEX('Aides'!$O$4:$O$503,43)),TEXT(INDEX('Aides'!$O$4:$O$503,43),"yyyy-mm-dd"),"")</f>
        <v/>
      </c>
      <c r="F1046">
        <f>"Training"</f>
        <v/>
      </c>
      <c r="G1046">
        <f>"Medium"</f>
        <v/>
      </c>
      <c r="H1046">
        <f>TRIM(IF(LEN(IF(LEN(INDEX('Aides'!$P$4:$P$503,43))=0,"",INDEX('Aides'!$P$4:$P$503,43)))=0,"","Hours done: "&amp;IF(LEN(INDEX('Aides'!$P$4:$P$503,43))=0,"",INDEX('Aides'!$P$4:$P$503,43))&amp;". ")&amp;IF(LEN(IF(LEN(INDEX('Aides'!$Q$4:$Q$503,43))=0,"",INDEX('Aides'!$Q$4:$Q$503,43)))=0,"","Target: "&amp;IF(LEN(INDEX('Aides'!$Q$4:$Q$503,43))=0,"",INDEX('Aides'!$Q$4:$Q$503,43))&amp;". ")&amp;IF(LEN(IF(LEN(INDEX('Aides'!$R$4:$R$503,43))=0,"",INDEX('Aides'!$R$4:$R$503,43)))=0,"","Hours still needed: "&amp;IF(LEN(INDEX('Aides'!$R$4:$R$503,43))=0,"",INDEX('Aides'!$R$4:$R$503,43))&amp;". ")&amp;IF(LEN(IF(LEN(INDEX('Aides'!$U$4:$U$503,43))=0,"",INDEX('Aides'!$U$4:$U$503,43)))=0,"","Owner: "&amp;IF(LEN(INDEX('Aides'!$U$4:$U$503,43))=0,"",INDEX('Aides'!$U$4:$U$503,43))&amp;". "))</f>
        <v/>
      </c>
      <c r="I1046">
        <f>""</f>
        <v/>
      </c>
      <c r="J1046">
        <f>IF(LEN(INDEX('Aides'!$V$4:$V$503,43))=0,"",INDEX('Aides'!$V$4:$V$503,43))</f>
        <v/>
      </c>
    </row>
    <row r="1047">
      <c r="A1047">
        <f>IF(AND(LEN('Aides'!A47)&gt;0,ISNUMBER('Aides'!O47)),1,0)</f>
        <v/>
      </c>
      <c r="B1047">
        <f>B1046+A1047</f>
        <v/>
      </c>
      <c r="C1047">
        <f>IF(1044&gt;$B$1503,"",MATCH(1044-0.5,$B$3:$B$1503,1))</f>
        <v/>
      </c>
      <c r="D1047">
        <f>"In-service hours due – "&amp;IF(LEN(INDEX('Aides'!$A$4:$A$503,44))=0,"",INDEX('Aides'!$A$4:$A$503,44))</f>
        <v/>
      </c>
      <c r="E1047">
        <f>IF(ISNUMBER(INDEX('Aides'!$O$4:$O$503,44)),TEXT(INDEX('Aides'!$O$4:$O$503,44),"yyyy-mm-dd"),"")</f>
        <v/>
      </c>
      <c r="F1047">
        <f>"Training"</f>
        <v/>
      </c>
      <c r="G1047">
        <f>"Medium"</f>
        <v/>
      </c>
      <c r="H1047">
        <f>TRIM(IF(LEN(IF(LEN(INDEX('Aides'!$P$4:$P$503,44))=0,"",INDEX('Aides'!$P$4:$P$503,44)))=0,"","Hours done: "&amp;IF(LEN(INDEX('Aides'!$P$4:$P$503,44))=0,"",INDEX('Aides'!$P$4:$P$503,44))&amp;". ")&amp;IF(LEN(IF(LEN(INDEX('Aides'!$Q$4:$Q$503,44))=0,"",INDEX('Aides'!$Q$4:$Q$503,44)))=0,"","Target: "&amp;IF(LEN(INDEX('Aides'!$Q$4:$Q$503,44))=0,"",INDEX('Aides'!$Q$4:$Q$503,44))&amp;". ")&amp;IF(LEN(IF(LEN(INDEX('Aides'!$R$4:$R$503,44))=0,"",INDEX('Aides'!$R$4:$R$503,44)))=0,"","Hours still needed: "&amp;IF(LEN(INDEX('Aides'!$R$4:$R$503,44))=0,"",INDEX('Aides'!$R$4:$R$503,44))&amp;". ")&amp;IF(LEN(IF(LEN(INDEX('Aides'!$U$4:$U$503,44))=0,"",INDEX('Aides'!$U$4:$U$503,44)))=0,"","Owner: "&amp;IF(LEN(INDEX('Aides'!$U$4:$U$503,44))=0,"",INDEX('Aides'!$U$4:$U$503,44))&amp;". "))</f>
        <v/>
      </c>
      <c r="I1047">
        <f>""</f>
        <v/>
      </c>
      <c r="J1047">
        <f>IF(LEN(INDEX('Aides'!$V$4:$V$503,44))=0,"",INDEX('Aides'!$V$4:$V$503,44))</f>
        <v/>
      </c>
    </row>
    <row r="1048">
      <c r="A1048">
        <f>IF(AND(LEN('Aides'!A48)&gt;0,ISNUMBER('Aides'!O48)),1,0)</f>
        <v/>
      </c>
      <c r="B1048">
        <f>B1047+A1048</f>
        <v/>
      </c>
      <c r="C1048">
        <f>IF(1045&gt;$B$1503,"",MATCH(1045-0.5,$B$3:$B$1503,1))</f>
        <v/>
      </c>
      <c r="D1048">
        <f>"In-service hours due – "&amp;IF(LEN(INDEX('Aides'!$A$4:$A$503,45))=0,"",INDEX('Aides'!$A$4:$A$503,45))</f>
        <v/>
      </c>
      <c r="E1048">
        <f>IF(ISNUMBER(INDEX('Aides'!$O$4:$O$503,45)),TEXT(INDEX('Aides'!$O$4:$O$503,45),"yyyy-mm-dd"),"")</f>
        <v/>
      </c>
      <c r="F1048">
        <f>"Training"</f>
        <v/>
      </c>
      <c r="G1048">
        <f>"Medium"</f>
        <v/>
      </c>
      <c r="H1048">
        <f>TRIM(IF(LEN(IF(LEN(INDEX('Aides'!$P$4:$P$503,45))=0,"",INDEX('Aides'!$P$4:$P$503,45)))=0,"","Hours done: "&amp;IF(LEN(INDEX('Aides'!$P$4:$P$503,45))=0,"",INDEX('Aides'!$P$4:$P$503,45))&amp;". ")&amp;IF(LEN(IF(LEN(INDEX('Aides'!$Q$4:$Q$503,45))=0,"",INDEX('Aides'!$Q$4:$Q$503,45)))=0,"","Target: "&amp;IF(LEN(INDEX('Aides'!$Q$4:$Q$503,45))=0,"",INDEX('Aides'!$Q$4:$Q$503,45))&amp;". ")&amp;IF(LEN(IF(LEN(INDEX('Aides'!$R$4:$R$503,45))=0,"",INDEX('Aides'!$R$4:$R$503,45)))=0,"","Hours still needed: "&amp;IF(LEN(INDEX('Aides'!$R$4:$R$503,45))=0,"",INDEX('Aides'!$R$4:$R$503,45))&amp;". ")&amp;IF(LEN(IF(LEN(INDEX('Aides'!$U$4:$U$503,45))=0,"",INDEX('Aides'!$U$4:$U$503,45)))=0,"","Owner: "&amp;IF(LEN(INDEX('Aides'!$U$4:$U$503,45))=0,"",INDEX('Aides'!$U$4:$U$503,45))&amp;". "))</f>
        <v/>
      </c>
      <c r="I1048">
        <f>""</f>
        <v/>
      </c>
      <c r="J1048">
        <f>IF(LEN(INDEX('Aides'!$V$4:$V$503,45))=0,"",INDEX('Aides'!$V$4:$V$503,45))</f>
        <v/>
      </c>
    </row>
    <row r="1049">
      <c r="A1049">
        <f>IF(AND(LEN('Aides'!A49)&gt;0,ISNUMBER('Aides'!O49)),1,0)</f>
        <v/>
      </c>
      <c r="B1049">
        <f>B1048+A1049</f>
        <v/>
      </c>
      <c r="C1049">
        <f>IF(1046&gt;$B$1503,"",MATCH(1046-0.5,$B$3:$B$1503,1))</f>
        <v/>
      </c>
      <c r="D1049">
        <f>"In-service hours due – "&amp;IF(LEN(INDEX('Aides'!$A$4:$A$503,46))=0,"",INDEX('Aides'!$A$4:$A$503,46))</f>
        <v/>
      </c>
      <c r="E1049">
        <f>IF(ISNUMBER(INDEX('Aides'!$O$4:$O$503,46)),TEXT(INDEX('Aides'!$O$4:$O$503,46),"yyyy-mm-dd"),"")</f>
        <v/>
      </c>
      <c r="F1049">
        <f>"Training"</f>
        <v/>
      </c>
      <c r="G1049">
        <f>"Medium"</f>
        <v/>
      </c>
      <c r="H1049">
        <f>TRIM(IF(LEN(IF(LEN(INDEX('Aides'!$P$4:$P$503,46))=0,"",INDEX('Aides'!$P$4:$P$503,46)))=0,"","Hours done: "&amp;IF(LEN(INDEX('Aides'!$P$4:$P$503,46))=0,"",INDEX('Aides'!$P$4:$P$503,46))&amp;". ")&amp;IF(LEN(IF(LEN(INDEX('Aides'!$Q$4:$Q$503,46))=0,"",INDEX('Aides'!$Q$4:$Q$503,46)))=0,"","Target: "&amp;IF(LEN(INDEX('Aides'!$Q$4:$Q$503,46))=0,"",INDEX('Aides'!$Q$4:$Q$503,46))&amp;". ")&amp;IF(LEN(IF(LEN(INDEX('Aides'!$R$4:$R$503,46))=0,"",INDEX('Aides'!$R$4:$R$503,46)))=0,"","Hours still needed: "&amp;IF(LEN(INDEX('Aides'!$R$4:$R$503,46))=0,"",INDEX('Aides'!$R$4:$R$503,46))&amp;". ")&amp;IF(LEN(IF(LEN(INDEX('Aides'!$U$4:$U$503,46))=0,"",INDEX('Aides'!$U$4:$U$503,46)))=0,"","Owner: "&amp;IF(LEN(INDEX('Aides'!$U$4:$U$503,46))=0,"",INDEX('Aides'!$U$4:$U$503,46))&amp;". "))</f>
        <v/>
      </c>
      <c r="I1049">
        <f>""</f>
        <v/>
      </c>
      <c r="J1049">
        <f>IF(LEN(INDEX('Aides'!$V$4:$V$503,46))=0,"",INDEX('Aides'!$V$4:$V$503,46))</f>
        <v/>
      </c>
    </row>
    <row r="1050">
      <c r="A1050">
        <f>IF(AND(LEN('Aides'!A50)&gt;0,ISNUMBER('Aides'!O50)),1,0)</f>
        <v/>
      </c>
      <c r="B1050">
        <f>B1049+A1050</f>
        <v/>
      </c>
      <c r="C1050">
        <f>IF(1047&gt;$B$1503,"",MATCH(1047-0.5,$B$3:$B$1503,1))</f>
        <v/>
      </c>
      <c r="D1050">
        <f>"In-service hours due – "&amp;IF(LEN(INDEX('Aides'!$A$4:$A$503,47))=0,"",INDEX('Aides'!$A$4:$A$503,47))</f>
        <v/>
      </c>
      <c r="E1050">
        <f>IF(ISNUMBER(INDEX('Aides'!$O$4:$O$503,47)),TEXT(INDEX('Aides'!$O$4:$O$503,47),"yyyy-mm-dd"),"")</f>
        <v/>
      </c>
      <c r="F1050">
        <f>"Training"</f>
        <v/>
      </c>
      <c r="G1050">
        <f>"Medium"</f>
        <v/>
      </c>
      <c r="H1050">
        <f>TRIM(IF(LEN(IF(LEN(INDEX('Aides'!$P$4:$P$503,47))=0,"",INDEX('Aides'!$P$4:$P$503,47)))=0,"","Hours done: "&amp;IF(LEN(INDEX('Aides'!$P$4:$P$503,47))=0,"",INDEX('Aides'!$P$4:$P$503,47))&amp;". ")&amp;IF(LEN(IF(LEN(INDEX('Aides'!$Q$4:$Q$503,47))=0,"",INDEX('Aides'!$Q$4:$Q$503,47)))=0,"","Target: "&amp;IF(LEN(INDEX('Aides'!$Q$4:$Q$503,47))=0,"",INDEX('Aides'!$Q$4:$Q$503,47))&amp;". ")&amp;IF(LEN(IF(LEN(INDEX('Aides'!$R$4:$R$503,47))=0,"",INDEX('Aides'!$R$4:$R$503,47)))=0,"","Hours still needed: "&amp;IF(LEN(INDEX('Aides'!$R$4:$R$503,47))=0,"",INDEX('Aides'!$R$4:$R$503,47))&amp;". ")&amp;IF(LEN(IF(LEN(INDEX('Aides'!$U$4:$U$503,47))=0,"",INDEX('Aides'!$U$4:$U$503,47)))=0,"","Owner: "&amp;IF(LEN(INDEX('Aides'!$U$4:$U$503,47))=0,"",INDEX('Aides'!$U$4:$U$503,47))&amp;". "))</f>
        <v/>
      </c>
      <c r="I1050">
        <f>""</f>
        <v/>
      </c>
      <c r="J1050">
        <f>IF(LEN(INDEX('Aides'!$V$4:$V$503,47))=0,"",INDEX('Aides'!$V$4:$V$503,47))</f>
        <v/>
      </c>
    </row>
    <row r="1051">
      <c r="A1051">
        <f>IF(AND(LEN('Aides'!A51)&gt;0,ISNUMBER('Aides'!O51)),1,0)</f>
        <v/>
      </c>
      <c r="B1051">
        <f>B1050+A1051</f>
        <v/>
      </c>
      <c r="C1051">
        <f>IF(1048&gt;$B$1503,"",MATCH(1048-0.5,$B$3:$B$1503,1))</f>
        <v/>
      </c>
      <c r="D1051">
        <f>"In-service hours due – "&amp;IF(LEN(INDEX('Aides'!$A$4:$A$503,48))=0,"",INDEX('Aides'!$A$4:$A$503,48))</f>
        <v/>
      </c>
      <c r="E1051">
        <f>IF(ISNUMBER(INDEX('Aides'!$O$4:$O$503,48)),TEXT(INDEX('Aides'!$O$4:$O$503,48),"yyyy-mm-dd"),"")</f>
        <v/>
      </c>
      <c r="F1051">
        <f>"Training"</f>
        <v/>
      </c>
      <c r="G1051">
        <f>"Medium"</f>
        <v/>
      </c>
      <c r="H1051">
        <f>TRIM(IF(LEN(IF(LEN(INDEX('Aides'!$P$4:$P$503,48))=0,"",INDEX('Aides'!$P$4:$P$503,48)))=0,"","Hours done: "&amp;IF(LEN(INDEX('Aides'!$P$4:$P$503,48))=0,"",INDEX('Aides'!$P$4:$P$503,48))&amp;". ")&amp;IF(LEN(IF(LEN(INDEX('Aides'!$Q$4:$Q$503,48))=0,"",INDEX('Aides'!$Q$4:$Q$503,48)))=0,"","Target: "&amp;IF(LEN(INDEX('Aides'!$Q$4:$Q$503,48))=0,"",INDEX('Aides'!$Q$4:$Q$503,48))&amp;". ")&amp;IF(LEN(IF(LEN(INDEX('Aides'!$R$4:$R$503,48))=0,"",INDEX('Aides'!$R$4:$R$503,48)))=0,"","Hours still needed: "&amp;IF(LEN(INDEX('Aides'!$R$4:$R$503,48))=0,"",INDEX('Aides'!$R$4:$R$503,48))&amp;". ")&amp;IF(LEN(IF(LEN(INDEX('Aides'!$U$4:$U$503,48))=0,"",INDEX('Aides'!$U$4:$U$503,48)))=0,"","Owner: "&amp;IF(LEN(INDEX('Aides'!$U$4:$U$503,48))=0,"",INDEX('Aides'!$U$4:$U$503,48))&amp;". "))</f>
        <v/>
      </c>
      <c r="I1051">
        <f>""</f>
        <v/>
      </c>
      <c r="J1051">
        <f>IF(LEN(INDEX('Aides'!$V$4:$V$503,48))=0,"",INDEX('Aides'!$V$4:$V$503,48))</f>
        <v/>
      </c>
    </row>
    <row r="1052">
      <c r="A1052">
        <f>IF(AND(LEN('Aides'!A52)&gt;0,ISNUMBER('Aides'!O52)),1,0)</f>
        <v/>
      </c>
      <c r="B1052">
        <f>B1051+A1052</f>
        <v/>
      </c>
      <c r="C1052">
        <f>IF(1049&gt;$B$1503,"",MATCH(1049-0.5,$B$3:$B$1503,1))</f>
        <v/>
      </c>
      <c r="D1052">
        <f>"In-service hours due – "&amp;IF(LEN(INDEX('Aides'!$A$4:$A$503,49))=0,"",INDEX('Aides'!$A$4:$A$503,49))</f>
        <v/>
      </c>
      <c r="E1052">
        <f>IF(ISNUMBER(INDEX('Aides'!$O$4:$O$503,49)),TEXT(INDEX('Aides'!$O$4:$O$503,49),"yyyy-mm-dd"),"")</f>
        <v/>
      </c>
      <c r="F1052">
        <f>"Training"</f>
        <v/>
      </c>
      <c r="G1052">
        <f>"Medium"</f>
        <v/>
      </c>
      <c r="H1052">
        <f>TRIM(IF(LEN(IF(LEN(INDEX('Aides'!$P$4:$P$503,49))=0,"",INDEX('Aides'!$P$4:$P$503,49)))=0,"","Hours done: "&amp;IF(LEN(INDEX('Aides'!$P$4:$P$503,49))=0,"",INDEX('Aides'!$P$4:$P$503,49))&amp;". ")&amp;IF(LEN(IF(LEN(INDEX('Aides'!$Q$4:$Q$503,49))=0,"",INDEX('Aides'!$Q$4:$Q$503,49)))=0,"","Target: "&amp;IF(LEN(INDEX('Aides'!$Q$4:$Q$503,49))=0,"",INDEX('Aides'!$Q$4:$Q$503,49))&amp;". ")&amp;IF(LEN(IF(LEN(INDEX('Aides'!$R$4:$R$503,49))=0,"",INDEX('Aides'!$R$4:$R$503,49)))=0,"","Hours still needed: "&amp;IF(LEN(INDEX('Aides'!$R$4:$R$503,49))=0,"",INDEX('Aides'!$R$4:$R$503,49))&amp;". ")&amp;IF(LEN(IF(LEN(INDEX('Aides'!$U$4:$U$503,49))=0,"",INDEX('Aides'!$U$4:$U$503,49)))=0,"","Owner: "&amp;IF(LEN(INDEX('Aides'!$U$4:$U$503,49))=0,"",INDEX('Aides'!$U$4:$U$503,49))&amp;". "))</f>
        <v/>
      </c>
      <c r="I1052">
        <f>""</f>
        <v/>
      </c>
      <c r="J1052">
        <f>IF(LEN(INDEX('Aides'!$V$4:$V$503,49))=0,"",INDEX('Aides'!$V$4:$V$503,49))</f>
        <v/>
      </c>
    </row>
    <row r="1053">
      <c r="A1053">
        <f>IF(AND(LEN('Aides'!A53)&gt;0,ISNUMBER('Aides'!O53)),1,0)</f>
        <v/>
      </c>
      <c r="B1053">
        <f>B1052+A1053</f>
        <v/>
      </c>
      <c r="C1053">
        <f>IF(1050&gt;$B$1503,"",MATCH(1050-0.5,$B$3:$B$1503,1))</f>
        <v/>
      </c>
      <c r="D1053">
        <f>"In-service hours due – "&amp;IF(LEN(INDEX('Aides'!$A$4:$A$503,50))=0,"",INDEX('Aides'!$A$4:$A$503,50))</f>
        <v/>
      </c>
      <c r="E1053">
        <f>IF(ISNUMBER(INDEX('Aides'!$O$4:$O$503,50)),TEXT(INDEX('Aides'!$O$4:$O$503,50),"yyyy-mm-dd"),"")</f>
        <v/>
      </c>
      <c r="F1053">
        <f>"Training"</f>
        <v/>
      </c>
      <c r="G1053">
        <f>"Medium"</f>
        <v/>
      </c>
      <c r="H1053">
        <f>TRIM(IF(LEN(IF(LEN(INDEX('Aides'!$P$4:$P$503,50))=0,"",INDEX('Aides'!$P$4:$P$503,50)))=0,"","Hours done: "&amp;IF(LEN(INDEX('Aides'!$P$4:$P$503,50))=0,"",INDEX('Aides'!$P$4:$P$503,50))&amp;". ")&amp;IF(LEN(IF(LEN(INDEX('Aides'!$Q$4:$Q$503,50))=0,"",INDEX('Aides'!$Q$4:$Q$503,50)))=0,"","Target: "&amp;IF(LEN(INDEX('Aides'!$Q$4:$Q$503,50))=0,"",INDEX('Aides'!$Q$4:$Q$503,50))&amp;". ")&amp;IF(LEN(IF(LEN(INDEX('Aides'!$R$4:$R$503,50))=0,"",INDEX('Aides'!$R$4:$R$503,50)))=0,"","Hours still needed: "&amp;IF(LEN(INDEX('Aides'!$R$4:$R$503,50))=0,"",INDEX('Aides'!$R$4:$R$503,50))&amp;". ")&amp;IF(LEN(IF(LEN(INDEX('Aides'!$U$4:$U$503,50))=0,"",INDEX('Aides'!$U$4:$U$503,50)))=0,"","Owner: "&amp;IF(LEN(INDEX('Aides'!$U$4:$U$503,50))=0,"",INDEX('Aides'!$U$4:$U$503,50))&amp;". "))</f>
        <v/>
      </c>
      <c r="I1053">
        <f>""</f>
        <v/>
      </c>
      <c r="J1053">
        <f>IF(LEN(INDEX('Aides'!$V$4:$V$503,50))=0,"",INDEX('Aides'!$V$4:$V$503,50))</f>
        <v/>
      </c>
    </row>
    <row r="1054">
      <c r="A1054">
        <f>IF(AND(LEN('Aides'!A54)&gt;0,ISNUMBER('Aides'!O54)),1,0)</f>
        <v/>
      </c>
      <c r="B1054">
        <f>B1053+A1054</f>
        <v/>
      </c>
      <c r="C1054">
        <f>IF(1051&gt;$B$1503,"",MATCH(1051-0.5,$B$3:$B$1503,1))</f>
        <v/>
      </c>
      <c r="D1054">
        <f>"In-service hours due – "&amp;IF(LEN(INDEX('Aides'!$A$4:$A$503,51))=0,"",INDEX('Aides'!$A$4:$A$503,51))</f>
        <v/>
      </c>
      <c r="E1054">
        <f>IF(ISNUMBER(INDEX('Aides'!$O$4:$O$503,51)),TEXT(INDEX('Aides'!$O$4:$O$503,51),"yyyy-mm-dd"),"")</f>
        <v/>
      </c>
      <c r="F1054">
        <f>"Training"</f>
        <v/>
      </c>
      <c r="G1054">
        <f>"Medium"</f>
        <v/>
      </c>
      <c r="H1054">
        <f>TRIM(IF(LEN(IF(LEN(INDEX('Aides'!$P$4:$P$503,51))=0,"",INDEX('Aides'!$P$4:$P$503,51)))=0,"","Hours done: "&amp;IF(LEN(INDEX('Aides'!$P$4:$P$503,51))=0,"",INDEX('Aides'!$P$4:$P$503,51))&amp;". ")&amp;IF(LEN(IF(LEN(INDEX('Aides'!$Q$4:$Q$503,51))=0,"",INDEX('Aides'!$Q$4:$Q$503,51)))=0,"","Target: "&amp;IF(LEN(INDEX('Aides'!$Q$4:$Q$503,51))=0,"",INDEX('Aides'!$Q$4:$Q$503,51))&amp;". ")&amp;IF(LEN(IF(LEN(INDEX('Aides'!$R$4:$R$503,51))=0,"",INDEX('Aides'!$R$4:$R$503,51)))=0,"","Hours still needed: "&amp;IF(LEN(INDEX('Aides'!$R$4:$R$503,51))=0,"",INDEX('Aides'!$R$4:$R$503,51))&amp;". ")&amp;IF(LEN(IF(LEN(INDEX('Aides'!$U$4:$U$503,51))=0,"",INDEX('Aides'!$U$4:$U$503,51)))=0,"","Owner: "&amp;IF(LEN(INDEX('Aides'!$U$4:$U$503,51))=0,"",INDEX('Aides'!$U$4:$U$503,51))&amp;". "))</f>
        <v/>
      </c>
      <c r="I1054">
        <f>""</f>
        <v/>
      </c>
      <c r="J1054">
        <f>IF(LEN(INDEX('Aides'!$V$4:$V$503,51))=0,"",INDEX('Aides'!$V$4:$V$503,51))</f>
        <v/>
      </c>
    </row>
    <row r="1055">
      <c r="A1055">
        <f>IF(AND(LEN('Aides'!A55)&gt;0,ISNUMBER('Aides'!O55)),1,0)</f>
        <v/>
      </c>
      <c r="B1055">
        <f>B1054+A1055</f>
        <v/>
      </c>
      <c r="C1055">
        <f>IF(1052&gt;$B$1503,"",MATCH(1052-0.5,$B$3:$B$1503,1))</f>
        <v/>
      </c>
      <c r="D1055">
        <f>"In-service hours due – "&amp;IF(LEN(INDEX('Aides'!$A$4:$A$503,52))=0,"",INDEX('Aides'!$A$4:$A$503,52))</f>
        <v/>
      </c>
      <c r="E1055">
        <f>IF(ISNUMBER(INDEX('Aides'!$O$4:$O$503,52)),TEXT(INDEX('Aides'!$O$4:$O$503,52),"yyyy-mm-dd"),"")</f>
        <v/>
      </c>
      <c r="F1055">
        <f>"Training"</f>
        <v/>
      </c>
      <c r="G1055">
        <f>"Medium"</f>
        <v/>
      </c>
      <c r="H1055">
        <f>TRIM(IF(LEN(IF(LEN(INDEX('Aides'!$P$4:$P$503,52))=0,"",INDEX('Aides'!$P$4:$P$503,52)))=0,"","Hours done: "&amp;IF(LEN(INDEX('Aides'!$P$4:$P$503,52))=0,"",INDEX('Aides'!$P$4:$P$503,52))&amp;". ")&amp;IF(LEN(IF(LEN(INDEX('Aides'!$Q$4:$Q$503,52))=0,"",INDEX('Aides'!$Q$4:$Q$503,52)))=0,"","Target: "&amp;IF(LEN(INDEX('Aides'!$Q$4:$Q$503,52))=0,"",INDEX('Aides'!$Q$4:$Q$503,52))&amp;". ")&amp;IF(LEN(IF(LEN(INDEX('Aides'!$R$4:$R$503,52))=0,"",INDEX('Aides'!$R$4:$R$503,52)))=0,"","Hours still needed: "&amp;IF(LEN(INDEX('Aides'!$R$4:$R$503,52))=0,"",INDEX('Aides'!$R$4:$R$503,52))&amp;". ")&amp;IF(LEN(IF(LEN(INDEX('Aides'!$U$4:$U$503,52))=0,"",INDEX('Aides'!$U$4:$U$503,52)))=0,"","Owner: "&amp;IF(LEN(INDEX('Aides'!$U$4:$U$503,52))=0,"",INDEX('Aides'!$U$4:$U$503,52))&amp;". "))</f>
        <v/>
      </c>
      <c r="I1055">
        <f>""</f>
        <v/>
      </c>
      <c r="J1055">
        <f>IF(LEN(INDEX('Aides'!$V$4:$V$503,52))=0,"",INDEX('Aides'!$V$4:$V$503,52))</f>
        <v/>
      </c>
    </row>
    <row r="1056">
      <c r="A1056">
        <f>IF(AND(LEN('Aides'!A56)&gt;0,ISNUMBER('Aides'!O56)),1,0)</f>
        <v/>
      </c>
      <c r="B1056">
        <f>B1055+A1056</f>
        <v/>
      </c>
      <c r="C1056">
        <f>IF(1053&gt;$B$1503,"",MATCH(1053-0.5,$B$3:$B$1503,1))</f>
        <v/>
      </c>
      <c r="D1056">
        <f>"In-service hours due – "&amp;IF(LEN(INDEX('Aides'!$A$4:$A$503,53))=0,"",INDEX('Aides'!$A$4:$A$503,53))</f>
        <v/>
      </c>
      <c r="E1056">
        <f>IF(ISNUMBER(INDEX('Aides'!$O$4:$O$503,53)),TEXT(INDEX('Aides'!$O$4:$O$503,53),"yyyy-mm-dd"),"")</f>
        <v/>
      </c>
      <c r="F1056">
        <f>"Training"</f>
        <v/>
      </c>
      <c r="G1056">
        <f>"Medium"</f>
        <v/>
      </c>
      <c r="H1056">
        <f>TRIM(IF(LEN(IF(LEN(INDEX('Aides'!$P$4:$P$503,53))=0,"",INDEX('Aides'!$P$4:$P$503,53)))=0,"","Hours done: "&amp;IF(LEN(INDEX('Aides'!$P$4:$P$503,53))=0,"",INDEX('Aides'!$P$4:$P$503,53))&amp;". ")&amp;IF(LEN(IF(LEN(INDEX('Aides'!$Q$4:$Q$503,53))=0,"",INDEX('Aides'!$Q$4:$Q$503,53)))=0,"","Target: "&amp;IF(LEN(INDEX('Aides'!$Q$4:$Q$503,53))=0,"",INDEX('Aides'!$Q$4:$Q$503,53))&amp;". ")&amp;IF(LEN(IF(LEN(INDEX('Aides'!$R$4:$R$503,53))=0,"",INDEX('Aides'!$R$4:$R$503,53)))=0,"","Hours still needed: "&amp;IF(LEN(INDEX('Aides'!$R$4:$R$503,53))=0,"",INDEX('Aides'!$R$4:$R$503,53))&amp;". ")&amp;IF(LEN(IF(LEN(INDEX('Aides'!$U$4:$U$503,53))=0,"",INDEX('Aides'!$U$4:$U$503,53)))=0,"","Owner: "&amp;IF(LEN(INDEX('Aides'!$U$4:$U$503,53))=0,"",INDEX('Aides'!$U$4:$U$503,53))&amp;". "))</f>
        <v/>
      </c>
      <c r="I1056">
        <f>""</f>
        <v/>
      </c>
      <c r="J1056">
        <f>IF(LEN(INDEX('Aides'!$V$4:$V$503,53))=0,"",INDEX('Aides'!$V$4:$V$503,53))</f>
        <v/>
      </c>
    </row>
    <row r="1057">
      <c r="A1057">
        <f>IF(AND(LEN('Aides'!A57)&gt;0,ISNUMBER('Aides'!O57)),1,0)</f>
        <v/>
      </c>
      <c r="B1057">
        <f>B1056+A1057</f>
        <v/>
      </c>
      <c r="C1057">
        <f>IF(1054&gt;$B$1503,"",MATCH(1054-0.5,$B$3:$B$1503,1))</f>
        <v/>
      </c>
      <c r="D1057">
        <f>"In-service hours due – "&amp;IF(LEN(INDEX('Aides'!$A$4:$A$503,54))=0,"",INDEX('Aides'!$A$4:$A$503,54))</f>
        <v/>
      </c>
      <c r="E1057">
        <f>IF(ISNUMBER(INDEX('Aides'!$O$4:$O$503,54)),TEXT(INDEX('Aides'!$O$4:$O$503,54),"yyyy-mm-dd"),"")</f>
        <v/>
      </c>
      <c r="F1057">
        <f>"Training"</f>
        <v/>
      </c>
      <c r="G1057">
        <f>"Medium"</f>
        <v/>
      </c>
      <c r="H1057">
        <f>TRIM(IF(LEN(IF(LEN(INDEX('Aides'!$P$4:$P$503,54))=0,"",INDEX('Aides'!$P$4:$P$503,54)))=0,"","Hours done: "&amp;IF(LEN(INDEX('Aides'!$P$4:$P$503,54))=0,"",INDEX('Aides'!$P$4:$P$503,54))&amp;". ")&amp;IF(LEN(IF(LEN(INDEX('Aides'!$Q$4:$Q$503,54))=0,"",INDEX('Aides'!$Q$4:$Q$503,54)))=0,"","Target: "&amp;IF(LEN(INDEX('Aides'!$Q$4:$Q$503,54))=0,"",INDEX('Aides'!$Q$4:$Q$503,54))&amp;". ")&amp;IF(LEN(IF(LEN(INDEX('Aides'!$R$4:$R$503,54))=0,"",INDEX('Aides'!$R$4:$R$503,54)))=0,"","Hours still needed: "&amp;IF(LEN(INDEX('Aides'!$R$4:$R$503,54))=0,"",INDEX('Aides'!$R$4:$R$503,54))&amp;". ")&amp;IF(LEN(IF(LEN(INDEX('Aides'!$U$4:$U$503,54))=0,"",INDEX('Aides'!$U$4:$U$503,54)))=0,"","Owner: "&amp;IF(LEN(INDEX('Aides'!$U$4:$U$503,54))=0,"",INDEX('Aides'!$U$4:$U$503,54))&amp;". "))</f>
        <v/>
      </c>
      <c r="I1057">
        <f>""</f>
        <v/>
      </c>
      <c r="J1057">
        <f>IF(LEN(INDEX('Aides'!$V$4:$V$503,54))=0,"",INDEX('Aides'!$V$4:$V$503,54))</f>
        <v/>
      </c>
    </row>
    <row r="1058">
      <c r="A1058">
        <f>IF(AND(LEN('Aides'!A58)&gt;0,ISNUMBER('Aides'!O58)),1,0)</f>
        <v/>
      </c>
      <c r="B1058">
        <f>B1057+A1058</f>
        <v/>
      </c>
      <c r="C1058">
        <f>IF(1055&gt;$B$1503,"",MATCH(1055-0.5,$B$3:$B$1503,1))</f>
        <v/>
      </c>
      <c r="D1058">
        <f>"In-service hours due – "&amp;IF(LEN(INDEX('Aides'!$A$4:$A$503,55))=0,"",INDEX('Aides'!$A$4:$A$503,55))</f>
        <v/>
      </c>
      <c r="E1058">
        <f>IF(ISNUMBER(INDEX('Aides'!$O$4:$O$503,55)),TEXT(INDEX('Aides'!$O$4:$O$503,55),"yyyy-mm-dd"),"")</f>
        <v/>
      </c>
      <c r="F1058">
        <f>"Training"</f>
        <v/>
      </c>
      <c r="G1058">
        <f>"Medium"</f>
        <v/>
      </c>
      <c r="H1058">
        <f>TRIM(IF(LEN(IF(LEN(INDEX('Aides'!$P$4:$P$503,55))=0,"",INDEX('Aides'!$P$4:$P$503,55)))=0,"","Hours done: "&amp;IF(LEN(INDEX('Aides'!$P$4:$P$503,55))=0,"",INDEX('Aides'!$P$4:$P$503,55))&amp;". ")&amp;IF(LEN(IF(LEN(INDEX('Aides'!$Q$4:$Q$503,55))=0,"",INDEX('Aides'!$Q$4:$Q$503,55)))=0,"","Target: "&amp;IF(LEN(INDEX('Aides'!$Q$4:$Q$503,55))=0,"",INDEX('Aides'!$Q$4:$Q$503,55))&amp;". ")&amp;IF(LEN(IF(LEN(INDEX('Aides'!$R$4:$R$503,55))=0,"",INDEX('Aides'!$R$4:$R$503,55)))=0,"","Hours still needed: "&amp;IF(LEN(INDEX('Aides'!$R$4:$R$503,55))=0,"",INDEX('Aides'!$R$4:$R$503,55))&amp;". ")&amp;IF(LEN(IF(LEN(INDEX('Aides'!$U$4:$U$503,55))=0,"",INDEX('Aides'!$U$4:$U$503,55)))=0,"","Owner: "&amp;IF(LEN(INDEX('Aides'!$U$4:$U$503,55))=0,"",INDEX('Aides'!$U$4:$U$503,55))&amp;". "))</f>
        <v/>
      </c>
      <c r="I1058">
        <f>""</f>
        <v/>
      </c>
      <c r="J1058">
        <f>IF(LEN(INDEX('Aides'!$V$4:$V$503,55))=0,"",INDEX('Aides'!$V$4:$V$503,55))</f>
        <v/>
      </c>
    </row>
    <row r="1059">
      <c r="A1059">
        <f>IF(AND(LEN('Aides'!A59)&gt;0,ISNUMBER('Aides'!O59)),1,0)</f>
        <v/>
      </c>
      <c r="B1059">
        <f>B1058+A1059</f>
        <v/>
      </c>
      <c r="C1059">
        <f>IF(1056&gt;$B$1503,"",MATCH(1056-0.5,$B$3:$B$1503,1))</f>
        <v/>
      </c>
      <c r="D1059">
        <f>"In-service hours due – "&amp;IF(LEN(INDEX('Aides'!$A$4:$A$503,56))=0,"",INDEX('Aides'!$A$4:$A$503,56))</f>
        <v/>
      </c>
      <c r="E1059">
        <f>IF(ISNUMBER(INDEX('Aides'!$O$4:$O$503,56)),TEXT(INDEX('Aides'!$O$4:$O$503,56),"yyyy-mm-dd"),"")</f>
        <v/>
      </c>
      <c r="F1059">
        <f>"Training"</f>
        <v/>
      </c>
      <c r="G1059">
        <f>"Medium"</f>
        <v/>
      </c>
      <c r="H1059">
        <f>TRIM(IF(LEN(IF(LEN(INDEX('Aides'!$P$4:$P$503,56))=0,"",INDEX('Aides'!$P$4:$P$503,56)))=0,"","Hours done: "&amp;IF(LEN(INDEX('Aides'!$P$4:$P$503,56))=0,"",INDEX('Aides'!$P$4:$P$503,56))&amp;". ")&amp;IF(LEN(IF(LEN(INDEX('Aides'!$Q$4:$Q$503,56))=0,"",INDEX('Aides'!$Q$4:$Q$503,56)))=0,"","Target: "&amp;IF(LEN(INDEX('Aides'!$Q$4:$Q$503,56))=0,"",INDEX('Aides'!$Q$4:$Q$503,56))&amp;". ")&amp;IF(LEN(IF(LEN(INDEX('Aides'!$R$4:$R$503,56))=0,"",INDEX('Aides'!$R$4:$R$503,56)))=0,"","Hours still needed: "&amp;IF(LEN(INDEX('Aides'!$R$4:$R$503,56))=0,"",INDEX('Aides'!$R$4:$R$503,56))&amp;". ")&amp;IF(LEN(IF(LEN(INDEX('Aides'!$U$4:$U$503,56))=0,"",INDEX('Aides'!$U$4:$U$503,56)))=0,"","Owner: "&amp;IF(LEN(INDEX('Aides'!$U$4:$U$503,56))=0,"",INDEX('Aides'!$U$4:$U$503,56))&amp;". "))</f>
        <v/>
      </c>
      <c r="I1059">
        <f>""</f>
        <v/>
      </c>
      <c r="J1059">
        <f>IF(LEN(INDEX('Aides'!$V$4:$V$503,56))=0,"",INDEX('Aides'!$V$4:$V$503,56))</f>
        <v/>
      </c>
    </row>
    <row r="1060">
      <c r="A1060">
        <f>IF(AND(LEN('Aides'!A60)&gt;0,ISNUMBER('Aides'!O60)),1,0)</f>
        <v/>
      </c>
      <c r="B1060">
        <f>B1059+A1060</f>
        <v/>
      </c>
      <c r="C1060">
        <f>IF(1057&gt;$B$1503,"",MATCH(1057-0.5,$B$3:$B$1503,1))</f>
        <v/>
      </c>
      <c r="D1060">
        <f>"In-service hours due – "&amp;IF(LEN(INDEX('Aides'!$A$4:$A$503,57))=0,"",INDEX('Aides'!$A$4:$A$503,57))</f>
        <v/>
      </c>
      <c r="E1060">
        <f>IF(ISNUMBER(INDEX('Aides'!$O$4:$O$503,57)),TEXT(INDEX('Aides'!$O$4:$O$503,57),"yyyy-mm-dd"),"")</f>
        <v/>
      </c>
      <c r="F1060">
        <f>"Training"</f>
        <v/>
      </c>
      <c r="G1060">
        <f>"Medium"</f>
        <v/>
      </c>
      <c r="H1060">
        <f>TRIM(IF(LEN(IF(LEN(INDEX('Aides'!$P$4:$P$503,57))=0,"",INDEX('Aides'!$P$4:$P$503,57)))=0,"","Hours done: "&amp;IF(LEN(INDEX('Aides'!$P$4:$P$503,57))=0,"",INDEX('Aides'!$P$4:$P$503,57))&amp;". ")&amp;IF(LEN(IF(LEN(INDEX('Aides'!$Q$4:$Q$503,57))=0,"",INDEX('Aides'!$Q$4:$Q$503,57)))=0,"","Target: "&amp;IF(LEN(INDEX('Aides'!$Q$4:$Q$503,57))=0,"",INDEX('Aides'!$Q$4:$Q$503,57))&amp;". ")&amp;IF(LEN(IF(LEN(INDEX('Aides'!$R$4:$R$503,57))=0,"",INDEX('Aides'!$R$4:$R$503,57)))=0,"","Hours still needed: "&amp;IF(LEN(INDEX('Aides'!$R$4:$R$503,57))=0,"",INDEX('Aides'!$R$4:$R$503,57))&amp;". ")&amp;IF(LEN(IF(LEN(INDEX('Aides'!$U$4:$U$503,57))=0,"",INDEX('Aides'!$U$4:$U$503,57)))=0,"","Owner: "&amp;IF(LEN(INDEX('Aides'!$U$4:$U$503,57))=0,"",INDEX('Aides'!$U$4:$U$503,57))&amp;". "))</f>
        <v/>
      </c>
      <c r="I1060">
        <f>""</f>
        <v/>
      </c>
      <c r="J1060">
        <f>IF(LEN(INDEX('Aides'!$V$4:$V$503,57))=0,"",INDEX('Aides'!$V$4:$V$503,57))</f>
        <v/>
      </c>
    </row>
    <row r="1061">
      <c r="A1061">
        <f>IF(AND(LEN('Aides'!A61)&gt;0,ISNUMBER('Aides'!O61)),1,0)</f>
        <v/>
      </c>
      <c r="B1061">
        <f>B1060+A1061</f>
        <v/>
      </c>
      <c r="C1061">
        <f>IF(1058&gt;$B$1503,"",MATCH(1058-0.5,$B$3:$B$1503,1))</f>
        <v/>
      </c>
      <c r="D1061">
        <f>"In-service hours due – "&amp;IF(LEN(INDEX('Aides'!$A$4:$A$503,58))=0,"",INDEX('Aides'!$A$4:$A$503,58))</f>
        <v/>
      </c>
      <c r="E1061">
        <f>IF(ISNUMBER(INDEX('Aides'!$O$4:$O$503,58)),TEXT(INDEX('Aides'!$O$4:$O$503,58),"yyyy-mm-dd"),"")</f>
        <v/>
      </c>
      <c r="F1061">
        <f>"Training"</f>
        <v/>
      </c>
      <c r="G1061">
        <f>"Medium"</f>
        <v/>
      </c>
      <c r="H1061">
        <f>TRIM(IF(LEN(IF(LEN(INDEX('Aides'!$P$4:$P$503,58))=0,"",INDEX('Aides'!$P$4:$P$503,58)))=0,"","Hours done: "&amp;IF(LEN(INDEX('Aides'!$P$4:$P$503,58))=0,"",INDEX('Aides'!$P$4:$P$503,58))&amp;". ")&amp;IF(LEN(IF(LEN(INDEX('Aides'!$Q$4:$Q$503,58))=0,"",INDEX('Aides'!$Q$4:$Q$503,58)))=0,"","Target: "&amp;IF(LEN(INDEX('Aides'!$Q$4:$Q$503,58))=0,"",INDEX('Aides'!$Q$4:$Q$503,58))&amp;". ")&amp;IF(LEN(IF(LEN(INDEX('Aides'!$R$4:$R$503,58))=0,"",INDEX('Aides'!$R$4:$R$503,58)))=0,"","Hours still needed: "&amp;IF(LEN(INDEX('Aides'!$R$4:$R$503,58))=0,"",INDEX('Aides'!$R$4:$R$503,58))&amp;". ")&amp;IF(LEN(IF(LEN(INDEX('Aides'!$U$4:$U$503,58))=0,"",INDEX('Aides'!$U$4:$U$503,58)))=0,"","Owner: "&amp;IF(LEN(INDEX('Aides'!$U$4:$U$503,58))=0,"",INDEX('Aides'!$U$4:$U$503,58))&amp;". "))</f>
        <v/>
      </c>
      <c r="I1061">
        <f>""</f>
        <v/>
      </c>
      <c r="J1061">
        <f>IF(LEN(INDEX('Aides'!$V$4:$V$503,58))=0,"",INDEX('Aides'!$V$4:$V$503,58))</f>
        <v/>
      </c>
    </row>
    <row r="1062">
      <c r="A1062">
        <f>IF(AND(LEN('Aides'!A62)&gt;0,ISNUMBER('Aides'!O62)),1,0)</f>
        <v/>
      </c>
      <c r="B1062">
        <f>B1061+A1062</f>
        <v/>
      </c>
      <c r="C1062">
        <f>IF(1059&gt;$B$1503,"",MATCH(1059-0.5,$B$3:$B$1503,1))</f>
        <v/>
      </c>
      <c r="D1062">
        <f>"In-service hours due – "&amp;IF(LEN(INDEX('Aides'!$A$4:$A$503,59))=0,"",INDEX('Aides'!$A$4:$A$503,59))</f>
        <v/>
      </c>
      <c r="E1062">
        <f>IF(ISNUMBER(INDEX('Aides'!$O$4:$O$503,59)),TEXT(INDEX('Aides'!$O$4:$O$503,59),"yyyy-mm-dd"),"")</f>
        <v/>
      </c>
      <c r="F1062">
        <f>"Training"</f>
        <v/>
      </c>
      <c r="G1062">
        <f>"Medium"</f>
        <v/>
      </c>
      <c r="H1062">
        <f>TRIM(IF(LEN(IF(LEN(INDEX('Aides'!$P$4:$P$503,59))=0,"",INDEX('Aides'!$P$4:$P$503,59)))=0,"","Hours done: "&amp;IF(LEN(INDEX('Aides'!$P$4:$P$503,59))=0,"",INDEX('Aides'!$P$4:$P$503,59))&amp;". ")&amp;IF(LEN(IF(LEN(INDEX('Aides'!$Q$4:$Q$503,59))=0,"",INDEX('Aides'!$Q$4:$Q$503,59)))=0,"","Target: "&amp;IF(LEN(INDEX('Aides'!$Q$4:$Q$503,59))=0,"",INDEX('Aides'!$Q$4:$Q$503,59))&amp;". ")&amp;IF(LEN(IF(LEN(INDEX('Aides'!$R$4:$R$503,59))=0,"",INDEX('Aides'!$R$4:$R$503,59)))=0,"","Hours still needed: "&amp;IF(LEN(INDEX('Aides'!$R$4:$R$503,59))=0,"",INDEX('Aides'!$R$4:$R$503,59))&amp;". ")&amp;IF(LEN(IF(LEN(INDEX('Aides'!$U$4:$U$503,59))=0,"",INDEX('Aides'!$U$4:$U$503,59)))=0,"","Owner: "&amp;IF(LEN(INDEX('Aides'!$U$4:$U$503,59))=0,"",INDEX('Aides'!$U$4:$U$503,59))&amp;". "))</f>
        <v/>
      </c>
      <c r="I1062">
        <f>""</f>
        <v/>
      </c>
      <c r="J1062">
        <f>IF(LEN(INDEX('Aides'!$V$4:$V$503,59))=0,"",INDEX('Aides'!$V$4:$V$503,59))</f>
        <v/>
      </c>
    </row>
    <row r="1063">
      <c r="A1063">
        <f>IF(AND(LEN('Aides'!A63)&gt;0,ISNUMBER('Aides'!O63)),1,0)</f>
        <v/>
      </c>
      <c r="B1063">
        <f>B1062+A1063</f>
        <v/>
      </c>
      <c r="C1063">
        <f>IF(1060&gt;$B$1503,"",MATCH(1060-0.5,$B$3:$B$1503,1))</f>
        <v/>
      </c>
      <c r="D1063">
        <f>"In-service hours due – "&amp;IF(LEN(INDEX('Aides'!$A$4:$A$503,60))=0,"",INDEX('Aides'!$A$4:$A$503,60))</f>
        <v/>
      </c>
      <c r="E1063">
        <f>IF(ISNUMBER(INDEX('Aides'!$O$4:$O$503,60)),TEXT(INDEX('Aides'!$O$4:$O$503,60),"yyyy-mm-dd"),"")</f>
        <v/>
      </c>
      <c r="F1063">
        <f>"Training"</f>
        <v/>
      </c>
      <c r="G1063">
        <f>"Medium"</f>
        <v/>
      </c>
      <c r="H1063">
        <f>TRIM(IF(LEN(IF(LEN(INDEX('Aides'!$P$4:$P$503,60))=0,"",INDEX('Aides'!$P$4:$P$503,60)))=0,"","Hours done: "&amp;IF(LEN(INDEX('Aides'!$P$4:$P$503,60))=0,"",INDEX('Aides'!$P$4:$P$503,60))&amp;". ")&amp;IF(LEN(IF(LEN(INDEX('Aides'!$Q$4:$Q$503,60))=0,"",INDEX('Aides'!$Q$4:$Q$503,60)))=0,"","Target: "&amp;IF(LEN(INDEX('Aides'!$Q$4:$Q$503,60))=0,"",INDEX('Aides'!$Q$4:$Q$503,60))&amp;". ")&amp;IF(LEN(IF(LEN(INDEX('Aides'!$R$4:$R$503,60))=0,"",INDEX('Aides'!$R$4:$R$503,60)))=0,"","Hours still needed: "&amp;IF(LEN(INDEX('Aides'!$R$4:$R$503,60))=0,"",INDEX('Aides'!$R$4:$R$503,60))&amp;". ")&amp;IF(LEN(IF(LEN(INDEX('Aides'!$U$4:$U$503,60))=0,"",INDEX('Aides'!$U$4:$U$503,60)))=0,"","Owner: "&amp;IF(LEN(INDEX('Aides'!$U$4:$U$503,60))=0,"",INDEX('Aides'!$U$4:$U$503,60))&amp;". "))</f>
        <v/>
      </c>
      <c r="I1063">
        <f>""</f>
        <v/>
      </c>
      <c r="J1063">
        <f>IF(LEN(INDEX('Aides'!$V$4:$V$503,60))=0,"",INDEX('Aides'!$V$4:$V$503,60))</f>
        <v/>
      </c>
    </row>
    <row r="1064">
      <c r="A1064">
        <f>IF(AND(LEN('Aides'!A64)&gt;0,ISNUMBER('Aides'!O64)),1,0)</f>
        <v/>
      </c>
      <c r="B1064">
        <f>B1063+A1064</f>
        <v/>
      </c>
      <c r="C1064">
        <f>IF(1061&gt;$B$1503,"",MATCH(1061-0.5,$B$3:$B$1503,1))</f>
        <v/>
      </c>
      <c r="D1064">
        <f>"In-service hours due – "&amp;IF(LEN(INDEX('Aides'!$A$4:$A$503,61))=0,"",INDEX('Aides'!$A$4:$A$503,61))</f>
        <v/>
      </c>
      <c r="E1064">
        <f>IF(ISNUMBER(INDEX('Aides'!$O$4:$O$503,61)),TEXT(INDEX('Aides'!$O$4:$O$503,61),"yyyy-mm-dd"),"")</f>
        <v/>
      </c>
      <c r="F1064">
        <f>"Training"</f>
        <v/>
      </c>
      <c r="G1064">
        <f>"Medium"</f>
        <v/>
      </c>
      <c r="H1064">
        <f>TRIM(IF(LEN(IF(LEN(INDEX('Aides'!$P$4:$P$503,61))=0,"",INDEX('Aides'!$P$4:$P$503,61)))=0,"","Hours done: "&amp;IF(LEN(INDEX('Aides'!$P$4:$P$503,61))=0,"",INDEX('Aides'!$P$4:$P$503,61))&amp;". ")&amp;IF(LEN(IF(LEN(INDEX('Aides'!$Q$4:$Q$503,61))=0,"",INDEX('Aides'!$Q$4:$Q$503,61)))=0,"","Target: "&amp;IF(LEN(INDEX('Aides'!$Q$4:$Q$503,61))=0,"",INDEX('Aides'!$Q$4:$Q$503,61))&amp;". ")&amp;IF(LEN(IF(LEN(INDEX('Aides'!$R$4:$R$503,61))=0,"",INDEX('Aides'!$R$4:$R$503,61)))=0,"","Hours still needed: "&amp;IF(LEN(INDEX('Aides'!$R$4:$R$503,61))=0,"",INDEX('Aides'!$R$4:$R$503,61))&amp;". ")&amp;IF(LEN(IF(LEN(INDEX('Aides'!$U$4:$U$503,61))=0,"",INDEX('Aides'!$U$4:$U$503,61)))=0,"","Owner: "&amp;IF(LEN(INDEX('Aides'!$U$4:$U$503,61))=0,"",INDEX('Aides'!$U$4:$U$503,61))&amp;". "))</f>
        <v/>
      </c>
      <c r="I1064">
        <f>""</f>
        <v/>
      </c>
      <c r="J1064">
        <f>IF(LEN(INDEX('Aides'!$V$4:$V$503,61))=0,"",INDEX('Aides'!$V$4:$V$503,61))</f>
        <v/>
      </c>
    </row>
    <row r="1065">
      <c r="A1065">
        <f>IF(AND(LEN('Aides'!A65)&gt;0,ISNUMBER('Aides'!O65)),1,0)</f>
        <v/>
      </c>
      <c r="B1065">
        <f>B1064+A1065</f>
        <v/>
      </c>
      <c r="C1065">
        <f>IF(1062&gt;$B$1503,"",MATCH(1062-0.5,$B$3:$B$1503,1))</f>
        <v/>
      </c>
      <c r="D1065">
        <f>"In-service hours due – "&amp;IF(LEN(INDEX('Aides'!$A$4:$A$503,62))=0,"",INDEX('Aides'!$A$4:$A$503,62))</f>
        <v/>
      </c>
      <c r="E1065">
        <f>IF(ISNUMBER(INDEX('Aides'!$O$4:$O$503,62)),TEXT(INDEX('Aides'!$O$4:$O$503,62),"yyyy-mm-dd"),"")</f>
        <v/>
      </c>
      <c r="F1065">
        <f>"Training"</f>
        <v/>
      </c>
      <c r="G1065">
        <f>"Medium"</f>
        <v/>
      </c>
      <c r="H1065">
        <f>TRIM(IF(LEN(IF(LEN(INDEX('Aides'!$P$4:$P$503,62))=0,"",INDEX('Aides'!$P$4:$P$503,62)))=0,"","Hours done: "&amp;IF(LEN(INDEX('Aides'!$P$4:$P$503,62))=0,"",INDEX('Aides'!$P$4:$P$503,62))&amp;". ")&amp;IF(LEN(IF(LEN(INDEX('Aides'!$Q$4:$Q$503,62))=0,"",INDEX('Aides'!$Q$4:$Q$503,62)))=0,"","Target: "&amp;IF(LEN(INDEX('Aides'!$Q$4:$Q$503,62))=0,"",INDEX('Aides'!$Q$4:$Q$503,62))&amp;". ")&amp;IF(LEN(IF(LEN(INDEX('Aides'!$R$4:$R$503,62))=0,"",INDEX('Aides'!$R$4:$R$503,62)))=0,"","Hours still needed: "&amp;IF(LEN(INDEX('Aides'!$R$4:$R$503,62))=0,"",INDEX('Aides'!$R$4:$R$503,62))&amp;". ")&amp;IF(LEN(IF(LEN(INDEX('Aides'!$U$4:$U$503,62))=0,"",INDEX('Aides'!$U$4:$U$503,62)))=0,"","Owner: "&amp;IF(LEN(INDEX('Aides'!$U$4:$U$503,62))=0,"",INDEX('Aides'!$U$4:$U$503,62))&amp;". "))</f>
        <v/>
      </c>
      <c r="I1065">
        <f>""</f>
        <v/>
      </c>
      <c r="J1065">
        <f>IF(LEN(INDEX('Aides'!$V$4:$V$503,62))=0,"",INDEX('Aides'!$V$4:$V$503,62))</f>
        <v/>
      </c>
    </row>
    <row r="1066">
      <c r="A1066">
        <f>IF(AND(LEN('Aides'!A66)&gt;0,ISNUMBER('Aides'!O66)),1,0)</f>
        <v/>
      </c>
      <c r="B1066">
        <f>B1065+A1066</f>
        <v/>
      </c>
      <c r="C1066">
        <f>IF(1063&gt;$B$1503,"",MATCH(1063-0.5,$B$3:$B$1503,1))</f>
        <v/>
      </c>
      <c r="D1066">
        <f>"In-service hours due – "&amp;IF(LEN(INDEX('Aides'!$A$4:$A$503,63))=0,"",INDEX('Aides'!$A$4:$A$503,63))</f>
        <v/>
      </c>
      <c r="E1066">
        <f>IF(ISNUMBER(INDEX('Aides'!$O$4:$O$503,63)),TEXT(INDEX('Aides'!$O$4:$O$503,63),"yyyy-mm-dd"),"")</f>
        <v/>
      </c>
      <c r="F1066">
        <f>"Training"</f>
        <v/>
      </c>
      <c r="G1066">
        <f>"Medium"</f>
        <v/>
      </c>
      <c r="H1066">
        <f>TRIM(IF(LEN(IF(LEN(INDEX('Aides'!$P$4:$P$503,63))=0,"",INDEX('Aides'!$P$4:$P$503,63)))=0,"","Hours done: "&amp;IF(LEN(INDEX('Aides'!$P$4:$P$503,63))=0,"",INDEX('Aides'!$P$4:$P$503,63))&amp;". ")&amp;IF(LEN(IF(LEN(INDEX('Aides'!$Q$4:$Q$503,63))=0,"",INDEX('Aides'!$Q$4:$Q$503,63)))=0,"","Target: "&amp;IF(LEN(INDEX('Aides'!$Q$4:$Q$503,63))=0,"",INDEX('Aides'!$Q$4:$Q$503,63))&amp;". ")&amp;IF(LEN(IF(LEN(INDEX('Aides'!$R$4:$R$503,63))=0,"",INDEX('Aides'!$R$4:$R$503,63)))=0,"","Hours still needed: "&amp;IF(LEN(INDEX('Aides'!$R$4:$R$503,63))=0,"",INDEX('Aides'!$R$4:$R$503,63))&amp;". ")&amp;IF(LEN(IF(LEN(INDEX('Aides'!$U$4:$U$503,63))=0,"",INDEX('Aides'!$U$4:$U$503,63)))=0,"","Owner: "&amp;IF(LEN(INDEX('Aides'!$U$4:$U$503,63))=0,"",INDEX('Aides'!$U$4:$U$503,63))&amp;". "))</f>
        <v/>
      </c>
      <c r="I1066">
        <f>""</f>
        <v/>
      </c>
      <c r="J1066">
        <f>IF(LEN(INDEX('Aides'!$V$4:$V$503,63))=0,"",INDEX('Aides'!$V$4:$V$503,63))</f>
        <v/>
      </c>
    </row>
    <row r="1067">
      <c r="A1067">
        <f>IF(AND(LEN('Aides'!A67)&gt;0,ISNUMBER('Aides'!O67)),1,0)</f>
        <v/>
      </c>
      <c r="B1067">
        <f>B1066+A1067</f>
        <v/>
      </c>
      <c r="C1067">
        <f>IF(1064&gt;$B$1503,"",MATCH(1064-0.5,$B$3:$B$1503,1))</f>
        <v/>
      </c>
      <c r="D1067">
        <f>"In-service hours due – "&amp;IF(LEN(INDEX('Aides'!$A$4:$A$503,64))=0,"",INDEX('Aides'!$A$4:$A$503,64))</f>
        <v/>
      </c>
      <c r="E1067">
        <f>IF(ISNUMBER(INDEX('Aides'!$O$4:$O$503,64)),TEXT(INDEX('Aides'!$O$4:$O$503,64),"yyyy-mm-dd"),"")</f>
        <v/>
      </c>
      <c r="F1067">
        <f>"Training"</f>
        <v/>
      </c>
      <c r="G1067">
        <f>"Medium"</f>
        <v/>
      </c>
      <c r="H1067">
        <f>TRIM(IF(LEN(IF(LEN(INDEX('Aides'!$P$4:$P$503,64))=0,"",INDEX('Aides'!$P$4:$P$503,64)))=0,"","Hours done: "&amp;IF(LEN(INDEX('Aides'!$P$4:$P$503,64))=0,"",INDEX('Aides'!$P$4:$P$503,64))&amp;". ")&amp;IF(LEN(IF(LEN(INDEX('Aides'!$Q$4:$Q$503,64))=0,"",INDEX('Aides'!$Q$4:$Q$503,64)))=0,"","Target: "&amp;IF(LEN(INDEX('Aides'!$Q$4:$Q$503,64))=0,"",INDEX('Aides'!$Q$4:$Q$503,64))&amp;". ")&amp;IF(LEN(IF(LEN(INDEX('Aides'!$R$4:$R$503,64))=0,"",INDEX('Aides'!$R$4:$R$503,64)))=0,"","Hours still needed: "&amp;IF(LEN(INDEX('Aides'!$R$4:$R$503,64))=0,"",INDEX('Aides'!$R$4:$R$503,64))&amp;". ")&amp;IF(LEN(IF(LEN(INDEX('Aides'!$U$4:$U$503,64))=0,"",INDEX('Aides'!$U$4:$U$503,64)))=0,"","Owner: "&amp;IF(LEN(INDEX('Aides'!$U$4:$U$503,64))=0,"",INDEX('Aides'!$U$4:$U$503,64))&amp;". "))</f>
        <v/>
      </c>
      <c r="I1067">
        <f>""</f>
        <v/>
      </c>
      <c r="J1067">
        <f>IF(LEN(INDEX('Aides'!$V$4:$V$503,64))=0,"",INDEX('Aides'!$V$4:$V$503,64))</f>
        <v/>
      </c>
    </row>
    <row r="1068">
      <c r="A1068">
        <f>IF(AND(LEN('Aides'!A68)&gt;0,ISNUMBER('Aides'!O68)),1,0)</f>
        <v/>
      </c>
      <c r="B1068">
        <f>B1067+A1068</f>
        <v/>
      </c>
      <c r="C1068">
        <f>IF(1065&gt;$B$1503,"",MATCH(1065-0.5,$B$3:$B$1503,1))</f>
        <v/>
      </c>
      <c r="D1068">
        <f>"In-service hours due – "&amp;IF(LEN(INDEX('Aides'!$A$4:$A$503,65))=0,"",INDEX('Aides'!$A$4:$A$503,65))</f>
        <v/>
      </c>
      <c r="E1068">
        <f>IF(ISNUMBER(INDEX('Aides'!$O$4:$O$503,65)),TEXT(INDEX('Aides'!$O$4:$O$503,65),"yyyy-mm-dd"),"")</f>
        <v/>
      </c>
      <c r="F1068">
        <f>"Training"</f>
        <v/>
      </c>
      <c r="G1068">
        <f>"Medium"</f>
        <v/>
      </c>
      <c r="H1068">
        <f>TRIM(IF(LEN(IF(LEN(INDEX('Aides'!$P$4:$P$503,65))=0,"",INDEX('Aides'!$P$4:$P$503,65)))=0,"","Hours done: "&amp;IF(LEN(INDEX('Aides'!$P$4:$P$503,65))=0,"",INDEX('Aides'!$P$4:$P$503,65))&amp;". ")&amp;IF(LEN(IF(LEN(INDEX('Aides'!$Q$4:$Q$503,65))=0,"",INDEX('Aides'!$Q$4:$Q$503,65)))=0,"","Target: "&amp;IF(LEN(INDEX('Aides'!$Q$4:$Q$503,65))=0,"",INDEX('Aides'!$Q$4:$Q$503,65))&amp;". ")&amp;IF(LEN(IF(LEN(INDEX('Aides'!$R$4:$R$503,65))=0,"",INDEX('Aides'!$R$4:$R$503,65)))=0,"","Hours still needed: "&amp;IF(LEN(INDEX('Aides'!$R$4:$R$503,65))=0,"",INDEX('Aides'!$R$4:$R$503,65))&amp;". ")&amp;IF(LEN(IF(LEN(INDEX('Aides'!$U$4:$U$503,65))=0,"",INDEX('Aides'!$U$4:$U$503,65)))=0,"","Owner: "&amp;IF(LEN(INDEX('Aides'!$U$4:$U$503,65))=0,"",INDEX('Aides'!$U$4:$U$503,65))&amp;". "))</f>
        <v/>
      </c>
      <c r="I1068">
        <f>""</f>
        <v/>
      </c>
      <c r="J1068">
        <f>IF(LEN(INDEX('Aides'!$V$4:$V$503,65))=0,"",INDEX('Aides'!$V$4:$V$503,65))</f>
        <v/>
      </c>
    </row>
    <row r="1069">
      <c r="A1069">
        <f>IF(AND(LEN('Aides'!A69)&gt;0,ISNUMBER('Aides'!O69)),1,0)</f>
        <v/>
      </c>
      <c r="B1069">
        <f>B1068+A1069</f>
        <v/>
      </c>
      <c r="C1069">
        <f>IF(1066&gt;$B$1503,"",MATCH(1066-0.5,$B$3:$B$1503,1))</f>
        <v/>
      </c>
      <c r="D1069">
        <f>"In-service hours due – "&amp;IF(LEN(INDEX('Aides'!$A$4:$A$503,66))=0,"",INDEX('Aides'!$A$4:$A$503,66))</f>
        <v/>
      </c>
      <c r="E1069">
        <f>IF(ISNUMBER(INDEX('Aides'!$O$4:$O$503,66)),TEXT(INDEX('Aides'!$O$4:$O$503,66),"yyyy-mm-dd"),"")</f>
        <v/>
      </c>
      <c r="F1069">
        <f>"Training"</f>
        <v/>
      </c>
      <c r="G1069">
        <f>"Medium"</f>
        <v/>
      </c>
      <c r="H1069">
        <f>TRIM(IF(LEN(IF(LEN(INDEX('Aides'!$P$4:$P$503,66))=0,"",INDEX('Aides'!$P$4:$P$503,66)))=0,"","Hours done: "&amp;IF(LEN(INDEX('Aides'!$P$4:$P$503,66))=0,"",INDEX('Aides'!$P$4:$P$503,66))&amp;". ")&amp;IF(LEN(IF(LEN(INDEX('Aides'!$Q$4:$Q$503,66))=0,"",INDEX('Aides'!$Q$4:$Q$503,66)))=0,"","Target: "&amp;IF(LEN(INDEX('Aides'!$Q$4:$Q$503,66))=0,"",INDEX('Aides'!$Q$4:$Q$503,66))&amp;". ")&amp;IF(LEN(IF(LEN(INDEX('Aides'!$R$4:$R$503,66))=0,"",INDEX('Aides'!$R$4:$R$503,66)))=0,"","Hours still needed: "&amp;IF(LEN(INDEX('Aides'!$R$4:$R$503,66))=0,"",INDEX('Aides'!$R$4:$R$503,66))&amp;". ")&amp;IF(LEN(IF(LEN(INDEX('Aides'!$U$4:$U$503,66))=0,"",INDEX('Aides'!$U$4:$U$503,66)))=0,"","Owner: "&amp;IF(LEN(INDEX('Aides'!$U$4:$U$503,66))=0,"",INDEX('Aides'!$U$4:$U$503,66))&amp;". "))</f>
        <v/>
      </c>
      <c r="I1069">
        <f>""</f>
        <v/>
      </c>
      <c r="J1069">
        <f>IF(LEN(INDEX('Aides'!$V$4:$V$503,66))=0,"",INDEX('Aides'!$V$4:$V$503,66))</f>
        <v/>
      </c>
    </row>
    <row r="1070">
      <c r="A1070">
        <f>IF(AND(LEN('Aides'!A70)&gt;0,ISNUMBER('Aides'!O70)),1,0)</f>
        <v/>
      </c>
      <c r="B1070">
        <f>B1069+A1070</f>
        <v/>
      </c>
      <c r="C1070">
        <f>IF(1067&gt;$B$1503,"",MATCH(1067-0.5,$B$3:$B$1503,1))</f>
        <v/>
      </c>
      <c r="D1070">
        <f>"In-service hours due – "&amp;IF(LEN(INDEX('Aides'!$A$4:$A$503,67))=0,"",INDEX('Aides'!$A$4:$A$503,67))</f>
        <v/>
      </c>
      <c r="E1070">
        <f>IF(ISNUMBER(INDEX('Aides'!$O$4:$O$503,67)),TEXT(INDEX('Aides'!$O$4:$O$503,67),"yyyy-mm-dd"),"")</f>
        <v/>
      </c>
      <c r="F1070">
        <f>"Training"</f>
        <v/>
      </c>
      <c r="G1070">
        <f>"Medium"</f>
        <v/>
      </c>
      <c r="H1070">
        <f>TRIM(IF(LEN(IF(LEN(INDEX('Aides'!$P$4:$P$503,67))=0,"",INDEX('Aides'!$P$4:$P$503,67)))=0,"","Hours done: "&amp;IF(LEN(INDEX('Aides'!$P$4:$P$503,67))=0,"",INDEX('Aides'!$P$4:$P$503,67))&amp;". ")&amp;IF(LEN(IF(LEN(INDEX('Aides'!$Q$4:$Q$503,67))=0,"",INDEX('Aides'!$Q$4:$Q$503,67)))=0,"","Target: "&amp;IF(LEN(INDEX('Aides'!$Q$4:$Q$503,67))=0,"",INDEX('Aides'!$Q$4:$Q$503,67))&amp;". ")&amp;IF(LEN(IF(LEN(INDEX('Aides'!$R$4:$R$503,67))=0,"",INDEX('Aides'!$R$4:$R$503,67)))=0,"","Hours still needed: "&amp;IF(LEN(INDEX('Aides'!$R$4:$R$503,67))=0,"",INDEX('Aides'!$R$4:$R$503,67))&amp;". ")&amp;IF(LEN(IF(LEN(INDEX('Aides'!$U$4:$U$503,67))=0,"",INDEX('Aides'!$U$4:$U$503,67)))=0,"","Owner: "&amp;IF(LEN(INDEX('Aides'!$U$4:$U$503,67))=0,"",INDEX('Aides'!$U$4:$U$503,67))&amp;". "))</f>
        <v/>
      </c>
      <c r="I1070">
        <f>""</f>
        <v/>
      </c>
      <c r="J1070">
        <f>IF(LEN(INDEX('Aides'!$V$4:$V$503,67))=0,"",INDEX('Aides'!$V$4:$V$503,67))</f>
        <v/>
      </c>
    </row>
    <row r="1071">
      <c r="A1071">
        <f>IF(AND(LEN('Aides'!A71)&gt;0,ISNUMBER('Aides'!O71)),1,0)</f>
        <v/>
      </c>
      <c r="B1071">
        <f>B1070+A1071</f>
        <v/>
      </c>
      <c r="C1071">
        <f>IF(1068&gt;$B$1503,"",MATCH(1068-0.5,$B$3:$B$1503,1))</f>
        <v/>
      </c>
      <c r="D1071">
        <f>"In-service hours due – "&amp;IF(LEN(INDEX('Aides'!$A$4:$A$503,68))=0,"",INDEX('Aides'!$A$4:$A$503,68))</f>
        <v/>
      </c>
      <c r="E1071">
        <f>IF(ISNUMBER(INDEX('Aides'!$O$4:$O$503,68)),TEXT(INDEX('Aides'!$O$4:$O$503,68),"yyyy-mm-dd"),"")</f>
        <v/>
      </c>
      <c r="F1071">
        <f>"Training"</f>
        <v/>
      </c>
      <c r="G1071">
        <f>"Medium"</f>
        <v/>
      </c>
      <c r="H1071">
        <f>TRIM(IF(LEN(IF(LEN(INDEX('Aides'!$P$4:$P$503,68))=0,"",INDEX('Aides'!$P$4:$P$503,68)))=0,"","Hours done: "&amp;IF(LEN(INDEX('Aides'!$P$4:$P$503,68))=0,"",INDEX('Aides'!$P$4:$P$503,68))&amp;". ")&amp;IF(LEN(IF(LEN(INDEX('Aides'!$Q$4:$Q$503,68))=0,"",INDEX('Aides'!$Q$4:$Q$503,68)))=0,"","Target: "&amp;IF(LEN(INDEX('Aides'!$Q$4:$Q$503,68))=0,"",INDEX('Aides'!$Q$4:$Q$503,68))&amp;". ")&amp;IF(LEN(IF(LEN(INDEX('Aides'!$R$4:$R$503,68))=0,"",INDEX('Aides'!$R$4:$R$503,68)))=0,"","Hours still needed: "&amp;IF(LEN(INDEX('Aides'!$R$4:$R$503,68))=0,"",INDEX('Aides'!$R$4:$R$503,68))&amp;". ")&amp;IF(LEN(IF(LEN(INDEX('Aides'!$U$4:$U$503,68))=0,"",INDEX('Aides'!$U$4:$U$503,68)))=0,"","Owner: "&amp;IF(LEN(INDEX('Aides'!$U$4:$U$503,68))=0,"",INDEX('Aides'!$U$4:$U$503,68))&amp;". "))</f>
        <v/>
      </c>
      <c r="I1071">
        <f>""</f>
        <v/>
      </c>
      <c r="J1071">
        <f>IF(LEN(INDEX('Aides'!$V$4:$V$503,68))=0,"",INDEX('Aides'!$V$4:$V$503,68))</f>
        <v/>
      </c>
    </row>
    <row r="1072">
      <c r="A1072">
        <f>IF(AND(LEN('Aides'!A72)&gt;0,ISNUMBER('Aides'!O72)),1,0)</f>
        <v/>
      </c>
      <c r="B1072">
        <f>B1071+A1072</f>
        <v/>
      </c>
      <c r="C1072">
        <f>IF(1069&gt;$B$1503,"",MATCH(1069-0.5,$B$3:$B$1503,1))</f>
        <v/>
      </c>
      <c r="D1072">
        <f>"In-service hours due – "&amp;IF(LEN(INDEX('Aides'!$A$4:$A$503,69))=0,"",INDEX('Aides'!$A$4:$A$503,69))</f>
        <v/>
      </c>
      <c r="E1072">
        <f>IF(ISNUMBER(INDEX('Aides'!$O$4:$O$503,69)),TEXT(INDEX('Aides'!$O$4:$O$503,69),"yyyy-mm-dd"),"")</f>
        <v/>
      </c>
      <c r="F1072">
        <f>"Training"</f>
        <v/>
      </c>
      <c r="G1072">
        <f>"Medium"</f>
        <v/>
      </c>
      <c r="H1072">
        <f>TRIM(IF(LEN(IF(LEN(INDEX('Aides'!$P$4:$P$503,69))=0,"",INDEX('Aides'!$P$4:$P$503,69)))=0,"","Hours done: "&amp;IF(LEN(INDEX('Aides'!$P$4:$P$503,69))=0,"",INDEX('Aides'!$P$4:$P$503,69))&amp;". ")&amp;IF(LEN(IF(LEN(INDEX('Aides'!$Q$4:$Q$503,69))=0,"",INDEX('Aides'!$Q$4:$Q$503,69)))=0,"","Target: "&amp;IF(LEN(INDEX('Aides'!$Q$4:$Q$503,69))=0,"",INDEX('Aides'!$Q$4:$Q$503,69))&amp;". ")&amp;IF(LEN(IF(LEN(INDEX('Aides'!$R$4:$R$503,69))=0,"",INDEX('Aides'!$R$4:$R$503,69)))=0,"","Hours still needed: "&amp;IF(LEN(INDEX('Aides'!$R$4:$R$503,69))=0,"",INDEX('Aides'!$R$4:$R$503,69))&amp;". ")&amp;IF(LEN(IF(LEN(INDEX('Aides'!$U$4:$U$503,69))=0,"",INDEX('Aides'!$U$4:$U$503,69)))=0,"","Owner: "&amp;IF(LEN(INDEX('Aides'!$U$4:$U$503,69))=0,"",INDEX('Aides'!$U$4:$U$503,69))&amp;". "))</f>
        <v/>
      </c>
      <c r="I1072">
        <f>""</f>
        <v/>
      </c>
      <c r="J1072">
        <f>IF(LEN(INDEX('Aides'!$V$4:$V$503,69))=0,"",INDEX('Aides'!$V$4:$V$503,69))</f>
        <v/>
      </c>
    </row>
    <row r="1073">
      <c r="A1073">
        <f>IF(AND(LEN('Aides'!A73)&gt;0,ISNUMBER('Aides'!O73)),1,0)</f>
        <v/>
      </c>
      <c r="B1073">
        <f>B1072+A1073</f>
        <v/>
      </c>
      <c r="C1073">
        <f>IF(1070&gt;$B$1503,"",MATCH(1070-0.5,$B$3:$B$1503,1))</f>
        <v/>
      </c>
      <c r="D1073">
        <f>"In-service hours due – "&amp;IF(LEN(INDEX('Aides'!$A$4:$A$503,70))=0,"",INDEX('Aides'!$A$4:$A$503,70))</f>
        <v/>
      </c>
      <c r="E1073">
        <f>IF(ISNUMBER(INDEX('Aides'!$O$4:$O$503,70)),TEXT(INDEX('Aides'!$O$4:$O$503,70),"yyyy-mm-dd"),"")</f>
        <v/>
      </c>
      <c r="F1073">
        <f>"Training"</f>
        <v/>
      </c>
      <c r="G1073">
        <f>"Medium"</f>
        <v/>
      </c>
      <c r="H1073">
        <f>TRIM(IF(LEN(IF(LEN(INDEX('Aides'!$P$4:$P$503,70))=0,"",INDEX('Aides'!$P$4:$P$503,70)))=0,"","Hours done: "&amp;IF(LEN(INDEX('Aides'!$P$4:$P$503,70))=0,"",INDEX('Aides'!$P$4:$P$503,70))&amp;". ")&amp;IF(LEN(IF(LEN(INDEX('Aides'!$Q$4:$Q$503,70))=0,"",INDEX('Aides'!$Q$4:$Q$503,70)))=0,"","Target: "&amp;IF(LEN(INDEX('Aides'!$Q$4:$Q$503,70))=0,"",INDEX('Aides'!$Q$4:$Q$503,70))&amp;". ")&amp;IF(LEN(IF(LEN(INDEX('Aides'!$R$4:$R$503,70))=0,"",INDEX('Aides'!$R$4:$R$503,70)))=0,"","Hours still needed: "&amp;IF(LEN(INDEX('Aides'!$R$4:$R$503,70))=0,"",INDEX('Aides'!$R$4:$R$503,70))&amp;". ")&amp;IF(LEN(IF(LEN(INDEX('Aides'!$U$4:$U$503,70))=0,"",INDEX('Aides'!$U$4:$U$503,70)))=0,"","Owner: "&amp;IF(LEN(INDEX('Aides'!$U$4:$U$503,70))=0,"",INDEX('Aides'!$U$4:$U$503,70))&amp;". "))</f>
        <v/>
      </c>
      <c r="I1073">
        <f>""</f>
        <v/>
      </c>
      <c r="J1073">
        <f>IF(LEN(INDEX('Aides'!$V$4:$V$503,70))=0,"",INDEX('Aides'!$V$4:$V$503,70))</f>
        <v/>
      </c>
    </row>
    <row r="1074">
      <c r="A1074">
        <f>IF(AND(LEN('Aides'!A74)&gt;0,ISNUMBER('Aides'!O74)),1,0)</f>
        <v/>
      </c>
      <c r="B1074">
        <f>B1073+A1074</f>
        <v/>
      </c>
      <c r="C1074">
        <f>IF(1071&gt;$B$1503,"",MATCH(1071-0.5,$B$3:$B$1503,1))</f>
        <v/>
      </c>
      <c r="D1074">
        <f>"In-service hours due – "&amp;IF(LEN(INDEX('Aides'!$A$4:$A$503,71))=0,"",INDEX('Aides'!$A$4:$A$503,71))</f>
        <v/>
      </c>
      <c r="E1074">
        <f>IF(ISNUMBER(INDEX('Aides'!$O$4:$O$503,71)),TEXT(INDEX('Aides'!$O$4:$O$503,71),"yyyy-mm-dd"),"")</f>
        <v/>
      </c>
      <c r="F1074">
        <f>"Training"</f>
        <v/>
      </c>
      <c r="G1074">
        <f>"Medium"</f>
        <v/>
      </c>
      <c r="H1074">
        <f>TRIM(IF(LEN(IF(LEN(INDEX('Aides'!$P$4:$P$503,71))=0,"",INDEX('Aides'!$P$4:$P$503,71)))=0,"","Hours done: "&amp;IF(LEN(INDEX('Aides'!$P$4:$P$503,71))=0,"",INDEX('Aides'!$P$4:$P$503,71))&amp;". ")&amp;IF(LEN(IF(LEN(INDEX('Aides'!$Q$4:$Q$503,71))=0,"",INDEX('Aides'!$Q$4:$Q$503,71)))=0,"","Target: "&amp;IF(LEN(INDEX('Aides'!$Q$4:$Q$503,71))=0,"",INDEX('Aides'!$Q$4:$Q$503,71))&amp;". ")&amp;IF(LEN(IF(LEN(INDEX('Aides'!$R$4:$R$503,71))=0,"",INDEX('Aides'!$R$4:$R$503,71)))=0,"","Hours still needed: "&amp;IF(LEN(INDEX('Aides'!$R$4:$R$503,71))=0,"",INDEX('Aides'!$R$4:$R$503,71))&amp;". ")&amp;IF(LEN(IF(LEN(INDEX('Aides'!$U$4:$U$503,71))=0,"",INDEX('Aides'!$U$4:$U$503,71)))=0,"","Owner: "&amp;IF(LEN(INDEX('Aides'!$U$4:$U$503,71))=0,"",INDEX('Aides'!$U$4:$U$503,71))&amp;". "))</f>
        <v/>
      </c>
      <c r="I1074">
        <f>""</f>
        <v/>
      </c>
      <c r="J1074">
        <f>IF(LEN(INDEX('Aides'!$V$4:$V$503,71))=0,"",INDEX('Aides'!$V$4:$V$503,71))</f>
        <v/>
      </c>
    </row>
    <row r="1075">
      <c r="A1075">
        <f>IF(AND(LEN('Aides'!A75)&gt;0,ISNUMBER('Aides'!O75)),1,0)</f>
        <v/>
      </c>
      <c r="B1075">
        <f>B1074+A1075</f>
        <v/>
      </c>
      <c r="C1075">
        <f>IF(1072&gt;$B$1503,"",MATCH(1072-0.5,$B$3:$B$1503,1))</f>
        <v/>
      </c>
      <c r="D1075">
        <f>"In-service hours due – "&amp;IF(LEN(INDEX('Aides'!$A$4:$A$503,72))=0,"",INDEX('Aides'!$A$4:$A$503,72))</f>
        <v/>
      </c>
      <c r="E1075">
        <f>IF(ISNUMBER(INDEX('Aides'!$O$4:$O$503,72)),TEXT(INDEX('Aides'!$O$4:$O$503,72),"yyyy-mm-dd"),"")</f>
        <v/>
      </c>
      <c r="F1075">
        <f>"Training"</f>
        <v/>
      </c>
      <c r="G1075">
        <f>"Medium"</f>
        <v/>
      </c>
      <c r="H1075">
        <f>TRIM(IF(LEN(IF(LEN(INDEX('Aides'!$P$4:$P$503,72))=0,"",INDEX('Aides'!$P$4:$P$503,72)))=0,"","Hours done: "&amp;IF(LEN(INDEX('Aides'!$P$4:$P$503,72))=0,"",INDEX('Aides'!$P$4:$P$503,72))&amp;". ")&amp;IF(LEN(IF(LEN(INDEX('Aides'!$Q$4:$Q$503,72))=0,"",INDEX('Aides'!$Q$4:$Q$503,72)))=0,"","Target: "&amp;IF(LEN(INDEX('Aides'!$Q$4:$Q$503,72))=0,"",INDEX('Aides'!$Q$4:$Q$503,72))&amp;". ")&amp;IF(LEN(IF(LEN(INDEX('Aides'!$R$4:$R$503,72))=0,"",INDEX('Aides'!$R$4:$R$503,72)))=0,"","Hours still needed: "&amp;IF(LEN(INDEX('Aides'!$R$4:$R$503,72))=0,"",INDEX('Aides'!$R$4:$R$503,72))&amp;". ")&amp;IF(LEN(IF(LEN(INDEX('Aides'!$U$4:$U$503,72))=0,"",INDEX('Aides'!$U$4:$U$503,72)))=0,"","Owner: "&amp;IF(LEN(INDEX('Aides'!$U$4:$U$503,72))=0,"",INDEX('Aides'!$U$4:$U$503,72))&amp;". "))</f>
        <v/>
      </c>
      <c r="I1075">
        <f>""</f>
        <v/>
      </c>
      <c r="J1075">
        <f>IF(LEN(INDEX('Aides'!$V$4:$V$503,72))=0,"",INDEX('Aides'!$V$4:$V$503,72))</f>
        <v/>
      </c>
    </row>
    <row r="1076">
      <c r="A1076">
        <f>IF(AND(LEN('Aides'!A76)&gt;0,ISNUMBER('Aides'!O76)),1,0)</f>
        <v/>
      </c>
      <c r="B1076">
        <f>B1075+A1076</f>
        <v/>
      </c>
      <c r="C1076">
        <f>IF(1073&gt;$B$1503,"",MATCH(1073-0.5,$B$3:$B$1503,1))</f>
        <v/>
      </c>
      <c r="D1076">
        <f>"In-service hours due – "&amp;IF(LEN(INDEX('Aides'!$A$4:$A$503,73))=0,"",INDEX('Aides'!$A$4:$A$503,73))</f>
        <v/>
      </c>
      <c r="E1076">
        <f>IF(ISNUMBER(INDEX('Aides'!$O$4:$O$503,73)),TEXT(INDEX('Aides'!$O$4:$O$503,73),"yyyy-mm-dd"),"")</f>
        <v/>
      </c>
      <c r="F1076">
        <f>"Training"</f>
        <v/>
      </c>
      <c r="G1076">
        <f>"Medium"</f>
        <v/>
      </c>
      <c r="H1076">
        <f>TRIM(IF(LEN(IF(LEN(INDEX('Aides'!$P$4:$P$503,73))=0,"",INDEX('Aides'!$P$4:$P$503,73)))=0,"","Hours done: "&amp;IF(LEN(INDEX('Aides'!$P$4:$P$503,73))=0,"",INDEX('Aides'!$P$4:$P$503,73))&amp;". ")&amp;IF(LEN(IF(LEN(INDEX('Aides'!$Q$4:$Q$503,73))=0,"",INDEX('Aides'!$Q$4:$Q$503,73)))=0,"","Target: "&amp;IF(LEN(INDEX('Aides'!$Q$4:$Q$503,73))=0,"",INDEX('Aides'!$Q$4:$Q$503,73))&amp;". ")&amp;IF(LEN(IF(LEN(INDEX('Aides'!$R$4:$R$503,73))=0,"",INDEX('Aides'!$R$4:$R$503,73)))=0,"","Hours still needed: "&amp;IF(LEN(INDEX('Aides'!$R$4:$R$503,73))=0,"",INDEX('Aides'!$R$4:$R$503,73))&amp;". ")&amp;IF(LEN(IF(LEN(INDEX('Aides'!$U$4:$U$503,73))=0,"",INDEX('Aides'!$U$4:$U$503,73)))=0,"","Owner: "&amp;IF(LEN(INDEX('Aides'!$U$4:$U$503,73))=0,"",INDEX('Aides'!$U$4:$U$503,73))&amp;". "))</f>
        <v/>
      </c>
      <c r="I1076">
        <f>""</f>
        <v/>
      </c>
      <c r="J1076">
        <f>IF(LEN(INDEX('Aides'!$V$4:$V$503,73))=0,"",INDEX('Aides'!$V$4:$V$503,73))</f>
        <v/>
      </c>
    </row>
    <row r="1077">
      <c r="A1077">
        <f>IF(AND(LEN('Aides'!A77)&gt;0,ISNUMBER('Aides'!O77)),1,0)</f>
        <v/>
      </c>
      <c r="B1077">
        <f>B1076+A1077</f>
        <v/>
      </c>
      <c r="C1077">
        <f>IF(1074&gt;$B$1503,"",MATCH(1074-0.5,$B$3:$B$1503,1))</f>
        <v/>
      </c>
      <c r="D1077">
        <f>"In-service hours due – "&amp;IF(LEN(INDEX('Aides'!$A$4:$A$503,74))=0,"",INDEX('Aides'!$A$4:$A$503,74))</f>
        <v/>
      </c>
      <c r="E1077">
        <f>IF(ISNUMBER(INDEX('Aides'!$O$4:$O$503,74)),TEXT(INDEX('Aides'!$O$4:$O$503,74),"yyyy-mm-dd"),"")</f>
        <v/>
      </c>
      <c r="F1077">
        <f>"Training"</f>
        <v/>
      </c>
      <c r="G1077">
        <f>"Medium"</f>
        <v/>
      </c>
      <c r="H1077">
        <f>TRIM(IF(LEN(IF(LEN(INDEX('Aides'!$P$4:$P$503,74))=0,"",INDEX('Aides'!$P$4:$P$503,74)))=0,"","Hours done: "&amp;IF(LEN(INDEX('Aides'!$P$4:$P$503,74))=0,"",INDEX('Aides'!$P$4:$P$503,74))&amp;". ")&amp;IF(LEN(IF(LEN(INDEX('Aides'!$Q$4:$Q$503,74))=0,"",INDEX('Aides'!$Q$4:$Q$503,74)))=0,"","Target: "&amp;IF(LEN(INDEX('Aides'!$Q$4:$Q$503,74))=0,"",INDEX('Aides'!$Q$4:$Q$503,74))&amp;". ")&amp;IF(LEN(IF(LEN(INDEX('Aides'!$R$4:$R$503,74))=0,"",INDEX('Aides'!$R$4:$R$503,74)))=0,"","Hours still needed: "&amp;IF(LEN(INDEX('Aides'!$R$4:$R$503,74))=0,"",INDEX('Aides'!$R$4:$R$503,74))&amp;". ")&amp;IF(LEN(IF(LEN(INDEX('Aides'!$U$4:$U$503,74))=0,"",INDEX('Aides'!$U$4:$U$503,74)))=0,"","Owner: "&amp;IF(LEN(INDEX('Aides'!$U$4:$U$503,74))=0,"",INDEX('Aides'!$U$4:$U$503,74))&amp;". "))</f>
        <v/>
      </c>
      <c r="I1077">
        <f>""</f>
        <v/>
      </c>
      <c r="J1077">
        <f>IF(LEN(INDEX('Aides'!$V$4:$V$503,74))=0,"",INDEX('Aides'!$V$4:$V$503,74))</f>
        <v/>
      </c>
    </row>
    <row r="1078">
      <c r="A1078">
        <f>IF(AND(LEN('Aides'!A78)&gt;0,ISNUMBER('Aides'!O78)),1,0)</f>
        <v/>
      </c>
      <c r="B1078">
        <f>B1077+A1078</f>
        <v/>
      </c>
      <c r="C1078">
        <f>IF(1075&gt;$B$1503,"",MATCH(1075-0.5,$B$3:$B$1503,1))</f>
        <v/>
      </c>
      <c r="D1078">
        <f>"In-service hours due – "&amp;IF(LEN(INDEX('Aides'!$A$4:$A$503,75))=0,"",INDEX('Aides'!$A$4:$A$503,75))</f>
        <v/>
      </c>
      <c r="E1078">
        <f>IF(ISNUMBER(INDEX('Aides'!$O$4:$O$503,75)),TEXT(INDEX('Aides'!$O$4:$O$503,75),"yyyy-mm-dd"),"")</f>
        <v/>
      </c>
      <c r="F1078">
        <f>"Training"</f>
        <v/>
      </c>
      <c r="G1078">
        <f>"Medium"</f>
        <v/>
      </c>
      <c r="H1078">
        <f>TRIM(IF(LEN(IF(LEN(INDEX('Aides'!$P$4:$P$503,75))=0,"",INDEX('Aides'!$P$4:$P$503,75)))=0,"","Hours done: "&amp;IF(LEN(INDEX('Aides'!$P$4:$P$503,75))=0,"",INDEX('Aides'!$P$4:$P$503,75))&amp;". ")&amp;IF(LEN(IF(LEN(INDEX('Aides'!$Q$4:$Q$503,75))=0,"",INDEX('Aides'!$Q$4:$Q$503,75)))=0,"","Target: "&amp;IF(LEN(INDEX('Aides'!$Q$4:$Q$503,75))=0,"",INDEX('Aides'!$Q$4:$Q$503,75))&amp;". ")&amp;IF(LEN(IF(LEN(INDEX('Aides'!$R$4:$R$503,75))=0,"",INDEX('Aides'!$R$4:$R$503,75)))=0,"","Hours still needed: "&amp;IF(LEN(INDEX('Aides'!$R$4:$R$503,75))=0,"",INDEX('Aides'!$R$4:$R$503,75))&amp;". ")&amp;IF(LEN(IF(LEN(INDEX('Aides'!$U$4:$U$503,75))=0,"",INDEX('Aides'!$U$4:$U$503,75)))=0,"","Owner: "&amp;IF(LEN(INDEX('Aides'!$U$4:$U$503,75))=0,"",INDEX('Aides'!$U$4:$U$503,75))&amp;". "))</f>
        <v/>
      </c>
      <c r="I1078">
        <f>""</f>
        <v/>
      </c>
      <c r="J1078">
        <f>IF(LEN(INDEX('Aides'!$V$4:$V$503,75))=0,"",INDEX('Aides'!$V$4:$V$503,75))</f>
        <v/>
      </c>
    </row>
    <row r="1079">
      <c r="A1079">
        <f>IF(AND(LEN('Aides'!A79)&gt;0,ISNUMBER('Aides'!O79)),1,0)</f>
        <v/>
      </c>
      <c r="B1079">
        <f>B1078+A1079</f>
        <v/>
      </c>
      <c r="C1079">
        <f>IF(1076&gt;$B$1503,"",MATCH(1076-0.5,$B$3:$B$1503,1))</f>
        <v/>
      </c>
      <c r="D1079">
        <f>"In-service hours due – "&amp;IF(LEN(INDEX('Aides'!$A$4:$A$503,76))=0,"",INDEX('Aides'!$A$4:$A$503,76))</f>
        <v/>
      </c>
      <c r="E1079">
        <f>IF(ISNUMBER(INDEX('Aides'!$O$4:$O$503,76)),TEXT(INDEX('Aides'!$O$4:$O$503,76),"yyyy-mm-dd"),"")</f>
        <v/>
      </c>
      <c r="F1079">
        <f>"Training"</f>
        <v/>
      </c>
      <c r="G1079">
        <f>"Medium"</f>
        <v/>
      </c>
      <c r="H1079">
        <f>TRIM(IF(LEN(IF(LEN(INDEX('Aides'!$P$4:$P$503,76))=0,"",INDEX('Aides'!$P$4:$P$503,76)))=0,"","Hours done: "&amp;IF(LEN(INDEX('Aides'!$P$4:$P$503,76))=0,"",INDEX('Aides'!$P$4:$P$503,76))&amp;". ")&amp;IF(LEN(IF(LEN(INDEX('Aides'!$Q$4:$Q$503,76))=0,"",INDEX('Aides'!$Q$4:$Q$503,76)))=0,"","Target: "&amp;IF(LEN(INDEX('Aides'!$Q$4:$Q$503,76))=0,"",INDEX('Aides'!$Q$4:$Q$503,76))&amp;". ")&amp;IF(LEN(IF(LEN(INDEX('Aides'!$R$4:$R$503,76))=0,"",INDEX('Aides'!$R$4:$R$503,76)))=0,"","Hours still needed: "&amp;IF(LEN(INDEX('Aides'!$R$4:$R$503,76))=0,"",INDEX('Aides'!$R$4:$R$503,76))&amp;". ")&amp;IF(LEN(IF(LEN(INDEX('Aides'!$U$4:$U$503,76))=0,"",INDEX('Aides'!$U$4:$U$503,76)))=0,"","Owner: "&amp;IF(LEN(INDEX('Aides'!$U$4:$U$503,76))=0,"",INDEX('Aides'!$U$4:$U$503,76))&amp;". "))</f>
        <v/>
      </c>
      <c r="I1079">
        <f>""</f>
        <v/>
      </c>
      <c r="J1079">
        <f>IF(LEN(INDEX('Aides'!$V$4:$V$503,76))=0,"",INDEX('Aides'!$V$4:$V$503,76))</f>
        <v/>
      </c>
    </row>
    <row r="1080">
      <c r="A1080">
        <f>IF(AND(LEN('Aides'!A80)&gt;0,ISNUMBER('Aides'!O80)),1,0)</f>
        <v/>
      </c>
      <c r="B1080">
        <f>B1079+A1080</f>
        <v/>
      </c>
      <c r="C1080">
        <f>IF(1077&gt;$B$1503,"",MATCH(1077-0.5,$B$3:$B$1503,1))</f>
        <v/>
      </c>
      <c r="D1080">
        <f>"In-service hours due – "&amp;IF(LEN(INDEX('Aides'!$A$4:$A$503,77))=0,"",INDEX('Aides'!$A$4:$A$503,77))</f>
        <v/>
      </c>
      <c r="E1080">
        <f>IF(ISNUMBER(INDEX('Aides'!$O$4:$O$503,77)),TEXT(INDEX('Aides'!$O$4:$O$503,77),"yyyy-mm-dd"),"")</f>
        <v/>
      </c>
      <c r="F1080">
        <f>"Training"</f>
        <v/>
      </c>
      <c r="G1080">
        <f>"Medium"</f>
        <v/>
      </c>
      <c r="H1080">
        <f>TRIM(IF(LEN(IF(LEN(INDEX('Aides'!$P$4:$P$503,77))=0,"",INDEX('Aides'!$P$4:$P$503,77)))=0,"","Hours done: "&amp;IF(LEN(INDEX('Aides'!$P$4:$P$503,77))=0,"",INDEX('Aides'!$P$4:$P$503,77))&amp;". ")&amp;IF(LEN(IF(LEN(INDEX('Aides'!$Q$4:$Q$503,77))=0,"",INDEX('Aides'!$Q$4:$Q$503,77)))=0,"","Target: "&amp;IF(LEN(INDEX('Aides'!$Q$4:$Q$503,77))=0,"",INDEX('Aides'!$Q$4:$Q$503,77))&amp;". ")&amp;IF(LEN(IF(LEN(INDEX('Aides'!$R$4:$R$503,77))=0,"",INDEX('Aides'!$R$4:$R$503,77)))=0,"","Hours still needed: "&amp;IF(LEN(INDEX('Aides'!$R$4:$R$503,77))=0,"",INDEX('Aides'!$R$4:$R$503,77))&amp;". ")&amp;IF(LEN(IF(LEN(INDEX('Aides'!$U$4:$U$503,77))=0,"",INDEX('Aides'!$U$4:$U$503,77)))=0,"","Owner: "&amp;IF(LEN(INDEX('Aides'!$U$4:$U$503,77))=0,"",INDEX('Aides'!$U$4:$U$503,77))&amp;". "))</f>
        <v/>
      </c>
      <c r="I1080">
        <f>""</f>
        <v/>
      </c>
      <c r="J1080">
        <f>IF(LEN(INDEX('Aides'!$V$4:$V$503,77))=0,"",INDEX('Aides'!$V$4:$V$503,77))</f>
        <v/>
      </c>
    </row>
    <row r="1081">
      <c r="A1081">
        <f>IF(AND(LEN('Aides'!A81)&gt;0,ISNUMBER('Aides'!O81)),1,0)</f>
        <v/>
      </c>
      <c r="B1081">
        <f>B1080+A1081</f>
        <v/>
      </c>
      <c r="C1081">
        <f>IF(1078&gt;$B$1503,"",MATCH(1078-0.5,$B$3:$B$1503,1))</f>
        <v/>
      </c>
      <c r="D1081">
        <f>"In-service hours due – "&amp;IF(LEN(INDEX('Aides'!$A$4:$A$503,78))=0,"",INDEX('Aides'!$A$4:$A$503,78))</f>
        <v/>
      </c>
      <c r="E1081">
        <f>IF(ISNUMBER(INDEX('Aides'!$O$4:$O$503,78)),TEXT(INDEX('Aides'!$O$4:$O$503,78),"yyyy-mm-dd"),"")</f>
        <v/>
      </c>
      <c r="F1081">
        <f>"Training"</f>
        <v/>
      </c>
      <c r="G1081">
        <f>"Medium"</f>
        <v/>
      </c>
      <c r="H1081">
        <f>TRIM(IF(LEN(IF(LEN(INDEX('Aides'!$P$4:$P$503,78))=0,"",INDEX('Aides'!$P$4:$P$503,78)))=0,"","Hours done: "&amp;IF(LEN(INDEX('Aides'!$P$4:$P$503,78))=0,"",INDEX('Aides'!$P$4:$P$503,78))&amp;". ")&amp;IF(LEN(IF(LEN(INDEX('Aides'!$Q$4:$Q$503,78))=0,"",INDEX('Aides'!$Q$4:$Q$503,78)))=0,"","Target: "&amp;IF(LEN(INDEX('Aides'!$Q$4:$Q$503,78))=0,"",INDEX('Aides'!$Q$4:$Q$503,78))&amp;". ")&amp;IF(LEN(IF(LEN(INDEX('Aides'!$R$4:$R$503,78))=0,"",INDEX('Aides'!$R$4:$R$503,78)))=0,"","Hours still needed: "&amp;IF(LEN(INDEX('Aides'!$R$4:$R$503,78))=0,"",INDEX('Aides'!$R$4:$R$503,78))&amp;". ")&amp;IF(LEN(IF(LEN(INDEX('Aides'!$U$4:$U$503,78))=0,"",INDEX('Aides'!$U$4:$U$503,78)))=0,"","Owner: "&amp;IF(LEN(INDEX('Aides'!$U$4:$U$503,78))=0,"",INDEX('Aides'!$U$4:$U$503,78))&amp;". "))</f>
        <v/>
      </c>
      <c r="I1081">
        <f>""</f>
        <v/>
      </c>
      <c r="J1081">
        <f>IF(LEN(INDEX('Aides'!$V$4:$V$503,78))=0,"",INDEX('Aides'!$V$4:$V$503,78))</f>
        <v/>
      </c>
    </row>
    <row r="1082">
      <c r="A1082">
        <f>IF(AND(LEN('Aides'!A82)&gt;0,ISNUMBER('Aides'!O82)),1,0)</f>
        <v/>
      </c>
      <c r="B1082">
        <f>B1081+A1082</f>
        <v/>
      </c>
      <c r="C1082">
        <f>IF(1079&gt;$B$1503,"",MATCH(1079-0.5,$B$3:$B$1503,1))</f>
        <v/>
      </c>
      <c r="D1082">
        <f>"In-service hours due – "&amp;IF(LEN(INDEX('Aides'!$A$4:$A$503,79))=0,"",INDEX('Aides'!$A$4:$A$503,79))</f>
        <v/>
      </c>
      <c r="E1082">
        <f>IF(ISNUMBER(INDEX('Aides'!$O$4:$O$503,79)),TEXT(INDEX('Aides'!$O$4:$O$503,79),"yyyy-mm-dd"),"")</f>
        <v/>
      </c>
      <c r="F1082">
        <f>"Training"</f>
        <v/>
      </c>
      <c r="G1082">
        <f>"Medium"</f>
        <v/>
      </c>
      <c r="H1082">
        <f>TRIM(IF(LEN(IF(LEN(INDEX('Aides'!$P$4:$P$503,79))=0,"",INDEX('Aides'!$P$4:$P$503,79)))=0,"","Hours done: "&amp;IF(LEN(INDEX('Aides'!$P$4:$P$503,79))=0,"",INDEX('Aides'!$P$4:$P$503,79))&amp;". ")&amp;IF(LEN(IF(LEN(INDEX('Aides'!$Q$4:$Q$503,79))=0,"",INDEX('Aides'!$Q$4:$Q$503,79)))=0,"","Target: "&amp;IF(LEN(INDEX('Aides'!$Q$4:$Q$503,79))=0,"",INDEX('Aides'!$Q$4:$Q$503,79))&amp;". ")&amp;IF(LEN(IF(LEN(INDEX('Aides'!$R$4:$R$503,79))=0,"",INDEX('Aides'!$R$4:$R$503,79)))=0,"","Hours still needed: "&amp;IF(LEN(INDEX('Aides'!$R$4:$R$503,79))=0,"",INDEX('Aides'!$R$4:$R$503,79))&amp;". ")&amp;IF(LEN(IF(LEN(INDEX('Aides'!$U$4:$U$503,79))=0,"",INDEX('Aides'!$U$4:$U$503,79)))=0,"","Owner: "&amp;IF(LEN(INDEX('Aides'!$U$4:$U$503,79))=0,"",INDEX('Aides'!$U$4:$U$503,79))&amp;". "))</f>
        <v/>
      </c>
      <c r="I1082">
        <f>""</f>
        <v/>
      </c>
      <c r="J1082">
        <f>IF(LEN(INDEX('Aides'!$V$4:$V$503,79))=0,"",INDEX('Aides'!$V$4:$V$503,79))</f>
        <v/>
      </c>
    </row>
    <row r="1083">
      <c r="A1083">
        <f>IF(AND(LEN('Aides'!A83)&gt;0,ISNUMBER('Aides'!O83)),1,0)</f>
        <v/>
      </c>
      <c r="B1083">
        <f>B1082+A1083</f>
        <v/>
      </c>
      <c r="C1083">
        <f>IF(1080&gt;$B$1503,"",MATCH(1080-0.5,$B$3:$B$1503,1))</f>
        <v/>
      </c>
      <c r="D1083">
        <f>"In-service hours due – "&amp;IF(LEN(INDEX('Aides'!$A$4:$A$503,80))=0,"",INDEX('Aides'!$A$4:$A$503,80))</f>
        <v/>
      </c>
      <c r="E1083">
        <f>IF(ISNUMBER(INDEX('Aides'!$O$4:$O$503,80)),TEXT(INDEX('Aides'!$O$4:$O$503,80),"yyyy-mm-dd"),"")</f>
        <v/>
      </c>
      <c r="F1083">
        <f>"Training"</f>
        <v/>
      </c>
      <c r="G1083">
        <f>"Medium"</f>
        <v/>
      </c>
      <c r="H1083">
        <f>TRIM(IF(LEN(IF(LEN(INDEX('Aides'!$P$4:$P$503,80))=0,"",INDEX('Aides'!$P$4:$P$503,80)))=0,"","Hours done: "&amp;IF(LEN(INDEX('Aides'!$P$4:$P$503,80))=0,"",INDEX('Aides'!$P$4:$P$503,80))&amp;". ")&amp;IF(LEN(IF(LEN(INDEX('Aides'!$Q$4:$Q$503,80))=0,"",INDEX('Aides'!$Q$4:$Q$503,80)))=0,"","Target: "&amp;IF(LEN(INDEX('Aides'!$Q$4:$Q$503,80))=0,"",INDEX('Aides'!$Q$4:$Q$503,80))&amp;". ")&amp;IF(LEN(IF(LEN(INDEX('Aides'!$R$4:$R$503,80))=0,"",INDEX('Aides'!$R$4:$R$503,80)))=0,"","Hours still needed: "&amp;IF(LEN(INDEX('Aides'!$R$4:$R$503,80))=0,"",INDEX('Aides'!$R$4:$R$503,80))&amp;". ")&amp;IF(LEN(IF(LEN(INDEX('Aides'!$U$4:$U$503,80))=0,"",INDEX('Aides'!$U$4:$U$503,80)))=0,"","Owner: "&amp;IF(LEN(INDEX('Aides'!$U$4:$U$503,80))=0,"",INDEX('Aides'!$U$4:$U$503,80))&amp;". "))</f>
        <v/>
      </c>
      <c r="I1083">
        <f>""</f>
        <v/>
      </c>
      <c r="J1083">
        <f>IF(LEN(INDEX('Aides'!$V$4:$V$503,80))=0,"",INDEX('Aides'!$V$4:$V$503,80))</f>
        <v/>
      </c>
    </row>
    <row r="1084">
      <c r="A1084">
        <f>IF(AND(LEN('Aides'!A84)&gt;0,ISNUMBER('Aides'!O84)),1,0)</f>
        <v/>
      </c>
      <c r="B1084">
        <f>B1083+A1084</f>
        <v/>
      </c>
      <c r="C1084">
        <f>IF(1081&gt;$B$1503,"",MATCH(1081-0.5,$B$3:$B$1503,1))</f>
        <v/>
      </c>
      <c r="D1084">
        <f>"In-service hours due – "&amp;IF(LEN(INDEX('Aides'!$A$4:$A$503,81))=0,"",INDEX('Aides'!$A$4:$A$503,81))</f>
        <v/>
      </c>
      <c r="E1084">
        <f>IF(ISNUMBER(INDEX('Aides'!$O$4:$O$503,81)),TEXT(INDEX('Aides'!$O$4:$O$503,81),"yyyy-mm-dd"),"")</f>
        <v/>
      </c>
      <c r="F1084">
        <f>"Training"</f>
        <v/>
      </c>
      <c r="G1084">
        <f>"Medium"</f>
        <v/>
      </c>
      <c r="H1084">
        <f>TRIM(IF(LEN(IF(LEN(INDEX('Aides'!$P$4:$P$503,81))=0,"",INDEX('Aides'!$P$4:$P$503,81)))=0,"","Hours done: "&amp;IF(LEN(INDEX('Aides'!$P$4:$P$503,81))=0,"",INDEX('Aides'!$P$4:$P$503,81))&amp;". ")&amp;IF(LEN(IF(LEN(INDEX('Aides'!$Q$4:$Q$503,81))=0,"",INDEX('Aides'!$Q$4:$Q$503,81)))=0,"","Target: "&amp;IF(LEN(INDEX('Aides'!$Q$4:$Q$503,81))=0,"",INDEX('Aides'!$Q$4:$Q$503,81))&amp;". ")&amp;IF(LEN(IF(LEN(INDEX('Aides'!$R$4:$R$503,81))=0,"",INDEX('Aides'!$R$4:$R$503,81)))=0,"","Hours still needed: "&amp;IF(LEN(INDEX('Aides'!$R$4:$R$503,81))=0,"",INDEX('Aides'!$R$4:$R$503,81))&amp;". ")&amp;IF(LEN(IF(LEN(INDEX('Aides'!$U$4:$U$503,81))=0,"",INDEX('Aides'!$U$4:$U$503,81)))=0,"","Owner: "&amp;IF(LEN(INDEX('Aides'!$U$4:$U$503,81))=0,"",INDEX('Aides'!$U$4:$U$503,81))&amp;". "))</f>
        <v/>
      </c>
      <c r="I1084">
        <f>""</f>
        <v/>
      </c>
      <c r="J1084">
        <f>IF(LEN(INDEX('Aides'!$V$4:$V$503,81))=0,"",INDEX('Aides'!$V$4:$V$503,81))</f>
        <v/>
      </c>
    </row>
    <row r="1085">
      <c r="A1085">
        <f>IF(AND(LEN('Aides'!A85)&gt;0,ISNUMBER('Aides'!O85)),1,0)</f>
        <v/>
      </c>
      <c r="B1085">
        <f>B1084+A1085</f>
        <v/>
      </c>
      <c r="C1085">
        <f>IF(1082&gt;$B$1503,"",MATCH(1082-0.5,$B$3:$B$1503,1))</f>
        <v/>
      </c>
      <c r="D1085">
        <f>"In-service hours due – "&amp;IF(LEN(INDEX('Aides'!$A$4:$A$503,82))=0,"",INDEX('Aides'!$A$4:$A$503,82))</f>
        <v/>
      </c>
      <c r="E1085">
        <f>IF(ISNUMBER(INDEX('Aides'!$O$4:$O$503,82)),TEXT(INDEX('Aides'!$O$4:$O$503,82),"yyyy-mm-dd"),"")</f>
        <v/>
      </c>
      <c r="F1085">
        <f>"Training"</f>
        <v/>
      </c>
      <c r="G1085">
        <f>"Medium"</f>
        <v/>
      </c>
      <c r="H1085">
        <f>TRIM(IF(LEN(IF(LEN(INDEX('Aides'!$P$4:$P$503,82))=0,"",INDEX('Aides'!$P$4:$P$503,82)))=0,"","Hours done: "&amp;IF(LEN(INDEX('Aides'!$P$4:$P$503,82))=0,"",INDEX('Aides'!$P$4:$P$503,82))&amp;". ")&amp;IF(LEN(IF(LEN(INDEX('Aides'!$Q$4:$Q$503,82))=0,"",INDEX('Aides'!$Q$4:$Q$503,82)))=0,"","Target: "&amp;IF(LEN(INDEX('Aides'!$Q$4:$Q$503,82))=0,"",INDEX('Aides'!$Q$4:$Q$503,82))&amp;". ")&amp;IF(LEN(IF(LEN(INDEX('Aides'!$R$4:$R$503,82))=0,"",INDEX('Aides'!$R$4:$R$503,82)))=0,"","Hours still needed: "&amp;IF(LEN(INDEX('Aides'!$R$4:$R$503,82))=0,"",INDEX('Aides'!$R$4:$R$503,82))&amp;". ")&amp;IF(LEN(IF(LEN(INDEX('Aides'!$U$4:$U$503,82))=0,"",INDEX('Aides'!$U$4:$U$503,82)))=0,"","Owner: "&amp;IF(LEN(INDEX('Aides'!$U$4:$U$503,82))=0,"",INDEX('Aides'!$U$4:$U$503,82))&amp;". "))</f>
        <v/>
      </c>
      <c r="I1085">
        <f>""</f>
        <v/>
      </c>
      <c r="J1085">
        <f>IF(LEN(INDEX('Aides'!$V$4:$V$503,82))=0,"",INDEX('Aides'!$V$4:$V$503,82))</f>
        <v/>
      </c>
    </row>
    <row r="1086">
      <c r="A1086">
        <f>IF(AND(LEN('Aides'!A86)&gt;0,ISNUMBER('Aides'!O86)),1,0)</f>
        <v/>
      </c>
      <c r="B1086">
        <f>B1085+A1086</f>
        <v/>
      </c>
      <c r="C1086">
        <f>IF(1083&gt;$B$1503,"",MATCH(1083-0.5,$B$3:$B$1503,1))</f>
        <v/>
      </c>
      <c r="D1086">
        <f>"In-service hours due – "&amp;IF(LEN(INDEX('Aides'!$A$4:$A$503,83))=0,"",INDEX('Aides'!$A$4:$A$503,83))</f>
        <v/>
      </c>
      <c r="E1086">
        <f>IF(ISNUMBER(INDEX('Aides'!$O$4:$O$503,83)),TEXT(INDEX('Aides'!$O$4:$O$503,83),"yyyy-mm-dd"),"")</f>
        <v/>
      </c>
      <c r="F1086">
        <f>"Training"</f>
        <v/>
      </c>
      <c r="G1086">
        <f>"Medium"</f>
        <v/>
      </c>
      <c r="H1086">
        <f>TRIM(IF(LEN(IF(LEN(INDEX('Aides'!$P$4:$P$503,83))=0,"",INDEX('Aides'!$P$4:$P$503,83)))=0,"","Hours done: "&amp;IF(LEN(INDEX('Aides'!$P$4:$P$503,83))=0,"",INDEX('Aides'!$P$4:$P$503,83))&amp;". ")&amp;IF(LEN(IF(LEN(INDEX('Aides'!$Q$4:$Q$503,83))=0,"",INDEX('Aides'!$Q$4:$Q$503,83)))=0,"","Target: "&amp;IF(LEN(INDEX('Aides'!$Q$4:$Q$503,83))=0,"",INDEX('Aides'!$Q$4:$Q$503,83))&amp;". ")&amp;IF(LEN(IF(LEN(INDEX('Aides'!$R$4:$R$503,83))=0,"",INDEX('Aides'!$R$4:$R$503,83)))=0,"","Hours still needed: "&amp;IF(LEN(INDEX('Aides'!$R$4:$R$503,83))=0,"",INDEX('Aides'!$R$4:$R$503,83))&amp;". ")&amp;IF(LEN(IF(LEN(INDEX('Aides'!$U$4:$U$503,83))=0,"",INDEX('Aides'!$U$4:$U$503,83)))=0,"","Owner: "&amp;IF(LEN(INDEX('Aides'!$U$4:$U$503,83))=0,"",INDEX('Aides'!$U$4:$U$503,83))&amp;". "))</f>
        <v/>
      </c>
      <c r="I1086">
        <f>""</f>
        <v/>
      </c>
      <c r="J1086">
        <f>IF(LEN(INDEX('Aides'!$V$4:$V$503,83))=0,"",INDEX('Aides'!$V$4:$V$503,83))</f>
        <v/>
      </c>
    </row>
    <row r="1087">
      <c r="A1087">
        <f>IF(AND(LEN('Aides'!A87)&gt;0,ISNUMBER('Aides'!O87)),1,0)</f>
        <v/>
      </c>
      <c r="B1087">
        <f>B1086+A1087</f>
        <v/>
      </c>
      <c r="C1087">
        <f>IF(1084&gt;$B$1503,"",MATCH(1084-0.5,$B$3:$B$1503,1))</f>
        <v/>
      </c>
      <c r="D1087">
        <f>"In-service hours due – "&amp;IF(LEN(INDEX('Aides'!$A$4:$A$503,84))=0,"",INDEX('Aides'!$A$4:$A$503,84))</f>
        <v/>
      </c>
      <c r="E1087">
        <f>IF(ISNUMBER(INDEX('Aides'!$O$4:$O$503,84)),TEXT(INDEX('Aides'!$O$4:$O$503,84),"yyyy-mm-dd"),"")</f>
        <v/>
      </c>
      <c r="F1087">
        <f>"Training"</f>
        <v/>
      </c>
      <c r="G1087">
        <f>"Medium"</f>
        <v/>
      </c>
      <c r="H1087">
        <f>TRIM(IF(LEN(IF(LEN(INDEX('Aides'!$P$4:$P$503,84))=0,"",INDEX('Aides'!$P$4:$P$503,84)))=0,"","Hours done: "&amp;IF(LEN(INDEX('Aides'!$P$4:$P$503,84))=0,"",INDEX('Aides'!$P$4:$P$503,84))&amp;". ")&amp;IF(LEN(IF(LEN(INDEX('Aides'!$Q$4:$Q$503,84))=0,"",INDEX('Aides'!$Q$4:$Q$503,84)))=0,"","Target: "&amp;IF(LEN(INDEX('Aides'!$Q$4:$Q$503,84))=0,"",INDEX('Aides'!$Q$4:$Q$503,84))&amp;". ")&amp;IF(LEN(IF(LEN(INDEX('Aides'!$R$4:$R$503,84))=0,"",INDEX('Aides'!$R$4:$R$503,84)))=0,"","Hours still needed: "&amp;IF(LEN(INDEX('Aides'!$R$4:$R$503,84))=0,"",INDEX('Aides'!$R$4:$R$503,84))&amp;". ")&amp;IF(LEN(IF(LEN(INDEX('Aides'!$U$4:$U$503,84))=0,"",INDEX('Aides'!$U$4:$U$503,84)))=0,"","Owner: "&amp;IF(LEN(INDEX('Aides'!$U$4:$U$503,84))=0,"",INDEX('Aides'!$U$4:$U$503,84))&amp;". "))</f>
        <v/>
      </c>
      <c r="I1087">
        <f>""</f>
        <v/>
      </c>
      <c r="J1087">
        <f>IF(LEN(INDEX('Aides'!$V$4:$V$503,84))=0,"",INDEX('Aides'!$V$4:$V$503,84))</f>
        <v/>
      </c>
    </row>
    <row r="1088">
      <c r="A1088">
        <f>IF(AND(LEN('Aides'!A88)&gt;0,ISNUMBER('Aides'!O88)),1,0)</f>
        <v/>
      </c>
      <c r="B1088">
        <f>B1087+A1088</f>
        <v/>
      </c>
      <c r="C1088">
        <f>IF(1085&gt;$B$1503,"",MATCH(1085-0.5,$B$3:$B$1503,1))</f>
        <v/>
      </c>
      <c r="D1088">
        <f>"In-service hours due – "&amp;IF(LEN(INDEX('Aides'!$A$4:$A$503,85))=0,"",INDEX('Aides'!$A$4:$A$503,85))</f>
        <v/>
      </c>
      <c r="E1088">
        <f>IF(ISNUMBER(INDEX('Aides'!$O$4:$O$503,85)),TEXT(INDEX('Aides'!$O$4:$O$503,85),"yyyy-mm-dd"),"")</f>
        <v/>
      </c>
      <c r="F1088">
        <f>"Training"</f>
        <v/>
      </c>
      <c r="G1088">
        <f>"Medium"</f>
        <v/>
      </c>
      <c r="H1088">
        <f>TRIM(IF(LEN(IF(LEN(INDEX('Aides'!$P$4:$P$503,85))=0,"",INDEX('Aides'!$P$4:$P$503,85)))=0,"","Hours done: "&amp;IF(LEN(INDEX('Aides'!$P$4:$P$503,85))=0,"",INDEX('Aides'!$P$4:$P$503,85))&amp;". ")&amp;IF(LEN(IF(LEN(INDEX('Aides'!$Q$4:$Q$503,85))=0,"",INDEX('Aides'!$Q$4:$Q$503,85)))=0,"","Target: "&amp;IF(LEN(INDEX('Aides'!$Q$4:$Q$503,85))=0,"",INDEX('Aides'!$Q$4:$Q$503,85))&amp;". ")&amp;IF(LEN(IF(LEN(INDEX('Aides'!$R$4:$R$503,85))=0,"",INDEX('Aides'!$R$4:$R$503,85)))=0,"","Hours still needed: "&amp;IF(LEN(INDEX('Aides'!$R$4:$R$503,85))=0,"",INDEX('Aides'!$R$4:$R$503,85))&amp;". ")&amp;IF(LEN(IF(LEN(INDEX('Aides'!$U$4:$U$503,85))=0,"",INDEX('Aides'!$U$4:$U$503,85)))=0,"","Owner: "&amp;IF(LEN(INDEX('Aides'!$U$4:$U$503,85))=0,"",INDEX('Aides'!$U$4:$U$503,85))&amp;". "))</f>
        <v/>
      </c>
      <c r="I1088">
        <f>""</f>
        <v/>
      </c>
      <c r="J1088">
        <f>IF(LEN(INDEX('Aides'!$V$4:$V$503,85))=0,"",INDEX('Aides'!$V$4:$V$503,85))</f>
        <v/>
      </c>
    </row>
    <row r="1089">
      <c r="A1089">
        <f>IF(AND(LEN('Aides'!A89)&gt;0,ISNUMBER('Aides'!O89)),1,0)</f>
        <v/>
      </c>
      <c r="B1089">
        <f>B1088+A1089</f>
        <v/>
      </c>
      <c r="C1089">
        <f>IF(1086&gt;$B$1503,"",MATCH(1086-0.5,$B$3:$B$1503,1))</f>
        <v/>
      </c>
      <c r="D1089">
        <f>"In-service hours due – "&amp;IF(LEN(INDEX('Aides'!$A$4:$A$503,86))=0,"",INDEX('Aides'!$A$4:$A$503,86))</f>
        <v/>
      </c>
      <c r="E1089">
        <f>IF(ISNUMBER(INDEX('Aides'!$O$4:$O$503,86)),TEXT(INDEX('Aides'!$O$4:$O$503,86),"yyyy-mm-dd"),"")</f>
        <v/>
      </c>
      <c r="F1089">
        <f>"Training"</f>
        <v/>
      </c>
      <c r="G1089">
        <f>"Medium"</f>
        <v/>
      </c>
      <c r="H1089">
        <f>TRIM(IF(LEN(IF(LEN(INDEX('Aides'!$P$4:$P$503,86))=0,"",INDEX('Aides'!$P$4:$P$503,86)))=0,"","Hours done: "&amp;IF(LEN(INDEX('Aides'!$P$4:$P$503,86))=0,"",INDEX('Aides'!$P$4:$P$503,86))&amp;". ")&amp;IF(LEN(IF(LEN(INDEX('Aides'!$Q$4:$Q$503,86))=0,"",INDEX('Aides'!$Q$4:$Q$503,86)))=0,"","Target: "&amp;IF(LEN(INDEX('Aides'!$Q$4:$Q$503,86))=0,"",INDEX('Aides'!$Q$4:$Q$503,86))&amp;". ")&amp;IF(LEN(IF(LEN(INDEX('Aides'!$R$4:$R$503,86))=0,"",INDEX('Aides'!$R$4:$R$503,86)))=0,"","Hours still needed: "&amp;IF(LEN(INDEX('Aides'!$R$4:$R$503,86))=0,"",INDEX('Aides'!$R$4:$R$503,86))&amp;". ")&amp;IF(LEN(IF(LEN(INDEX('Aides'!$U$4:$U$503,86))=0,"",INDEX('Aides'!$U$4:$U$503,86)))=0,"","Owner: "&amp;IF(LEN(INDEX('Aides'!$U$4:$U$503,86))=0,"",INDEX('Aides'!$U$4:$U$503,86))&amp;". "))</f>
        <v/>
      </c>
      <c r="I1089">
        <f>""</f>
        <v/>
      </c>
      <c r="J1089">
        <f>IF(LEN(INDEX('Aides'!$V$4:$V$503,86))=0,"",INDEX('Aides'!$V$4:$V$503,86))</f>
        <v/>
      </c>
    </row>
    <row r="1090">
      <c r="A1090">
        <f>IF(AND(LEN('Aides'!A90)&gt;0,ISNUMBER('Aides'!O90)),1,0)</f>
        <v/>
      </c>
      <c r="B1090">
        <f>B1089+A1090</f>
        <v/>
      </c>
      <c r="C1090">
        <f>IF(1087&gt;$B$1503,"",MATCH(1087-0.5,$B$3:$B$1503,1))</f>
        <v/>
      </c>
      <c r="D1090">
        <f>"In-service hours due – "&amp;IF(LEN(INDEX('Aides'!$A$4:$A$503,87))=0,"",INDEX('Aides'!$A$4:$A$503,87))</f>
        <v/>
      </c>
      <c r="E1090">
        <f>IF(ISNUMBER(INDEX('Aides'!$O$4:$O$503,87)),TEXT(INDEX('Aides'!$O$4:$O$503,87),"yyyy-mm-dd"),"")</f>
        <v/>
      </c>
      <c r="F1090">
        <f>"Training"</f>
        <v/>
      </c>
      <c r="G1090">
        <f>"Medium"</f>
        <v/>
      </c>
      <c r="H1090">
        <f>TRIM(IF(LEN(IF(LEN(INDEX('Aides'!$P$4:$P$503,87))=0,"",INDEX('Aides'!$P$4:$P$503,87)))=0,"","Hours done: "&amp;IF(LEN(INDEX('Aides'!$P$4:$P$503,87))=0,"",INDEX('Aides'!$P$4:$P$503,87))&amp;". ")&amp;IF(LEN(IF(LEN(INDEX('Aides'!$Q$4:$Q$503,87))=0,"",INDEX('Aides'!$Q$4:$Q$503,87)))=0,"","Target: "&amp;IF(LEN(INDEX('Aides'!$Q$4:$Q$503,87))=0,"",INDEX('Aides'!$Q$4:$Q$503,87))&amp;". ")&amp;IF(LEN(IF(LEN(INDEX('Aides'!$R$4:$R$503,87))=0,"",INDEX('Aides'!$R$4:$R$503,87)))=0,"","Hours still needed: "&amp;IF(LEN(INDEX('Aides'!$R$4:$R$503,87))=0,"",INDEX('Aides'!$R$4:$R$503,87))&amp;". ")&amp;IF(LEN(IF(LEN(INDEX('Aides'!$U$4:$U$503,87))=0,"",INDEX('Aides'!$U$4:$U$503,87)))=0,"","Owner: "&amp;IF(LEN(INDEX('Aides'!$U$4:$U$503,87))=0,"",INDEX('Aides'!$U$4:$U$503,87))&amp;". "))</f>
        <v/>
      </c>
      <c r="I1090">
        <f>""</f>
        <v/>
      </c>
      <c r="J1090">
        <f>IF(LEN(INDEX('Aides'!$V$4:$V$503,87))=0,"",INDEX('Aides'!$V$4:$V$503,87))</f>
        <v/>
      </c>
    </row>
    <row r="1091">
      <c r="A1091">
        <f>IF(AND(LEN('Aides'!A91)&gt;0,ISNUMBER('Aides'!O91)),1,0)</f>
        <v/>
      </c>
      <c r="B1091">
        <f>B1090+A1091</f>
        <v/>
      </c>
      <c r="C1091">
        <f>IF(1088&gt;$B$1503,"",MATCH(1088-0.5,$B$3:$B$1503,1))</f>
        <v/>
      </c>
      <c r="D1091">
        <f>"In-service hours due – "&amp;IF(LEN(INDEX('Aides'!$A$4:$A$503,88))=0,"",INDEX('Aides'!$A$4:$A$503,88))</f>
        <v/>
      </c>
      <c r="E1091">
        <f>IF(ISNUMBER(INDEX('Aides'!$O$4:$O$503,88)),TEXT(INDEX('Aides'!$O$4:$O$503,88),"yyyy-mm-dd"),"")</f>
        <v/>
      </c>
      <c r="F1091">
        <f>"Training"</f>
        <v/>
      </c>
      <c r="G1091">
        <f>"Medium"</f>
        <v/>
      </c>
      <c r="H1091">
        <f>TRIM(IF(LEN(IF(LEN(INDEX('Aides'!$P$4:$P$503,88))=0,"",INDEX('Aides'!$P$4:$P$503,88)))=0,"","Hours done: "&amp;IF(LEN(INDEX('Aides'!$P$4:$P$503,88))=0,"",INDEX('Aides'!$P$4:$P$503,88))&amp;". ")&amp;IF(LEN(IF(LEN(INDEX('Aides'!$Q$4:$Q$503,88))=0,"",INDEX('Aides'!$Q$4:$Q$503,88)))=0,"","Target: "&amp;IF(LEN(INDEX('Aides'!$Q$4:$Q$503,88))=0,"",INDEX('Aides'!$Q$4:$Q$503,88))&amp;". ")&amp;IF(LEN(IF(LEN(INDEX('Aides'!$R$4:$R$503,88))=0,"",INDEX('Aides'!$R$4:$R$503,88)))=0,"","Hours still needed: "&amp;IF(LEN(INDEX('Aides'!$R$4:$R$503,88))=0,"",INDEX('Aides'!$R$4:$R$503,88))&amp;". ")&amp;IF(LEN(IF(LEN(INDEX('Aides'!$U$4:$U$503,88))=0,"",INDEX('Aides'!$U$4:$U$503,88)))=0,"","Owner: "&amp;IF(LEN(INDEX('Aides'!$U$4:$U$503,88))=0,"",INDEX('Aides'!$U$4:$U$503,88))&amp;". "))</f>
        <v/>
      </c>
      <c r="I1091">
        <f>""</f>
        <v/>
      </c>
      <c r="J1091">
        <f>IF(LEN(INDEX('Aides'!$V$4:$V$503,88))=0,"",INDEX('Aides'!$V$4:$V$503,88))</f>
        <v/>
      </c>
    </row>
    <row r="1092">
      <c r="A1092">
        <f>IF(AND(LEN('Aides'!A92)&gt;0,ISNUMBER('Aides'!O92)),1,0)</f>
        <v/>
      </c>
      <c r="B1092">
        <f>B1091+A1092</f>
        <v/>
      </c>
      <c r="C1092">
        <f>IF(1089&gt;$B$1503,"",MATCH(1089-0.5,$B$3:$B$1503,1))</f>
        <v/>
      </c>
      <c r="D1092">
        <f>"In-service hours due – "&amp;IF(LEN(INDEX('Aides'!$A$4:$A$503,89))=0,"",INDEX('Aides'!$A$4:$A$503,89))</f>
        <v/>
      </c>
      <c r="E1092">
        <f>IF(ISNUMBER(INDEX('Aides'!$O$4:$O$503,89)),TEXT(INDEX('Aides'!$O$4:$O$503,89),"yyyy-mm-dd"),"")</f>
        <v/>
      </c>
      <c r="F1092">
        <f>"Training"</f>
        <v/>
      </c>
      <c r="G1092">
        <f>"Medium"</f>
        <v/>
      </c>
      <c r="H1092">
        <f>TRIM(IF(LEN(IF(LEN(INDEX('Aides'!$P$4:$P$503,89))=0,"",INDEX('Aides'!$P$4:$P$503,89)))=0,"","Hours done: "&amp;IF(LEN(INDEX('Aides'!$P$4:$P$503,89))=0,"",INDEX('Aides'!$P$4:$P$503,89))&amp;". ")&amp;IF(LEN(IF(LEN(INDEX('Aides'!$Q$4:$Q$503,89))=0,"",INDEX('Aides'!$Q$4:$Q$503,89)))=0,"","Target: "&amp;IF(LEN(INDEX('Aides'!$Q$4:$Q$503,89))=0,"",INDEX('Aides'!$Q$4:$Q$503,89))&amp;". ")&amp;IF(LEN(IF(LEN(INDEX('Aides'!$R$4:$R$503,89))=0,"",INDEX('Aides'!$R$4:$R$503,89)))=0,"","Hours still needed: "&amp;IF(LEN(INDEX('Aides'!$R$4:$R$503,89))=0,"",INDEX('Aides'!$R$4:$R$503,89))&amp;". ")&amp;IF(LEN(IF(LEN(INDEX('Aides'!$U$4:$U$503,89))=0,"",INDEX('Aides'!$U$4:$U$503,89)))=0,"","Owner: "&amp;IF(LEN(INDEX('Aides'!$U$4:$U$503,89))=0,"",INDEX('Aides'!$U$4:$U$503,89))&amp;". "))</f>
        <v/>
      </c>
      <c r="I1092">
        <f>""</f>
        <v/>
      </c>
      <c r="J1092">
        <f>IF(LEN(INDEX('Aides'!$V$4:$V$503,89))=0,"",INDEX('Aides'!$V$4:$V$503,89))</f>
        <v/>
      </c>
    </row>
    <row r="1093">
      <c r="A1093">
        <f>IF(AND(LEN('Aides'!A93)&gt;0,ISNUMBER('Aides'!O93)),1,0)</f>
        <v/>
      </c>
      <c r="B1093">
        <f>B1092+A1093</f>
        <v/>
      </c>
      <c r="C1093">
        <f>IF(1090&gt;$B$1503,"",MATCH(1090-0.5,$B$3:$B$1503,1))</f>
        <v/>
      </c>
      <c r="D1093">
        <f>"In-service hours due – "&amp;IF(LEN(INDEX('Aides'!$A$4:$A$503,90))=0,"",INDEX('Aides'!$A$4:$A$503,90))</f>
        <v/>
      </c>
      <c r="E1093">
        <f>IF(ISNUMBER(INDEX('Aides'!$O$4:$O$503,90)),TEXT(INDEX('Aides'!$O$4:$O$503,90),"yyyy-mm-dd"),"")</f>
        <v/>
      </c>
      <c r="F1093">
        <f>"Training"</f>
        <v/>
      </c>
      <c r="G1093">
        <f>"Medium"</f>
        <v/>
      </c>
      <c r="H1093">
        <f>TRIM(IF(LEN(IF(LEN(INDEX('Aides'!$P$4:$P$503,90))=0,"",INDEX('Aides'!$P$4:$P$503,90)))=0,"","Hours done: "&amp;IF(LEN(INDEX('Aides'!$P$4:$P$503,90))=0,"",INDEX('Aides'!$P$4:$P$503,90))&amp;". ")&amp;IF(LEN(IF(LEN(INDEX('Aides'!$Q$4:$Q$503,90))=0,"",INDEX('Aides'!$Q$4:$Q$503,90)))=0,"","Target: "&amp;IF(LEN(INDEX('Aides'!$Q$4:$Q$503,90))=0,"",INDEX('Aides'!$Q$4:$Q$503,90))&amp;". ")&amp;IF(LEN(IF(LEN(INDEX('Aides'!$R$4:$R$503,90))=0,"",INDEX('Aides'!$R$4:$R$503,90)))=0,"","Hours still needed: "&amp;IF(LEN(INDEX('Aides'!$R$4:$R$503,90))=0,"",INDEX('Aides'!$R$4:$R$503,90))&amp;". ")&amp;IF(LEN(IF(LEN(INDEX('Aides'!$U$4:$U$503,90))=0,"",INDEX('Aides'!$U$4:$U$503,90)))=0,"","Owner: "&amp;IF(LEN(INDEX('Aides'!$U$4:$U$503,90))=0,"",INDEX('Aides'!$U$4:$U$503,90))&amp;". "))</f>
        <v/>
      </c>
      <c r="I1093">
        <f>""</f>
        <v/>
      </c>
      <c r="J1093">
        <f>IF(LEN(INDEX('Aides'!$V$4:$V$503,90))=0,"",INDEX('Aides'!$V$4:$V$503,90))</f>
        <v/>
      </c>
    </row>
    <row r="1094">
      <c r="A1094">
        <f>IF(AND(LEN('Aides'!A94)&gt;0,ISNUMBER('Aides'!O94)),1,0)</f>
        <v/>
      </c>
      <c r="B1094">
        <f>B1093+A1094</f>
        <v/>
      </c>
      <c r="C1094">
        <f>IF(1091&gt;$B$1503,"",MATCH(1091-0.5,$B$3:$B$1503,1))</f>
        <v/>
      </c>
      <c r="D1094">
        <f>"In-service hours due – "&amp;IF(LEN(INDEX('Aides'!$A$4:$A$503,91))=0,"",INDEX('Aides'!$A$4:$A$503,91))</f>
        <v/>
      </c>
      <c r="E1094">
        <f>IF(ISNUMBER(INDEX('Aides'!$O$4:$O$503,91)),TEXT(INDEX('Aides'!$O$4:$O$503,91),"yyyy-mm-dd"),"")</f>
        <v/>
      </c>
      <c r="F1094">
        <f>"Training"</f>
        <v/>
      </c>
      <c r="G1094">
        <f>"Medium"</f>
        <v/>
      </c>
      <c r="H1094">
        <f>TRIM(IF(LEN(IF(LEN(INDEX('Aides'!$P$4:$P$503,91))=0,"",INDEX('Aides'!$P$4:$P$503,91)))=0,"","Hours done: "&amp;IF(LEN(INDEX('Aides'!$P$4:$P$503,91))=0,"",INDEX('Aides'!$P$4:$P$503,91))&amp;". ")&amp;IF(LEN(IF(LEN(INDEX('Aides'!$Q$4:$Q$503,91))=0,"",INDEX('Aides'!$Q$4:$Q$503,91)))=0,"","Target: "&amp;IF(LEN(INDEX('Aides'!$Q$4:$Q$503,91))=0,"",INDEX('Aides'!$Q$4:$Q$503,91))&amp;". ")&amp;IF(LEN(IF(LEN(INDEX('Aides'!$R$4:$R$503,91))=0,"",INDEX('Aides'!$R$4:$R$503,91)))=0,"","Hours still needed: "&amp;IF(LEN(INDEX('Aides'!$R$4:$R$503,91))=0,"",INDEX('Aides'!$R$4:$R$503,91))&amp;". ")&amp;IF(LEN(IF(LEN(INDEX('Aides'!$U$4:$U$503,91))=0,"",INDEX('Aides'!$U$4:$U$503,91)))=0,"","Owner: "&amp;IF(LEN(INDEX('Aides'!$U$4:$U$503,91))=0,"",INDEX('Aides'!$U$4:$U$503,91))&amp;". "))</f>
        <v/>
      </c>
      <c r="I1094">
        <f>""</f>
        <v/>
      </c>
      <c r="J1094">
        <f>IF(LEN(INDEX('Aides'!$V$4:$V$503,91))=0,"",INDEX('Aides'!$V$4:$V$503,91))</f>
        <v/>
      </c>
    </row>
    <row r="1095">
      <c r="A1095">
        <f>IF(AND(LEN('Aides'!A95)&gt;0,ISNUMBER('Aides'!O95)),1,0)</f>
        <v/>
      </c>
      <c r="B1095">
        <f>B1094+A1095</f>
        <v/>
      </c>
      <c r="C1095">
        <f>IF(1092&gt;$B$1503,"",MATCH(1092-0.5,$B$3:$B$1503,1))</f>
        <v/>
      </c>
      <c r="D1095">
        <f>"In-service hours due – "&amp;IF(LEN(INDEX('Aides'!$A$4:$A$503,92))=0,"",INDEX('Aides'!$A$4:$A$503,92))</f>
        <v/>
      </c>
      <c r="E1095">
        <f>IF(ISNUMBER(INDEX('Aides'!$O$4:$O$503,92)),TEXT(INDEX('Aides'!$O$4:$O$503,92),"yyyy-mm-dd"),"")</f>
        <v/>
      </c>
      <c r="F1095">
        <f>"Training"</f>
        <v/>
      </c>
      <c r="G1095">
        <f>"Medium"</f>
        <v/>
      </c>
      <c r="H1095">
        <f>TRIM(IF(LEN(IF(LEN(INDEX('Aides'!$P$4:$P$503,92))=0,"",INDEX('Aides'!$P$4:$P$503,92)))=0,"","Hours done: "&amp;IF(LEN(INDEX('Aides'!$P$4:$P$503,92))=0,"",INDEX('Aides'!$P$4:$P$503,92))&amp;". ")&amp;IF(LEN(IF(LEN(INDEX('Aides'!$Q$4:$Q$503,92))=0,"",INDEX('Aides'!$Q$4:$Q$503,92)))=0,"","Target: "&amp;IF(LEN(INDEX('Aides'!$Q$4:$Q$503,92))=0,"",INDEX('Aides'!$Q$4:$Q$503,92))&amp;". ")&amp;IF(LEN(IF(LEN(INDEX('Aides'!$R$4:$R$503,92))=0,"",INDEX('Aides'!$R$4:$R$503,92)))=0,"","Hours still needed: "&amp;IF(LEN(INDEX('Aides'!$R$4:$R$503,92))=0,"",INDEX('Aides'!$R$4:$R$503,92))&amp;". ")&amp;IF(LEN(IF(LEN(INDEX('Aides'!$U$4:$U$503,92))=0,"",INDEX('Aides'!$U$4:$U$503,92)))=0,"","Owner: "&amp;IF(LEN(INDEX('Aides'!$U$4:$U$503,92))=0,"",INDEX('Aides'!$U$4:$U$503,92))&amp;". "))</f>
        <v/>
      </c>
      <c r="I1095">
        <f>""</f>
        <v/>
      </c>
      <c r="J1095">
        <f>IF(LEN(INDEX('Aides'!$V$4:$V$503,92))=0,"",INDEX('Aides'!$V$4:$V$503,92))</f>
        <v/>
      </c>
    </row>
    <row r="1096">
      <c r="A1096">
        <f>IF(AND(LEN('Aides'!A96)&gt;0,ISNUMBER('Aides'!O96)),1,0)</f>
        <v/>
      </c>
      <c r="B1096">
        <f>B1095+A1096</f>
        <v/>
      </c>
      <c r="C1096">
        <f>IF(1093&gt;$B$1503,"",MATCH(1093-0.5,$B$3:$B$1503,1))</f>
        <v/>
      </c>
      <c r="D1096">
        <f>"In-service hours due – "&amp;IF(LEN(INDEX('Aides'!$A$4:$A$503,93))=0,"",INDEX('Aides'!$A$4:$A$503,93))</f>
        <v/>
      </c>
      <c r="E1096">
        <f>IF(ISNUMBER(INDEX('Aides'!$O$4:$O$503,93)),TEXT(INDEX('Aides'!$O$4:$O$503,93),"yyyy-mm-dd"),"")</f>
        <v/>
      </c>
      <c r="F1096">
        <f>"Training"</f>
        <v/>
      </c>
      <c r="G1096">
        <f>"Medium"</f>
        <v/>
      </c>
      <c r="H1096">
        <f>TRIM(IF(LEN(IF(LEN(INDEX('Aides'!$P$4:$P$503,93))=0,"",INDEX('Aides'!$P$4:$P$503,93)))=0,"","Hours done: "&amp;IF(LEN(INDEX('Aides'!$P$4:$P$503,93))=0,"",INDEX('Aides'!$P$4:$P$503,93))&amp;". ")&amp;IF(LEN(IF(LEN(INDEX('Aides'!$Q$4:$Q$503,93))=0,"",INDEX('Aides'!$Q$4:$Q$503,93)))=0,"","Target: "&amp;IF(LEN(INDEX('Aides'!$Q$4:$Q$503,93))=0,"",INDEX('Aides'!$Q$4:$Q$503,93))&amp;". ")&amp;IF(LEN(IF(LEN(INDEX('Aides'!$R$4:$R$503,93))=0,"",INDEX('Aides'!$R$4:$R$503,93)))=0,"","Hours still needed: "&amp;IF(LEN(INDEX('Aides'!$R$4:$R$503,93))=0,"",INDEX('Aides'!$R$4:$R$503,93))&amp;". ")&amp;IF(LEN(IF(LEN(INDEX('Aides'!$U$4:$U$503,93))=0,"",INDEX('Aides'!$U$4:$U$503,93)))=0,"","Owner: "&amp;IF(LEN(INDEX('Aides'!$U$4:$U$503,93))=0,"",INDEX('Aides'!$U$4:$U$503,93))&amp;". "))</f>
        <v/>
      </c>
      <c r="I1096">
        <f>""</f>
        <v/>
      </c>
      <c r="J1096">
        <f>IF(LEN(INDEX('Aides'!$V$4:$V$503,93))=0,"",INDEX('Aides'!$V$4:$V$503,93))</f>
        <v/>
      </c>
    </row>
    <row r="1097">
      <c r="A1097">
        <f>IF(AND(LEN('Aides'!A97)&gt;0,ISNUMBER('Aides'!O97)),1,0)</f>
        <v/>
      </c>
      <c r="B1097">
        <f>B1096+A1097</f>
        <v/>
      </c>
      <c r="C1097">
        <f>IF(1094&gt;$B$1503,"",MATCH(1094-0.5,$B$3:$B$1503,1))</f>
        <v/>
      </c>
      <c r="D1097">
        <f>"In-service hours due – "&amp;IF(LEN(INDEX('Aides'!$A$4:$A$503,94))=0,"",INDEX('Aides'!$A$4:$A$503,94))</f>
        <v/>
      </c>
      <c r="E1097">
        <f>IF(ISNUMBER(INDEX('Aides'!$O$4:$O$503,94)),TEXT(INDEX('Aides'!$O$4:$O$503,94),"yyyy-mm-dd"),"")</f>
        <v/>
      </c>
      <c r="F1097">
        <f>"Training"</f>
        <v/>
      </c>
      <c r="G1097">
        <f>"Medium"</f>
        <v/>
      </c>
      <c r="H1097">
        <f>TRIM(IF(LEN(IF(LEN(INDEX('Aides'!$P$4:$P$503,94))=0,"",INDEX('Aides'!$P$4:$P$503,94)))=0,"","Hours done: "&amp;IF(LEN(INDEX('Aides'!$P$4:$P$503,94))=0,"",INDEX('Aides'!$P$4:$P$503,94))&amp;". ")&amp;IF(LEN(IF(LEN(INDEX('Aides'!$Q$4:$Q$503,94))=0,"",INDEX('Aides'!$Q$4:$Q$503,94)))=0,"","Target: "&amp;IF(LEN(INDEX('Aides'!$Q$4:$Q$503,94))=0,"",INDEX('Aides'!$Q$4:$Q$503,94))&amp;". ")&amp;IF(LEN(IF(LEN(INDEX('Aides'!$R$4:$R$503,94))=0,"",INDEX('Aides'!$R$4:$R$503,94)))=0,"","Hours still needed: "&amp;IF(LEN(INDEX('Aides'!$R$4:$R$503,94))=0,"",INDEX('Aides'!$R$4:$R$503,94))&amp;". ")&amp;IF(LEN(IF(LEN(INDEX('Aides'!$U$4:$U$503,94))=0,"",INDEX('Aides'!$U$4:$U$503,94)))=0,"","Owner: "&amp;IF(LEN(INDEX('Aides'!$U$4:$U$503,94))=0,"",INDEX('Aides'!$U$4:$U$503,94))&amp;". "))</f>
        <v/>
      </c>
      <c r="I1097">
        <f>""</f>
        <v/>
      </c>
      <c r="J1097">
        <f>IF(LEN(INDEX('Aides'!$V$4:$V$503,94))=0,"",INDEX('Aides'!$V$4:$V$503,94))</f>
        <v/>
      </c>
    </row>
    <row r="1098">
      <c r="A1098">
        <f>IF(AND(LEN('Aides'!A98)&gt;0,ISNUMBER('Aides'!O98)),1,0)</f>
        <v/>
      </c>
      <c r="B1098">
        <f>B1097+A1098</f>
        <v/>
      </c>
      <c r="C1098">
        <f>IF(1095&gt;$B$1503,"",MATCH(1095-0.5,$B$3:$B$1503,1))</f>
        <v/>
      </c>
      <c r="D1098">
        <f>"In-service hours due – "&amp;IF(LEN(INDEX('Aides'!$A$4:$A$503,95))=0,"",INDEX('Aides'!$A$4:$A$503,95))</f>
        <v/>
      </c>
      <c r="E1098">
        <f>IF(ISNUMBER(INDEX('Aides'!$O$4:$O$503,95)),TEXT(INDEX('Aides'!$O$4:$O$503,95),"yyyy-mm-dd"),"")</f>
        <v/>
      </c>
      <c r="F1098">
        <f>"Training"</f>
        <v/>
      </c>
      <c r="G1098">
        <f>"Medium"</f>
        <v/>
      </c>
      <c r="H1098">
        <f>TRIM(IF(LEN(IF(LEN(INDEX('Aides'!$P$4:$P$503,95))=0,"",INDEX('Aides'!$P$4:$P$503,95)))=0,"","Hours done: "&amp;IF(LEN(INDEX('Aides'!$P$4:$P$503,95))=0,"",INDEX('Aides'!$P$4:$P$503,95))&amp;". ")&amp;IF(LEN(IF(LEN(INDEX('Aides'!$Q$4:$Q$503,95))=0,"",INDEX('Aides'!$Q$4:$Q$503,95)))=0,"","Target: "&amp;IF(LEN(INDEX('Aides'!$Q$4:$Q$503,95))=0,"",INDEX('Aides'!$Q$4:$Q$503,95))&amp;". ")&amp;IF(LEN(IF(LEN(INDEX('Aides'!$R$4:$R$503,95))=0,"",INDEX('Aides'!$R$4:$R$503,95)))=0,"","Hours still needed: "&amp;IF(LEN(INDEX('Aides'!$R$4:$R$503,95))=0,"",INDEX('Aides'!$R$4:$R$503,95))&amp;". ")&amp;IF(LEN(IF(LEN(INDEX('Aides'!$U$4:$U$503,95))=0,"",INDEX('Aides'!$U$4:$U$503,95)))=0,"","Owner: "&amp;IF(LEN(INDEX('Aides'!$U$4:$U$503,95))=0,"",INDEX('Aides'!$U$4:$U$503,95))&amp;". "))</f>
        <v/>
      </c>
      <c r="I1098">
        <f>""</f>
        <v/>
      </c>
      <c r="J1098">
        <f>IF(LEN(INDEX('Aides'!$V$4:$V$503,95))=0,"",INDEX('Aides'!$V$4:$V$503,95))</f>
        <v/>
      </c>
    </row>
    <row r="1099">
      <c r="A1099">
        <f>IF(AND(LEN('Aides'!A99)&gt;0,ISNUMBER('Aides'!O99)),1,0)</f>
        <v/>
      </c>
      <c r="B1099">
        <f>B1098+A1099</f>
        <v/>
      </c>
      <c r="C1099">
        <f>IF(1096&gt;$B$1503,"",MATCH(1096-0.5,$B$3:$B$1503,1))</f>
        <v/>
      </c>
      <c r="D1099">
        <f>"In-service hours due – "&amp;IF(LEN(INDEX('Aides'!$A$4:$A$503,96))=0,"",INDEX('Aides'!$A$4:$A$503,96))</f>
        <v/>
      </c>
      <c r="E1099">
        <f>IF(ISNUMBER(INDEX('Aides'!$O$4:$O$503,96)),TEXT(INDEX('Aides'!$O$4:$O$503,96),"yyyy-mm-dd"),"")</f>
        <v/>
      </c>
      <c r="F1099">
        <f>"Training"</f>
        <v/>
      </c>
      <c r="G1099">
        <f>"Medium"</f>
        <v/>
      </c>
      <c r="H1099">
        <f>TRIM(IF(LEN(IF(LEN(INDEX('Aides'!$P$4:$P$503,96))=0,"",INDEX('Aides'!$P$4:$P$503,96)))=0,"","Hours done: "&amp;IF(LEN(INDEX('Aides'!$P$4:$P$503,96))=0,"",INDEX('Aides'!$P$4:$P$503,96))&amp;". ")&amp;IF(LEN(IF(LEN(INDEX('Aides'!$Q$4:$Q$503,96))=0,"",INDEX('Aides'!$Q$4:$Q$503,96)))=0,"","Target: "&amp;IF(LEN(INDEX('Aides'!$Q$4:$Q$503,96))=0,"",INDEX('Aides'!$Q$4:$Q$503,96))&amp;". ")&amp;IF(LEN(IF(LEN(INDEX('Aides'!$R$4:$R$503,96))=0,"",INDEX('Aides'!$R$4:$R$503,96)))=0,"","Hours still needed: "&amp;IF(LEN(INDEX('Aides'!$R$4:$R$503,96))=0,"",INDEX('Aides'!$R$4:$R$503,96))&amp;". ")&amp;IF(LEN(IF(LEN(INDEX('Aides'!$U$4:$U$503,96))=0,"",INDEX('Aides'!$U$4:$U$503,96)))=0,"","Owner: "&amp;IF(LEN(INDEX('Aides'!$U$4:$U$503,96))=0,"",INDEX('Aides'!$U$4:$U$503,96))&amp;". "))</f>
        <v/>
      </c>
      <c r="I1099">
        <f>""</f>
        <v/>
      </c>
      <c r="J1099">
        <f>IF(LEN(INDEX('Aides'!$V$4:$V$503,96))=0,"",INDEX('Aides'!$V$4:$V$503,96))</f>
        <v/>
      </c>
    </row>
    <row r="1100">
      <c r="A1100">
        <f>IF(AND(LEN('Aides'!A100)&gt;0,ISNUMBER('Aides'!O100)),1,0)</f>
        <v/>
      </c>
      <c r="B1100">
        <f>B1099+A1100</f>
        <v/>
      </c>
      <c r="C1100">
        <f>IF(1097&gt;$B$1503,"",MATCH(1097-0.5,$B$3:$B$1503,1))</f>
        <v/>
      </c>
      <c r="D1100">
        <f>"In-service hours due – "&amp;IF(LEN(INDEX('Aides'!$A$4:$A$503,97))=0,"",INDEX('Aides'!$A$4:$A$503,97))</f>
        <v/>
      </c>
      <c r="E1100">
        <f>IF(ISNUMBER(INDEX('Aides'!$O$4:$O$503,97)),TEXT(INDEX('Aides'!$O$4:$O$503,97),"yyyy-mm-dd"),"")</f>
        <v/>
      </c>
      <c r="F1100">
        <f>"Training"</f>
        <v/>
      </c>
      <c r="G1100">
        <f>"Medium"</f>
        <v/>
      </c>
      <c r="H1100">
        <f>TRIM(IF(LEN(IF(LEN(INDEX('Aides'!$P$4:$P$503,97))=0,"",INDEX('Aides'!$P$4:$P$503,97)))=0,"","Hours done: "&amp;IF(LEN(INDEX('Aides'!$P$4:$P$503,97))=0,"",INDEX('Aides'!$P$4:$P$503,97))&amp;". ")&amp;IF(LEN(IF(LEN(INDEX('Aides'!$Q$4:$Q$503,97))=0,"",INDEX('Aides'!$Q$4:$Q$503,97)))=0,"","Target: "&amp;IF(LEN(INDEX('Aides'!$Q$4:$Q$503,97))=0,"",INDEX('Aides'!$Q$4:$Q$503,97))&amp;". ")&amp;IF(LEN(IF(LEN(INDEX('Aides'!$R$4:$R$503,97))=0,"",INDEX('Aides'!$R$4:$R$503,97)))=0,"","Hours still needed: "&amp;IF(LEN(INDEX('Aides'!$R$4:$R$503,97))=0,"",INDEX('Aides'!$R$4:$R$503,97))&amp;". ")&amp;IF(LEN(IF(LEN(INDEX('Aides'!$U$4:$U$503,97))=0,"",INDEX('Aides'!$U$4:$U$503,97)))=0,"","Owner: "&amp;IF(LEN(INDEX('Aides'!$U$4:$U$503,97))=0,"",INDEX('Aides'!$U$4:$U$503,97))&amp;". "))</f>
        <v/>
      </c>
      <c r="I1100">
        <f>""</f>
        <v/>
      </c>
      <c r="J1100">
        <f>IF(LEN(INDEX('Aides'!$V$4:$V$503,97))=0,"",INDEX('Aides'!$V$4:$V$503,97))</f>
        <v/>
      </c>
    </row>
    <row r="1101">
      <c r="A1101">
        <f>IF(AND(LEN('Aides'!A101)&gt;0,ISNUMBER('Aides'!O101)),1,0)</f>
        <v/>
      </c>
      <c r="B1101">
        <f>B1100+A1101</f>
        <v/>
      </c>
      <c r="C1101">
        <f>IF(1098&gt;$B$1503,"",MATCH(1098-0.5,$B$3:$B$1503,1))</f>
        <v/>
      </c>
      <c r="D1101">
        <f>"In-service hours due – "&amp;IF(LEN(INDEX('Aides'!$A$4:$A$503,98))=0,"",INDEX('Aides'!$A$4:$A$503,98))</f>
        <v/>
      </c>
      <c r="E1101">
        <f>IF(ISNUMBER(INDEX('Aides'!$O$4:$O$503,98)),TEXT(INDEX('Aides'!$O$4:$O$503,98),"yyyy-mm-dd"),"")</f>
        <v/>
      </c>
      <c r="F1101">
        <f>"Training"</f>
        <v/>
      </c>
      <c r="G1101">
        <f>"Medium"</f>
        <v/>
      </c>
      <c r="H1101">
        <f>TRIM(IF(LEN(IF(LEN(INDEX('Aides'!$P$4:$P$503,98))=0,"",INDEX('Aides'!$P$4:$P$503,98)))=0,"","Hours done: "&amp;IF(LEN(INDEX('Aides'!$P$4:$P$503,98))=0,"",INDEX('Aides'!$P$4:$P$503,98))&amp;". ")&amp;IF(LEN(IF(LEN(INDEX('Aides'!$Q$4:$Q$503,98))=0,"",INDEX('Aides'!$Q$4:$Q$503,98)))=0,"","Target: "&amp;IF(LEN(INDEX('Aides'!$Q$4:$Q$503,98))=0,"",INDEX('Aides'!$Q$4:$Q$503,98))&amp;". ")&amp;IF(LEN(IF(LEN(INDEX('Aides'!$R$4:$R$503,98))=0,"",INDEX('Aides'!$R$4:$R$503,98)))=0,"","Hours still needed: "&amp;IF(LEN(INDEX('Aides'!$R$4:$R$503,98))=0,"",INDEX('Aides'!$R$4:$R$503,98))&amp;". ")&amp;IF(LEN(IF(LEN(INDEX('Aides'!$U$4:$U$503,98))=0,"",INDEX('Aides'!$U$4:$U$503,98)))=0,"","Owner: "&amp;IF(LEN(INDEX('Aides'!$U$4:$U$503,98))=0,"",INDEX('Aides'!$U$4:$U$503,98))&amp;". "))</f>
        <v/>
      </c>
      <c r="I1101">
        <f>""</f>
        <v/>
      </c>
      <c r="J1101">
        <f>IF(LEN(INDEX('Aides'!$V$4:$V$503,98))=0,"",INDEX('Aides'!$V$4:$V$503,98))</f>
        <v/>
      </c>
    </row>
    <row r="1102">
      <c r="A1102">
        <f>IF(AND(LEN('Aides'!A102)&gt;0,ISNUMBER('Aides'!O102)),1,0)</f>
        <v/>
      </c>
      <c r="B1102">
        <f>B1101+A1102</f>
        <v/>
      </c>
      <c r="C1102">
        <f>IF(1099&gt;$B$1503,"",MATCH(1099-0.5,$B$3:$B$1503,1))</f>
        <v/>
      </c>
      <c r="D1102">
        <f>"In-service hours due – "&amp;IF(LEN(INDEX('Aides'!$A$4:$A$503,99))=0,"",INDEX('Aides'!$A$4:$A$503,99))</f>
        <v/>
      </c>
      <c r="E1102">
        <f>IF(ISNUMBER(INDEX('Aides'!$O$4:$O$503,99)),TEXT(INDEX('Aides'!$O$4:$O$503,99),"yyyy-mm-dd"),"")</f>
        <v/>
      </c>
      <c r="F1102">
        <f>"Training"</f>
        <v/>
      </c>
      <c r="G1102">
        <f>"Medium"</f>
        <v/>
      </c>
      <c r="H1102">
        <f>TRIM(IF(LEN(IF(LEN(INDEX('Aides'!$P$4:$P$503,99))=0,"",INDEX('Aides'!$P$4:$P$503,99)))=0,"","Hours done: "&amp;IF(LEN(INDEX('Aides'!$P$4:$P$503,99))=0,"",INDEX('Aides'!$P$4:$P$503,99))&amp;". ")&amp;IF(LEN(IF(LEN(INDEX('Aides'!$Q$4:$Q$503,99))=0,"",INDEX('Aides'!$Q$4:$Q$503,99)))=0,"","Target: "&amp;IF(LEN(INDEX('Aides'!$Q$4:$Q$503,99))=0,"",INDEX('Aides'!$Q$4:$Q$503,99))&amp;". ")&amp;IF(LEN(IF(LEN(INDEX('Aides'!$R$4:$R$503,99))=0,"",INDEX('Aides'!$R$4:$R$503,99)))=0,"","Hours still needed: "&amp;IF(LEN(INDEX('Aides'!$R$4:$R$503,99))=0,"",INDEX('Aides'!$R$4:$R$503,99))&amp;". ")&amp;IF(LEN(IF(LEN(INDEX('Aides'!$U$4:$U$503,99))=0,"",INDEX('Aides'!$U$4:$U$503,99)))=0,"","Owner: "&amp;IF(LEN(INDEX('Aides'!$U$4:$U$503,99))=0,"",INDEX('Aides'!$U$4:$U$503,99))&amp;". "))</f>
        <v/>
      </c>
      <c r="I1102">
        <f>""</f>
        <v/>
      </c>
      <c r="J1102">
        <f>IF(LEN(INDEX('Aides'!$V$4:$V$503,99))=0,"",INDEX('Aides'!$V$4:$V$503,99))</f>
        <v/>
      </c>
    </row>
    <row r="1103">
      <c r="A1103">
        <f>IF(AND(LEN('Aides'!A103)&gt;0,ISNUMBER('Aides'!O103)),1,0)</f>
        <v/>
      </c>
      <c r="B1103">
        <f>B1102+A1103</f>
        <v/>
      </c>
      <c r="C1103">
        <f>IF(1100&gt;$B$1503,"",MATCH(1100-0.5,$B$3:$B$1503,1))</f>
        <v/>
      </c>
      <c r="D1103">
        <f>"In-service hours due – "&amp;IF(LEN(INDEX('Aides'!$A$4:$A$503,100))=0,"",INDEX('Aides'!$A$4:$A$503,100))</f>
        <v/>
      </c>
      <c r="E1103">
        <f>IF(ISNUMBER(INDEX('Aides'!$O$4:$O$503,100)),TEXT(INDEX('Aides'!$O$4:$O$503,100),"yyyy-mm-dd"),"")</f>
        <v/>
      </c>
      <c r="F1103">
        <f>"Training"</f>
        <v/>
      </c>
      <c r="G1103">
        <f>"Medium"</f>
        <v/>
      </c>
      <c r="H1103">
        <f>TRIM(IF(LEN(IF(LEN(INDEX('Aides'!$P$4:$P$503,100))=0,"",INDEX('Aides'!$P$4:$P$503,100)))=0,"","Hours done: "&amp;IF(LEN(INDEX('Aides'!$P$4:$P$503,100))=0,"",INDEX('Aides'!$P$4:$P$503,100))&amp;". ")&amp;IF(LEN(IF(LEN(INDEX('Aides'!$Q$4:$Q$503,100))=0,"",INDEX('Aides'!$Q$4:$Q$503,100)))=0,"","Target: "&amp;IF(LEN(INDEX('Aides'!$Q$4:$Q$503,100))=0,"",INDEX('Aides'!$Q$4:$Q$503,100))&amp;". ")&amp;IF(LEN(IF(LEN(INDEX('Aides'!$R$4:$R$503,100))=0,"",INDEX('Aides'!$R$4:$R$503,100)))=0,"","Hours still needed: "&amp;IF(LEN(INDEX('Aides'!$R$4:$R$503,100))=0,"",INDEX('Aides'!$R$4:$R$503,100))&amp;". ")&amp;IF(LEN(IF(LEN(INDEX('Aides'!$U$4:$U$503,100))=0,"",INDEX('Aides'!$U$4:$U$503,100)))=0,"","Owner: "&amp;IF(LEN(INDEX('Aides'!$U$4:$U$503,100))=0,"",INDEX('Aides'!$U$4:$U$503,100))&amp;". "))</f>
        <v/>
      </c>
      <c r="I1103">
        <f>""</f>
        <v/>
      </c>
      <c r="J1103">
        <f>IF(LEN(INDEX('Aides'!$V$4:$V$503,100))=0,"",INDEX('Aides'!$V$4:$V$503,100))</f>
        <v/>
      </c>
    </row>
    <row r="1104">
      <c r="A1104">
        <f>IF(AND(LEN('Aides'!A104)&gt;0,ISNUMBER('Aides'!O104)),1,0)</f>
        <v/>
      </c>
      <c r="B1104">
        <f>B1103+A1104</f>
        <v/>
      </c>
      <c r="C1104">
        <f>IF(1101&gt;$B$1503,"",MATCH(1101-0.5,$B$3:$B$1503,1))</f>
        <v/>
      </c>
      <c r="D1104">
        <f>"In-service hours due – "&amp;IF(LEN(INDEX('Aides'!$A$4:$A$503,101))=0,"",INDEX('Aides'!$A$4:$A$503,101))</f>
        <v/>
      </c>
      <c r="E1104">
        <f>IF(ISNUMBER(INDEX('Aides'!$O$4:$O$503,101)),TEXT(INDEX('Aides'!$O$4:$O$503,101),"yyyy-mm-dd"),"")</f>
        <v/>
      </c>
      <c r="F1104">
        <f>"Training"</f>
        <v/>
      </c>
      <c r="G1104">
        <f>"Medium"</f>
        <v/>
      </c>
      <c r="H1104">
        <f>TRIM(IF(LEN(IF(LEN(INDEX('Aides'!$P$4:$P$503,101))=0,"",INDEX('Aides'!$P$4:$P$503,101)))=0,"","Hours done: "&amp;IF(LEN(INDEX('Aides'!$P$4:$P$503,101))=0,"",INDEX('Aides'!$P$4:$P$503,101))&amp;". ")&amp;IF(LEN(IF(LEN(INDEX('Aides'!$Q$4:$Q$503,101))=0,"",INDEX('Aides'!$Q$4:$Q$503,101)))=0,"","Target: "&amp;IF(LEN(INDEX('Aides'!$Q$4:$Q$503,101))=0,"",INDEX('Aides'!$Q$4:$Q$503,101))&amp;". ")&amp;IF(LEN(IF(LEN(INDEX('Aides'!$R$4:$R$503,101))=0,"",INDEX('Aides'!$R$4:$R$503,101)))=0,"","Hours still needed: "&amp;IF(LEN(INDEX('Aides'!$R$4:$R$503,101))=0,"",INDEX('Aides'!$R$4:$R$503,101))&amp;". ")&amp;IF(LEN(IF(LEN(INDEX('Aides'!$U$4:$U$503,101))=0,"",INDEX('Aides'!$U$4:$U$503,101)))=0,"","Owner: "&amp;IF(LEN(INDEX('Aides'!$U$4:$U$503,101))=0,"",INDEX('Aides'!$U$4:$U$503,101))&amp;". "))</f>
        <v/>
      </c>
      <c r="I1104">
        <f>""</f>
        <v/>
      </c>
      <c r="J1104">
        <f>IF(LEN(INDEX('Aides'!$V$4:$V$503,101))=0,"",INDEX('Aides'!$V$4:$V$503,101))</f>
        <v/>
      </c>
    </row>
    <row r="1105">
      <c r="A1105">
        <f>IF(AND(LEN('Aides'!A105)&gt;0,ISNUMBER('Aides'!O105)),1,0)</f>
        <v/>
      </c>
      <c r="B1105">
        <f>B1104+A1105</f>
        <v/>
      </c>
      <c r="C1105">
        <f>IF(1102&gt;$B$1503,"",MATCH(1102-0.5,$B$3:$B$1503,1))</f>
        <v/>
      </c>
      <c r="D1105">
        <f>"In-service hours due – "&amp;IF(LEN(INDEX('Aides'!$A$4:$A$503,102))=0,"",INDEX('Aides'!$A$4:$A$503,102))</f>
        <v/>
      </c>
      <c r="E1105">
        <f>IF(ISNUMBER(INDEX('Aides'!$O$4:$O$503,102)),TEXT(INDEX('Aides'!$O$4:$O$503,102),"yyyy-mm-dd"),"")</f>
        <v/>
      </c>
      <c r="F1105">
        <f>"Training"</f>
        <v/>
      </c>
      <c r="G1105">
        <f>"Medium"</f>
        <v/>
      </c>
      <c r="H1105">
        <f>TRIM(IF(LEN(IF(LEN(INDEX('Aides'!$P$4:$P$503,102))=0,"",INDEX('Aides'!$P$4:$P$503,102)))=0,"","Hours done: "&amp;IF(LEN(INDEX('Aides'!$P$4:$P$503,102))=0,"",INDEX('Aides'!$P$4:$P$503,102))&amp;". ")&amp;IF(LEN(IF(LEN(INDEX('Aides'!$Q$4:$Q$503,102))=0,"",INDEX('Aides'!$Q$4:$Q$503,102)))=0,"","Target: "&amp;IF(LEN(INDEX('Aides'!$Q$4:$Q$503,102))=0,"",INDEX('Aides'!$Q$4:$Q$503,102))&amp;". ")&amp;IF(LEN(IF(LEN(INDEX('Aides'!$R$4:$R$503,102))=0,"",INDEX('Aides'!$R$4:$R$503,102)))=0,"","Hours still needed: "&amp;IF(LEN(INDEX('Aides'!$R$4:$R$503,102))=0,"",INDEX('Aides'!$R$4:$R$503,102))&amp;". ")&amp;IF(LEN(IF(LEN(INDEX('Aides'!$U$4:$U$503,102))=0,"",INDEX('Aides'!$U$4:$U$503,102)))=0,"","Owner: "&amp;IF(LEN(INDEX('Aides'!$U$4:$U$503,102))=0,"",INDEX('Aides'!$U$4:$U$503,102))&amp;". "))</f>
        <v/>
      </c>
      <c r="I1105">
        <f>""</f>
        <v/>
      </c>
      <c r="J1105">
        <f>IF(LEN(INDEX('Aides'!$V$4:$V$503,102))=0,"",INDEX('Aides'!$V$4:$V$503,102))</f>
        <v/>
      </c>
    </row>
    <row r="1106">
      <c r="A1106">
        <f>IF(AND(LEN('Aides'!A106)&gt;0,ISNUMBER('Aides'!O106)),1,0)</f>
        <v/>
      </c>
      <c r="B1106">
        <f>B1105+A1106</f>
        <v/>
      </c>
      <c r="C1106">
        <f>IF(1103&gt;$B$1503,"",MATCH(1103-0.5,$B$3:$B$1503,1))</f>
        <v/>
      </c>
      <c r="D1106">
        <f>"In-service hours due – "&amp;IF(LEN(INDEX('Aides'!$A$4:$A$503,103))=0,"",INDEX('Aides'!$A$4:$A$503,103))</f>
        <v/>
      </c>
      <c r="E1106">
        <f>IF(ISNUMBER(INDEX('Aides'!$O$4:$O$503,103)),TEXT(INDEX('Aides'!$O$4:$O$503,103),"yyyy-mm-dd"),"")</f>
        <v/>
      </c>
      <c r="F1106">
        <f>"Training"</f>
        <v/>
      </c>
      <c r="G1106">
        <f>"Medium"</f>
        <v/>
      </c>
      <c r="H1106">
        <f>TRIM(IF(LEN(IF(LEN(INDEX('Aides'!$P$4:$P$503,103))=0,"",INDEX('Aides'!$P$4:$P$503,103)))=0,"","Hours done: "&amp;IF(LEN(INDEX('Aides'!$P$4:$P$503,103))=0,"",INDEX('Aides'!$P$4:$P$503,103))&amp;". ")&amp;IF(LEN(IF(LEN(INDEX('Aides'!$Q$4:$Q$503,103))=0,"",INDEX('Aides'!$Q$4:$Q$503,103)))=0,"","Target: "&amp;IF(LEN(INDEX('Aides'!$Q$4:$Q$503,103))=0,"",INDEX('Aides'!$Q$4:$Q$503,103))&amp;". ")&amp;IF(LEN(IF(LEN(INDEX('Aides'!$R$4:$R$503,103))=0,"",INDEX('Aides'!$R$4:$R$503,103)))=0,"","Hours still needed: "&amp;IF(LEN(INDEX('Aides'!$R$4:$R$503,103))=0,"",INDEX('Aides'!$R$4:$R$503,103))&amp;". ")&amp;IF(LEN(IF(LEN(INDEX('Aides'!$U$4:$U$503,103))=0,"",INDEX('Aides'!$U$4:$U$503,103)))=0,"","Owner: "&amp;IF(LEN(INDEX('Aides'!$U$4:$U$503,103))=0,"",INDEX('Aides'!$U$4:$U$503,103))&amp;". "))</f>
        <v/>
      </c>
      <c r="I1106">
        <f>""</f>
        <v/>
      </c>
      <c r="J1106">
        <f>IF(LEN(INDEX('Aides'!$V$4:$V$503,103))=0,"",INDEX('Aides'!$V$4:$V$503,103))</f>
        <v/>
      </c>
    </row>
    <row r="1107">
      <c r="A1107">
        <f>IF(AND(LEN('Aides'!A107)&gt;0,ISNUMBER('Aides'!O107)),1,0)</f>
        <v/>
      </c>
      <c r="B1107">
        <f>B1106+A1107</f>
        <v/>
      </c>
      <c r="C1107">
        <f>IF(1104&gt;$B$1503,"",MATCH(1104-0.5,$B$3:$B$1503,1))</f>
        <v/>
      </c>
      <c r="D1107">
        <f>"In-service hours due – "&amp;IF(LEN(INDEX('Aides'!$A$4:$A$503,104))=0,"",INDEX('Aides'!$A$4:$A$503,104))</f>
        <v/>
      </c>
      <c r="E1107">
        <f>IF(ISNUMBER(INDEX('Aides'!$O$4:$O$503,104)),TEXT(INDEX('Aides'!$O$4:$O$503,104),"yyyy-mm-dd"),"")</f>
        <v/>
      </c>
      <c r="F1107">
        <f>"Training"</f>
        <v/>
      </c>
      <c r="G1107">
        <f>"Medium"</f>
        <v/>
      </c>
      <c r="H1107">
        <f>TRIM(IF(LEN(IF(LEN(INDEX('Aides'!$P$4:$P$503,104))=0,"",INDEX('Aides'!$P$4:$P$503,104)))=0,"","Hours done: "&amp;IF(LEN(INDEX('Aides'!$P$4:$P$503,104))=0,"",INDEX('Aides'!$P$4:$P$503,104))&amp;". ")&amp;IF(LEN(IF(LEN(INDEX('Aides'!$Q$4:$Q$503,104))=0,"",INDEX('Aides'!$Q$4:$Q$503,104)))=0,"","Target: "&amp;IF(LEN(INDEX('Aides'!$Q$4:$Q$503,104))=0,"",INDEX('Aides'!$Q$4:$Q$503,104))&amp;". ")&amp;IF(LEN(IF(LEN(INDEX('Aides'!$R$4:$R$503,104))=0,"",INDEX('Aides'!$R$4:$R$503,104)))=0,"","Hours still needed: "&amp;IF(LEN(INDEX('Aides'!$R$4:$R$503,104))=0,"",INDEX('Aides'!$R$4:$R$503,104))&amp;". ")&amp;IF(LEN(IF(LEN(INDEX('Aides'!$U$4:$U$503,104))=0,"",INDEX('Aides'!$U$4:$U$503,104)))=0,"","Owner: "&amp;IF(LEN(INDEX('Aides'!$U$4:$U$503,104))=0,"",INDEX('Aides'!$U$4:$U$503,104))&amp;". "))</f>
        <v/>
      </c>
      <c r="I1107">
        <f>""</f>
        <v/>
      </c>
      <c r="J1107">
        <f>IF(LEN(INDEX('Aides'!$V$4:$V$503,104))=0,"",INDEX('Aides'!$V$4:$V$503,104))</f>
        <v/>
      </c>
    </row>
    <row r="1108">
      <c r="A1108">
        <f>IF(AND(LEN('Aides'!A108)&gt;0,ISNUMBER('Aides'!O108)),1,0)</f>
        <v/>
      </c>
      <c r="B1108">
        <f>B1107+A1108</f>
        <v/>
      </c>
      <c r="C1108">
        <f>IF(1105&gt;$B$1503,"",MATCH(1105-0.5,$B$3:$B$1503,1))</f>
        <v/>
      </c>
      <c r="D1108">
        <f>"In-service hours due – "&amp;IF(LEN(INDEX('Aides'!$A$4:$A$503,105))=0,"",INDEX('Aides'!$A$4:$A$503,105))</f>
        <v/>
      </c>
      <c r="E1108">
        <f>IF(ISNUMBER(INDEX('Aides'!$O$4:$O$503,105)),TEXT(INDEX('Aides'!$O$4:$O$503,105),"yyyy-mm-dd"),"")</f>
        <v/>
      </c>
      <c r="F1108">
        <f>"Training"</f>
        <v/>
      </c>
      <c r="G1108">
        <f>"Medium"</f>
        <v/>
      </c>
      <c r="H1108">
        <f>TRIM(IF(LEN(IF(LEN(INDEX('Aides'!$P$4:$P$503,105))=0,"",INDEX('Aides'!$P$4:$P$503,105)))=0,"","Hours done: "&amp;IF(LEN(INDEX('Aides'!$P$4:$P$503,105))=0,"",INDEX('Aides'!$P$4:$P$503,105))&amp;". ")&amp;IF(LEN(IF(LEN(INDEX('Aides'!$Q$4:$Q$503,105))=0,"",INDEX('Aides'!$Q$4:$Q$503,105)))=0,"","Target: "&amp;IF(LEN(INDEX('Aides'!$Q$4:$Q$503,105))=0,"",INDEX('Aides'!$Q$4:$Q$503,105))&amp;". ")&amp;IF(LEN(IF(LEN(INDEX('Aides'!$R$4:$R$503,105))=0,"",INDEX('Aides'!$R$4:$R$503,105)))=0,"","Hours still needed: "&amp;IF(LEN(INDEX('Aides'!$R$4:$R$503,105))=0,"",INDEX('Aides'!$R$4:$R$503,105))&amp;". ")&amp;IF(LEN(IF(LEN(INDEX('Aides'!$U$4:$U$503,105))=0,"",INDEX('Aides'!$U$4:$U$503,105)))=0,"","Owner: "&amp;IF(LEN(INDEX('Aides'!$U$4:$U$503,105))=0,"",INDEX('Aides'!$U$4:$U$503,105))&amp;". "))</f>
        <v/>
      </c>
      <c r="I1108">
        <f>""</f>
        <v/>
      </c>
      <c r="J1108">
        <f>IF(LEN(INDEX('Aides'!$V$4:$V$503,105))=0,"",INDEX('Aides'!$V$4:$V$503,105))</f>
        <v/>
      </c>
    </row>
    <row r="1109">
      <c r="A1109">
        <f>IF(AND(LEN('Aides'!A109)&gt;0,ISNUMBER('Aides'!O109)),1,0)</f>
        <v/>
      </c>
      <c r="B1109">
        <f>B1108+A1109</f>
        <v/>
      </c>
      <c r="C1109">
        <f>IF(1106&gt;$B$1503,"",MATCH(1106-0.5,$B$3:$B$1503,1))</f>
        <v/>
      </c>
      <c r="D1109">
        <f>"In-service hours due – "&amp;IF(LEN(INDEX('Aides'!$A$4:$A$503,106))=0,"",INDEX('Aides'!$A$4:$A$503,106))</f>
        <v/>
      </c>
      <c r="E1109">
        <f>IF(ISNUMBER(INDEX('Aides'!$O$4:$O$503,106)),TEXT(INDEX('Aides'!$O$4:$O$503,106),"yyyy-mm-dd"),"")</f>
        <v/>
      </c>
      <c r="F1109">
        <f>"Training"</f>
        <v/>
      </c>
      <c r="G1109">
        <f>"Medium"</f>
        <v/>
      </c>
      <c r="H1109">
        <f>TRIM(IF(LEN(IF(LEN(INDEX('Aides'!$P$4:$P$503,106))=0,"",INDEX('Aides'!$P$4:$P$503,106)))=0,"","Hours done: "&amp;IF(LEN(INDEX('Aides'!$P$4:$P$503,106))=0,"",INDEX('Aides'!$P$4:$P$503,106))&amp;". ")&amp;IF(LEN(IF(LEN(INDEX('Aides'!$Q$4:$Q$503,106))=0,"",INDEX('Aides'!$Q$4:$Q$503,106)))=0,"","Target: "&amp;IF(LEN(INDEX('Aides'!$Q$4:$Q$503,106))=0,"",INDEX('Aides'!$Q$4:$Q$503,106))&amp;". ")&amp;IF(LEN(IF(LEN(INDEX('Aides'!$R$4:$R$503,106))=0,"",INDEX('Aides'!$R$4:$R$503,106)))=0,"","Hours still needed: "&amp;IF(LEN(INDEX('Aides'!$R$4:$R$503,106))=0,"",INDEX('Aides'!$R$4:$R$503,106))&amp;". ")&amp;IF(LEN(IF(LEN(INDEX('Aides'!$U$4:$U$503,106))=0,"",INDEX('Aides'!$U$4:$U$503,106)))=0,"","Owner: "&amp;IF(LEN(INDEX('Aides'!$U$4:$U$503,106))=0,"",INDEX('Aides'!$U$4:$U$503,106))&amp;". "))</f>
        <v/>
      </c>
      <c r="I1109">
        <f>""</f>
        <v/>
      </c>
      <c r="J1109">
        <f>IF(LEN(INDEX('Aides'!$V$4:$V$503,106))=0,"",INDEX('Aides'!$V$4:$V$503,106))</f>
        <v/>
      </c>
    </row>
    <row r="1110">
      <c r="A1110">
        <f>IF(AND(LEN('Aides'!A110)&gt;0,ISNUMBER('Aides'!O110)),1,0)</f>
        <v/>
      </c>
      <c r="B1110">
        <f>B1109+A1110</f>
        <v/>
      </c>
      <c r="C1110">
        <f>IF(1107&gt;$B$1503,"",MATCH(1107-0.5,$B$3:$B$1503,1))</f>
        <v/>
      </c>
      <c r="D1110">
        <f>"In-service hours due – "&amp;IF(LEN(INDEX('Aides'!$A$4:$A$503,107))=0,"",INDEX('Aides'!$A$4:$A$503,107))</f>
        <v/>
      </c>
      <c r="E1110">
        <f>IF(ISNUMBER(INDEX('Aides'!$O$4:$O$503,107)),TEXT(INDEX('Aides'!$O$4:$O$503,107),"yyyy-mm-dd"),"")</f>
        <v/>
      </c>
      <c r="F1110">
        <f>"Training"</f>
        <v/>
      </c>
      <c r="G1110">
        <f>"Medium"</f>
        <v/>
      </c>
      <c r="H1110">
        <f>TRIM(IF(LEN(IF(LEN(INDEX('Aides'!$P$4:$P$503,107))=0,"",INDEX('Aides'!$P$4:$P$503,107)))=0,"","Hours done: "&amp;IF(LEN(INDEX('Aides'!$P$4:$P$503,107))=0,"",INDEX('Aides'!$P$4:$P$503,107))&amp;". ")&amp;IF(LEN(IF(LEN(INDEX('Aides'!$Q$4:$Q$503,107))=0,"",INDEX('Aides'!$Q$4:$Q$503,107)))=0,"","Target: "&amp;IF(LEN(INDEX('Aides'!$Q$4:$Q$503,107))=0,"",INDEX('Aides'!$Q$4:$Q$503,107))&amp;". ")&amp;IF(LEN(IF(LEN(INDEX('Aides'!$R$4:$R$503,107))=0,"",INDEX('Aides'!$R$4:$R$503,107)))=0,"","Hours still needed: "&amp;IF(LEN(INDEX('Aides'!$R$4:$R$503,107))=0,"",INDEX('Aides'!$R$4:$R$503,107))&amp;". ")&amp;IF(LEN(IF(LEN(INDEX('Aides'!$U$4:$U$503,107))=0,"",INDEX('Aides'!$U$4:$U$503,107)))=0,"","Owner: "&amp;IF(LEN(INDEX('Aides'!$U$4:$U$503,107))=0,"",INDEX('Aides'!$U$4:$U$503,107))&amp;". "))</f>
        <v/>
      </c>
      <c r="I1110">
        <f>""</f>
        <v/>
      </c>
      <c r="J1110">
        <f>IF(LEN(INDEX('Aides'!$V$4:$V$503,107))=0,"",INDEX('Aides'!$V$4:$V$503,107))</f>
        <v/>
      </c>
    </row>
    <row r="1111">
      <c r="A1111">
        <f>IF(AND(LEN('Aides'!A111)&gt;0,ISNUMBER('Aides'!O111)),1,0)</f>
        <v/>
      </c>
      <c r="B1111">
        <f>B1110+A1111</f>
        <v/>
      </c>
      <c r="C1111">
        <f>IF(1108&gt;$B$1503,"",MATCH(1108-0.5,$B$3:$B$1503,1))</f>
        <v/>
      </c>
      <c r="D1111">
        <f>"In-service hours due – "&amp;IF(LEN(INDEX('Aides'!$A$4:$A$503,108))=0,"",INDEX('Aides'!$A$4:$A$503,108))</f>
        <v/>
      </c>
      <c r="E1111">
        <f>IF(ISNUMBER(INDEX('Aides'!$O$4:$O$503,108)),TEXT(INDEX('Aides'!$O$4:$O$503,108),"yyyy-mm-dd"),"")</f>
        <v/>
      </c>
      <c r="F1111">
        <f>"Training"</f>
        <v/>
      </c>
      <c r="G1111">
        <f>"Medium"</f>
        <v/>
      </c>
      <c r="H1111">
        <f>TRIM(IF(LEN(IF(LEN(INDEX('Aides'!$P$4:$P$503,108))=0,"",INDEX('Aides'!$P$4:$P$503,108)))=0,"","Hours done: "&amp;IF(LEN(INDEX('Aides'!$P$4:$P$503,108))=0,"",INDEX('Aides'!$P$4:$P$503,108))&amp;". ")&amp;IF(LEN(IF(LEN(INDEX('Aides'!$Q$4:$Q$503,108))=0,"",INDEX('Aides'!$Q$4:$Q$503,108)))=0,"","Target: "&amp;IF(LEN(INDEX('Aides'!$Q$4:$Q$503,108))=0,"",INDEX('Aides'!$Q$4:$Q$503,108))&amp;". ")&amp;IF(LEN(IF(LEN(INDEX('Aides'!$R$4:$R$503,108))=0,"",INDEX('Aides'!$R$4:$R$503,108)))=0,"","Hours still needed: "&amp;IF(LEN(INDEX('Aides'!$R$4:$R$503,108))=0,"",INDEX('Aides'!$R$4:$R$503,108))&amp;". ")&amp;IF(LEN(IF(LEN(INDEX('Aides'!$U$4:$U$503,108))=0,"",INDEX('Aides'!$U$4:$U$503,108)))=0,"","Owner: "&amp;IF(LEN(INDEX('Aides'!$U$4:$U$503,108))=0,"",INDEX('Aides'!$U$4:$U$503,108))&amp;". "))</f>
        <v/>
      </c>
      <c r="I1111">
        <f>""</f>
        <v/>
      </c>
      <c r="J1111">
        <f>IF(LEN(INDEX('Aides'!$V$4:$V$503,108))=0,"",INDEX('Aides'!$V$4:$V$503,108))</f>
        <v/>
      </c>
    </row>
    <row r="1112">
      <c r="A1112">
        <f>IF(AND(LEN('Aides'!A112)&gt;0,ISNUMBER('Aides'!O112)),1,0)</f>
        <v/>
      </c>
      <c r="B1112">
        <f>B1111+A1112</f>
        <v/>
      </c>
      <c r="C1112">
        <f>IF(1109&gt;$B$1503,"",MATCH(1109-0.5,$B$3:$B$1503,1))</f>
        <v/>
      </c>
      <c r="D1112">
        <f>"In-service hours due – "&amp;IF(LEN(INDEX('Aides'!$A$4:$A$503,109))=0,"",INDEX('Aides'!$A$4:$A$503,109))</f>
        <v/>
      </c>
      <c r="E1112">
        <f>IF(ISNUMBER(INDEX('Aides'!$O$4:$O$503,109)),TEXT(INDEX('Aides'!$O$4:$O$503,109),"yyyy-mm-dd"),"")</f>
        <v/>
      </c>
      <c r="F1112">
        <f>"Training"</f>
        <v/>
      </c>
      <c r="G1112">
        <f>"Medium"</f>
        <v/>
      </c>
      <c r="H1112">
        <f>TRIM(IF(LEN(IF(LEN(INDEX('Aides'!$P$4:$P$503,109))=0,"",INDEX('Aides'!$P$4:$P$503,109)))=0,"","Hours done: "&amp;IF(LEN(INDEX('Aides'!$P$4:$P$503,109))=0,"",INDEX('Aides'!$P$4:$P$503,109))&amp;". ")&amp;IF(LEN(IF(LEN(INDEX('Aides'!$Q$4:$Q$503,109))=0,"",INDEX('Aides'!$Q$4:$Q$503,109)))=0,"","Target: "&amp;IF(LEN(INDEX('Aides'!$Q$4:$Q$503,109))=0,"",INDEX('Aides'!$Q$4:$Q$503,109))&amp;". ")&amp;IF(LEN(IF(LEN(INDEX('Aides'!$R$4:$R$503,109))=0,"",INDEX('Aides'!$R$4:$R$503,109)))=0,"","Hours still needed: "&amp;IF(LEN(INDEX('Aides'!$R$4:$R$503,109))=0,"",INDEX('Aides'!$R$4:$R$503,109))&amp;". ")&amp;IF(LEN(IF(LEN(INDEX('Aides'!$U$4:$U$503,109))=0,"",INDEX('Aides'!$U$4:$U$503,109)))=0,"","Owner: "&amp;IF(LEN(INDEX('Aides'!$U$4:$U$503,109))=0,"",INDEX('Aides'!$U$4:$U$503,109))&amp;". "))</f>
        <v/>
      </c>
      <c r="I1112">
        <f>""</f>
        <v/>
      </c>
      <c r="J1112">
        <f>IF(LEN(INDEX('Aides'!$V$4:$V$503,109))=0,"",INDEX('Aides'!$V$4:$V$503,109))</f>
        <v/>
      </c>
    </row>
    <row r="1113">
      <c r="A1113">
        <f>IF(AND(LEN('Aides'!A113)&gt;0,ISNUMBER('Aides'!O113)),1,0)</f>
        <v/>
      </c>
      <c r="B1113">
        <f>B1112+A1113</f>
        <v/>
      </c>
      <c r="C1113">
        <f>IF(1110&gt;$B$1503,"",MATCH(1110-0.5,$B$3:$B$1503,1))</f>
        <v/>
      </c>
      <c r="D1113">
        <f>"In-service hours due – "&amp;IF(LEN(INDEX('Aides'!$A$4:$A$503,110))=0,"",INDEX('Aides'!$A$4:$A$503,110))</f>
        <v/>
      </c>
      <c r="E1113">
        <f>IF(ISNUMBER(INDEX('Aides'!$O$4:$O$503,110)),TEXT(INDEX('Aides'!$O$4:$O$503,110),"yyyy-mm-dd"),"")</f>
        <v/>
      </c>
      <c r="F1113">
        <f>"Training"</f>
        <v/>
      </c>
      <c r="G1113">
        <f>"Medium"</f>
        <v/>
      </c>
      <c r="H1113">
        <f>TRIM(IF(LEN(IF(LEN(INDEX('Aides'!$P$4:$P$503,110))=0,"",INDEX('Aides'!$P$4:$P$503,110)))=0,"","Hours done: "&amp;IF(LEN(INDEX('Aides'!$P$4:$P$503,110))=0,"",INDEX('Aides'!$P$4:$P$503,110))&amp;". ")&amp;IF(LEN(IF(LEN(INDEX('Aides'!$Q$4:$Q$503,110))=0,"",INDEX('Aides'!$Q$4:$Q$503,110)))=0,"","Target: "&amp;IF(LEN(INDEX('Aides'!$Q$4:$Q$503,110))=0,"",INDEX('Aides'!$Q$4:$Q$503,110))&amp;". ")&amp;IF(LEN(IF(LEN(INDEX('Aides'!$R$4:$R$503,110))=0,"",INDEX('Aides'!$R$4:$R$503,110)))=0,"","Hours still needed: "&amp;IF(LEN(INDEX('Aides'!$R$4:$R$503,110))=0,"",INDEX('Aides'!$R$4:$R$503,110))&amp;". ")&amp;IF(LEN(IF(LEN(INDEX('Aides'!$U$4:$U$503,110))=0,"",INDEX('Aides'!$U$4:$U$503,110)))=0,"","Owner: "&amp;IF(LEN(INDEX('Aides'!$U$4:$U$503,110))=0,"",INDEX('Aides'!$U$4:$U$503,110))&amp;". "))</f>
        <v/>
      </c>
      <c r="I1113">
        <f>""</f>
        <v/>
      </c>
      <c r="J1113">
        <f>IF(LEN(INDEX('Aides'!$V$4:$V$503,110))=0,"",INDEX('Aides'!$V$4:$V$503,110))</f>
        <v/>
      </c>
    </row>
    <row r="1114">
      <c r="A1114">
        <f>IF(AND(LEN('Aides'!A114)&gt;0,ISNUMBER('Aides'!O114)),1,0)</f>
        <v/>
      </c>
      <c r="B1114">
        <f>B1113+A1114</f>
        <v/>
      </c>
      <c r="C1114">
        <f>IF(1111&gt;$B$1503,"",MATCH(1111-0.5,$B$3:$B$1503,1))</f>
        <v/>
      </c>
      <c r="D1114">
        <f>"In-service hours due – "&amp;IF(LEN(INDEX('Aides'!$A$4:$A$503,111))=0,"",INDEX('Aides'!$A$4:$A$503,111))</f>
        <v/>
      </c>
      <c r="E1114">
        <f>IF(ISNUMBER(INDEX('Aides'!$O$4:$O$503,111)),TEXT(INDEX('Aides'!$O$4:$O$503,111),"yyyy-mm-dd"),"")</f>
        <v/>
      </c>
      <c r="F1114">
        <f>"Training"</f>
        <v/>
      </c>
      <c r="G1114">
        <f>"Medium"</f>
        <v/>
      </c>
      <c r="H1114">
        <f>TRIM(IF(LEN(IF(LEN(INDEX('Aides'!$P$4:$P$503,111))=0,"",INDEX('Aides'!$P$4:$P$503,111)))=0,"","Hours done: "&amp;IF(LEN(INDEX('Aides'!$P$4:$P$503,111))=0,"",INDEX('Aides'!$P$4:$P$503,111))&amp;". ")&amp;IF(LEN(IF(LEN(INDEX('Aides'!$Q$4:$Q$503,111))=0,"",INDEX('Aides'!$Q$4:$Q$503,111)))=0,"","Target: "&amp;IF(LEN(INDEX('Aides'!$Q$4:$Q$503,111))=0,"",INDEX('Aides'!$Q$4:$Q$503,111))&amp;". ")&amp;IF(LEN(IF(LEN(INDEX('Aides'!$R$4:$R$503,111))=0,"",INDEX('Aides'!$R$4:$R$503,111)))=0,"","Hours still needed: "&amp;IF(LEN(INDEX('Aides'!$R$4:$R$503,111))=0,"",INDEX('Aides'!$R$4:$R$503,111))&amp;". ")&amp;IF(LEN(IF(LEN(INDEX('Aides'!$U$4:$U$503,111))=0,"",INDEX('Aides'!$U$4:$U$503,111)))=0,"","Owner: "&amp;IF(LEN(INDEX('Aides'!$U$4:$U$503,111))=0,"",INDEX('Aides'!$U$4:$U$503,111))&amp;". "))</f>
        <v/>
      </c>
      <c r="I1114">
        <f>""</f>
        <v/>
      </c>
      <c r="J1114">
        <f>IF(LEN(INDEX('Aides'!$V$4:$V$503,111))=0,"",INDEX('Aides'!$V$4:$V$503,111))</f>
        <v/>
      </c>
    </row>
    <row r="1115">
      <c r="A1115">
        <f>IF(AND(LEN('Aides'!A115)&gt;0,ISNUMBER('Aides'!O115)),1,0)</f>
        <v/>
      </c>
      <c r="B1115">
        <f>B1114+A1115</f>
        <v/>
      </c>
      <c r="C1115">
        <f>IF(1112&gt;$B$1503,"",MATCH(1112-0.5,$B$3:$B$1503,1))</f>
        <v/>
      </c>
      <c r="D1115">
        <f>"In-service hours due – "&amp;IF(LEN(INDEX('Aides'!$A$4:$A$503,112))=0,"",INDEX('Aides'!$A$4:$A$503,112))</f>
        <v/>
      </c>
      <c r="E1115">
        <f>IF(ISNUMBER(INDEX('Aides'!$O$4:$O$503,112)),TEXT(INDEX('Aides'!$O$4:$O$503,112),"yyyy-mm-dd"),"")</f>
        <v/>
      </c>
      <c r="F1115">
        <f>"Training"</f>
        <v/>
      </c>
      <c r="G1115">
        <f>"Medium"</f>
        <v/>
      </c>
      <c r="H1115">
        <f>TRIM(IF(LEN(IF(LEN(INDEX('Aides'!$P$4:$P$503,112))=0,"",INDEX('Aides'!$P$4:$P$503,112)))=0,"","Hours done: "&amp;IF(LEN(INDEX('Aides'!$P$4:$P$503,112))=0,"",INDEX('Aides'!$P$4:$P$503,112))&amp;". ")&amp;IF(LEN(IF(LEN(INDEX('Aides'!$Q$4:$Q$503,112))=0,"",INDEX('Aides'!$Q$4:$Q$503,112)))=0,"","Target: "&amp;IF(LEN(INDEX('Aides'!$Q$4:$Q$503,112))=0,"",INDEX('Aides'!$Q$4:$Q$503,112))&amp;". ")&amp;IF(LEN(IF(LEN(INDEX('Aides'!$R$4:$R$503,112))=0,"",INDEX('Aides'!$R$4:$R$503,112)))=0,"","Hours still needed: "&amp;IF(LEN(INDEX('Aides'!$R$4:$R$503,112))=0,"",INDEX('Aides'!$R$4:$R$503,112))&amp;". ")&amp;IF(LEN(IF(LEN(INDEX('Aides'!$U$4:$U$503,112))=0,"",INDEX('Aides'!$U$4:$U$503,112)))=0,"","Owner: "&amp;IF(LEN(INDEX('Aides'!$U$4:$U$503,112))=0,"",INDEX('Aides'!$U$4:$U$503,112))&amp;". "))</f>
        <v/>
      </c>
      <c r="I1115">
        <f>""</f>
        <v/>
      </c>
      <c r="J1115">
        <f>IF(LEN(INDEX('Aides'!$V$4:$V$503,112))=0,"",INDEX('Aides'!$V$4:$V$503,112))</f>
        <v/>
      </c>
    </row>
    <row r="1116">
      <c r="A1116">
        <f>IF(AND(LEN('Aides'!A116)&gt;0,ISNUMBER('Aides'!O116)),1,0)</f>
        <v/>
      </c>
      <c r="B1116">
        <f>B1115+A1116</f>
        <v/>
      </c>
      <c r="C1116">
        <f>IF(1113&gt;$B$1503,"",MATCH(1113-0.5,$B$3:$B$1503,1))</f>
        <v/>
      </c>
      <c r="D1116">
        <f>"In-service hours due – "&amp;IF(LEN(INDEX('Aides'!$A$4:$A$503,113))=0,"",INDEX('Aides'!$A$4:$A$503,113))</f>
        <v/>
      </c>
      <c r="E1116">
        <f>IF(ISNUMBER(INDEX('Aides'!$O$4:$O$503,113)),TEXT(INDEX('Aides'!$O$4:$O$503,113),"yyyy-mm-dd"),"")</f>
        <v/>
      </c>
      <c r="F1116">
        <f>"Training"</f>
        <v/>
      </c>
      <c r="G1116">
        <f>"Medium"</f>
        <v/>
      </c>
      <c r="H1116">
        <f>TRIM(IF(LEN(IF(LEN(INDEX('Aides'!$P$4:$P$503,113))=0,"",INDEX('Aides'!$P$4:$P$503,113)))=0,"","Hours done: "&amp;IF(LEN(INDEX('Aides'!$P$4:$P$503,113))=0,"",INDEX('Aides'!$P$4:$P$503,113))&amp;". ")&amp;IF(LEN(IF(LEN(INDEX('Aides'!$Q$4:$Q$503,113))=0,"",INDEX('Aides'!$Q$4:$Q$503,113)))=0,"","Target: "&amp;IF(LEN(INDEX('Aides'!$Q$4:$Q$503,113))=0,"",INDEX('Aides'!$Q$4:$Q$503,113))&amp;". ")&amp;IF(LEN(IF(LEN(INDEX('Aides'!$R$4:$R$503,113))=0,"",INDEX('Aides'!$R$4:$R$503,113)))=0,"","Hours still needed: "&amp;IF(LEN(INDEX('Aides'!$R$4:$R$503,113))=0,"",INDEX('Aides'!$R$4:$R$503,113))&amp;". ")&amp;IF(LEN(IF(LEN(INDEX('Aides'!$U$4:$U$503,113))=0,"",INDEX('Aides'!$U$4:$U$503,113)))=0,"","Owner: "&amp;IF(LEN(INDEX('Aides'!$U$4:$U$503,113))=0,"",INDEX('Aides'!$U$4:$U$503,113))&amp;". "))</f>
        <v/>
      </c>
      <c r="I1116">
        <f>""</f>
        <v/>
      </c>
      <c r="J1116">
        <f>IF(LEN(INDEX('Aides'!$V$4:$V$503,113))=0,"",INDEX('Aides'!$V$4:$V$503,113))</f>
        <v/>
      </c>
    </row>
    <row r="1117">
      <c r="A1117">
        <f>IF(AND(LEN('Aides'!A117)&gt;0,ISNUMBER('Aides'!O117)),1,0)</f>
        <v/>
      </c>
      <c r="B1117">
        <f>B1116+A1117</f>
        <v/>
      </c>
      <c r="C1117">
        <f>IF(1114&gt;$B$1503,"",MATCH(1114-0.5,$B$3:$B$1503,1))</f>
        <v/>
      </c>
      <c r="D1117">
        <f>"In-service hours due – "&amp;IF(LEN(INDEX('Aides'!$A$4:$A$503,114))=0,"",INDEX('Aides'!$A$4:$A$503,114))</f>
        <v/>
      </c>
      <c r="E1117">
        <f>IF(ISNUMBER(INDEX('Aides'!$O$4:$O$503,114)),TEXT(INDEX('Aides'!$O$4:$O$503,114),"yyyy-mm-dd"),"")</f>
        <v/>
      </c>
      <c r="F1117">
        <f>"Training"</f>
        <v/>
      </c>
      <c r="G1117">
        <f>"Medium"</f>
        <v/>
      </c>
      <c r="H1117">
        <f>TRIM(IF(LEN(IF(LEN(INDEX('Aides'!$P$4:$P$503,114))=0,"",INDEX('Aides'!$P$4:$P$503,114)))=0,"","Hours done: "&amp;IF(LEN(INDEX('Aides'!$P$4:$P$503,114))=0,"",INDEX('Aides'!$P$4:$P$503,114))&amp;". ")&amp;IF(LEN(IF(LEN(INDEX('Aides'!$Q$4:$Q$503,114))=0,"",INDEX('Aides'!$Q$4:$Q$503,114)))=0,"","Target: "&amp;IF(LEN(INDEX('Aides'!$Q$4:$Q$503,114))=0,"",INDEX('Aides'!$Q$4:$Q$503,114))&amp;". ")&amp;IF(LEN(IF(LEN(INDEX('Aides'!$R$4:$R$503,114))=0,"",INDEX('Aides'!$R$4:$R$503,114)))=0,"","Hours still needed: "&amp;IF(LEN(INDEX('Aides'!$R$4:$R$503,114))=0,"",INDEX('Aides'!$R$4:$R$503,114))&amp;". ")&amp;IF(LEN(IF(LEN(INDEX('Aides'!$U$4:$U$503,114))=0,"",INDEX('Aides'!$U$4:$U$503,114)))=0,"","Owner: "&amp;IF(LEN(INDEX('Aides'!$U$4:$U$503,114))=0,"",INDEX('Aides'!$U$4:$U$503,114))&amp;". "))</f>
        <v/>
      </c>
      <c r="I1117">
        <f>""</f>
        <v/>
      </c>
      <c r="J1117">
        <f>IF(LEN(INDEX('Aides'!$V$4:$V$503,114))=0,"",INDEX('Aides'!$V$4:$V$503,114))</f>
        <v/>
      </c>
    </row>
    <row r="1118">
      <c r="A1118">
        <f>IF(AND(LEN('Aides'!A118)&gt;0,ISNUMBER('Aides'!O118)),1,0)</f>
        <v/>
      </c>
      <c r="B1118">
        <f>B1117+A1118</f>
        <v/>
      </c>
      <c r="C1118">
        <f>IF(1115&gt;$B$1503,"",MATCH(1115-0.5,$B$3:$B$1503,1))</f>
        <v/>
      </c>
      <c r="D1118">
        <f>"In-service hours due – "&amp;IF(LEN(INDEX('Aides'!$A$4:$A$503,115))=0,"",INDEX('Aides'!$A$4:$A$503,115))</f>
        <v/>
      </c>
      <c r="E1118">
        <f>IF(ISNUMBER(INDEX('Aides'!$O$4:$O$503,115)),TEXT(INDEX('Aides'!$O$4:$O$503,115),"yyyy-mm-dd"),"")</f>
        <v/>
      </c>
      <c r="F1118">
        <f>"Training"</f>
        <v/>
      </c>
      <c r="G1118">
        <f>"Medium"</f>
        <v/>
      </c>
      <c r="H1118">
        <f>TRIM(IF(LEN(IF(LEN(INDEX('Aides'!$P$4:$P$503,115))=0,"",INDEX('Aides'!$P$4:$P$503,115)))=0,"","Hours done: "&amp;IF(LEN(INDEX('Aides'!$P$4:$P$503,115))=0,"",INDEX('Aides'!$P$4:$P$503,115))&amp;". ")&amp;IF(LEN(IF(LEN(INDEX('Aides'!$Q$4:$Q$503,115))=0,"",INDEX('Aides'!$Q$4:$Q$503,115)))=0,"","Target: "&amp;IF(LEN(INDEX('Aides'!$Q$4:$Q$503,115))=0,"",INDEX('Aides'!$Q$4:$Q$503,115))&amp;". ")&amp;IF(LEN(IF(LEN(INDEX('Aides'!$R$4:$R$503,115))=0,"",INDEX('Aides'!$R$4:$R$503,115)))=0,"","Hours still needed: "&amp;IF(LEN(INDEX('Aides'!$R$4:$R$503,115))=0,"",INDEX('Aides'!$R$4:$R$503,115))&amp;". ")&amp;IF(LEN(IF(LEN(INDEX('Aides'!$U$4:$U$503,115))=0,"",INDEX('Aides'!$U$4:$U$503,115)))=0,"","Owner: "&amp;IF(LEN(INDEX('Aides'!$U$4:$U$503,115))=0,"",INDEX('Aides'!$U$4:$U$503,115))&amp;". "))</f>
        <v/>
      </c>
      <c r="I1118">
        <f>""</f>
        <v/>
      </c>
      <c r="J1118">
        <f>IF(LEN(INDEX('Aides'!$V$4:$V$503,115))=0,"",INDEX('Aides'!$V$4:$V$503,115))</f>
        <v/>
      </c>
    </row>
    <row r="1119">
      <c r="A1119">
        <f>IF(AND(LEN('Aides'!A119)&gt;0,ISNUMBER('Aides'!O119)),1,0)</f>
        <v/>
      </c>
      <c r="B1119">
        <f>B1118+A1119</f>
        <v/>
      </c>
      <c r="C1119">
        <f>IF(1116&gt;$B$1503,"",MATCH(1116-0.5,$B$3:$B$1503,1))</f>
        <v/>
      </c>
      <c r="D1119">
        <f>"In-service hours due – "&amp;IF(LEN(INDEX('Aides'!$A$4:$A$503,116))=0,"",INDEX('Aides'!$A$4:$A$503,116))</f>
        <v/>
      </c>
      <c r="E1119">
        <f>IF(ISNUMBER(INDEX('Aides'!$O$4:$O$503,116)),TEXT(INDEX('Aides'!$O$4:$O$503,116),"yyyy-mm-dd"),"")</f>
        <v/>
      </c>
      <c r="F1119">
        <f>"Training"</f>
        <v/>
      </c>
      <c r="G1119">
        <f>"Medium"</f>
        <v/>
      </c>
      <c r="H1119">
        <f>TRIM(IF(LEN(IF(LEN(INDEX('Aides'!$P$4:$P$503,116))=0,"",INDEX('Aides'!$P$4:$P$503,116)))=0,"","Hours done: "&amp;IF(LEN(INDEX('Aides'!$P$4:$P$503,116))=0,"",INDEX('Aides'!$P$4:$P$503,116))&amp;". ")&amp;IF(LEN(IF(LEN(INDEX('Aides'!$Q$4:$Q$503,116))=0,"",INDEX('Aides'!$Q$4:$Q$503,116)))=0,"","Target: "&amp;IF(LEN(INDEX('Aides'!$Q$4:$Q$503,116))=0,"",INDEX('Aides'!$Q$4:$Q$503,116))&amp;". ")&amp;IF(LEN(IF(LEN(INDEX('Aides'!$R$4:$R$503,116))=0,"",INDEX('Aides'!$R$4:$R$503,116)))=0,"","Hours still needed: "&amp;IF(LEN(INDEX('Aides'!$R$4:$R$503,116))=0,"",INDEX('Aides'!$R$4:$R$503,116))&amp;". ")&amp;IF(LEN(IF(LEN(INDEX('Aides'!$U$4:$U$503,116))=0,"",INDEX('Aides'!$U$4:$U$503,116)))=0,"","Owner: "&amp;IF(LEN(INDEX('Aides'!$U$4:$U$503,116))=0,"",INDEX('Aides'!$U$4:$U$503,116))&amp;". "))</f>
        <v/>
      </c>
      <c r="I1119">
        <f>""</f>
        <v/>
      </c>
      <c r="J1119">
        <f>IF(LEN(INDEX('Aides'!$V$4:$V$503,116))=0,"",INDEX('Aides'!$V$4:$V$503,116))</f>
        <v/>
      </c>
    </row>
    <row r="1120">
      <c r="A1120">
        <f>IF(AND(LEN('Aides'!A120)&gt;0,ISNUMBER('Aides'!O120)),1,0)</f>
        <v/>
      </c>
      <c r="B1120">
        <f>B1119+A1120</f>
        <v/>
      </c>
      <c r="C1120">
        <f>IF(1117&gt;$B$1503,"",MATCH(1117-0.5,$B$3:$B$1503,1))</f>
        <v/>
      </c>
      <c r="D1120">
        <f>"In-service hours due – "&amp;IF(LEN(INDEX('Aides'!$A$4:$A$503,117))=0,"",INDEX('Aides'!$A$4:$A$503,117))</f>
        <v/>
      </c>
      <c r="E1120">
        <f>IF(ISNUMBER(INDEX('Aides'!$O$4:$O$503,117)),TEXT(INDEX('Aides'!$O$4:$O$503,117),"yyyy-mm-dd"),"")</f>
        <v/>
      </c>
      <c r="F1120">
        <f>"Training"</f>
        <v/>
      </c>
      <c r="G1120">
        <f>"Medium"</f>
        <v/>
      </c>
      <c r="H1120">
        <f>TRIM(IF(LEN(IF(LEN(INDEX('Aides'!$P$4:$P$503,117))=0,"",INDEX('Aides'!$P$4:$P$503,117)))=0,"","Hours done: "&amp;IF(LEN(INDEX('Aides'!$P$4:$P$503,117))=0,"",INDEX('Aides'!$P$4:$P$503,117))&amp;". ")&amp;IF(LEN(IF(LEN(INDEX('Aides'!$Q$4:$Q$503,117))=0,"",INDEX('Aides'!$Q$4:$Q$503,117)))=0,"","Target: "&amp;IF(LEN(INDEX('Aides'!$Q$4:$Q$503,117))=0,"",INDEX('Aides'!$Q$4:$Q$503,117))&amp;". ")&amp;IF(LEN(IF(LEN(INDEX('Aides'!$R$4:$R$503,117))=0,"",INDEX('Aides'!$R$4:$R$503,117)))=0,"","Hours still needed: "&amp;IF(LEN(INDEX('Aides'!$R$4:$R$503,117))=0,"",INDEX('Aides'!$R$4:$R$503,117))&amp;". ")&amp;IF(LEN(IF(LEN(INDEX('Aides'!$U$4:$U$503,117))=0,"",INDEX('Aides'!$U$4:$U$503,117)))=0,"","Owner: "&amp;IF(LEN(INDEX('Aides'!$U$4:$U$503,117))=0,"",INDEX('Aides'!$U$4:$U$503,117))&amp;". "))</f>
        <v/>
      </c>
      <c r="I1120">
        <f>""</f>
        <v/>
      </c>
      <c r="J1120">
        <f>IF(LEN(INDEX('Aides'!$V$4:$V$503,117))=0,"",INDEX('Aides'!$V$4:$V$503,117))</f>
        <v/>
      </c>
    </row>
    <row r="1121">
      <c r="A1121">
        <f>IF(AND(LEN('Aides'!A121)&gt;0,ISNUMBER('Aides'!O121)),1,0)</f>
        <v/>
      </c>
      <c r="B1121">
        <f>B1120+A1121</f>
        <v/>
      </c>
      <c r="C1121">
        <f>IF(1118&gt;$B$1503,"",MATCH(1118-0.5,$B$3:$B$1503,1))</f>
        <v/>
      </c>
      <c r="D1121">
        <f>"In-service hours due – "&amp;IF(LEN(INDEX('Aides'!$A$4:$A$503,118))=0,"",INDEX('Aides'!$A$4:$A$503,118))</f>
        <v/>
      </c>
      <c r="E1121">
        <f>IF(ISNUMBER(INDEX('Aides'!$O$4:$O$503,118)),TEXT(INDEX('Aides'!$O$4:$O$503,118),"yyyy-mm-dd"),"")</f>
        <v/>
      </c>
      <c r="F1121">
        <f>"Training"</f>
        <v/>
      </c>
      <c r="G1121">
        <f>"Medium"</f>
        <v/>
      </c>
      <c r="H1121">
        <f>TRIM(IF(LEN(IF(LEN(INDEX('Aides'!$P$4:$P$503,118))=0,"",INDEX('Aides'!$P$4:$P$503,118)))=0,"","Hours done: "&amp;IF(LEN(INDEX('Aides'!$P$4:$P$503,118))=0,"",INDEX('Aides'!$P$4:$P$503,118))&amp;". ")&amp;IF(LEN(IF(LEN(INDEX('Aides'!$Q$4:$Q$503,118))=0,"",INDEX('Aides'!$Q$4:$Q$503,118)))=0,"","Target: "&amp;IF(LEN(INDEX('Aides'!$Q$4:$Q$503,118))=0,"",INDEX('Aides'!$Q$4:$Q$503,118))&amp;". ")&amp;IF(LEN(IF(LEN(INDEX('Aides'!$R$4:$R$503,118))=0,"",INDEX('Aides'!$R$4:$R$503,118)))=0,"","Hours still needed: "&amp;IF(LEN(INDEX('Aides'!$R$4:$R$503,118))=0,"",INDEX('Aides'!$R$4:$R$503,118))&amp;". ")&amp;IF(LEN(IF(LEN(INDEX('Aides'!$U$4:$U$503,118))=0,"",INDEX('Aides'!$U$4:$U$503,118)))=0,"","Owner: "&amp;IF(LEN(INDEX('Aides'!$U$4:$U$503,118))=0,"",INDEX('Aides'!$U$4:$U$503,118))&amp;". "))</f>
        <v/>
      </c>
      <c r="I1121">
        <f>""</f>
        <v/>
      </c>
      <c r="J1121">
        <f>IF(LEN(INDEX('Aides'!$V$4:$V$503,118))=0,"",INDEX('Aides'!$V$4:$V$503,118))</f>
        <v/>
      </c>
    </row>
    <row r="1122">
      <c r="A1122">
        <f>IF(AND(LEN('Aides'!A122)&gt;0,ISNUMBER('Aides'!O122)),1,0)</f>
        <v/>
      </c>
      <c r="B1122">
        <f>B1121+A1122</f>
        <v/>
      </c>
      <c r="C1122">
        <f>IF(1119&gt;$B$1503,"",MATCH(1119-0.5,$B$3:$B$1503,1))</f>
        <v/>
      </c>
      <c r="D1122">
        <f>"In-service hours due – "&amp;IF(LEN(INDEX('Aides'!$A$4:$A$503,119))=0,"",INDEX('Aides'!$A$4:$A$503,119))</f>
        <v/>
      </c>
      <c r="E1122">
        <f>IF(ISNUMBER(INDEX('Aides'!$O$4:$O$503,119)),TEXT(INDEX('Aides'!$O$4:$O$503,119),"yyyy-mm-dd"),"")</f>
        <v/>
      </c>
      <c r="F1122">
        <f>"Training"</f>
        <v/>
      </c>
      <c r="G1122">
        <f>"Medium"</f>
        <v/>
      </c>
      <c r="H1122">
        <f>TRIM(IF(LEN(IF(LEN(INDEX('Aides'!$P$4:$P$503,119))=0,"",INDEX('Aides'!$P$4:$P$503,119)))=0,"","Hours done: "&amp;IF(LEN(INDEX('Aides'!$P$4:$P$503,119))=0,"",INDEX('Aides'!$P$4:$P$503,119))&amp;". ")&amp;IF(LEN(IF(LEN(INDEX('Aides'!$Q$4:$Q$503,119))=0,"",INDEX('Aides'!$Q$4:$Q$503,119)))=0,"","Target: "&amp;IF(LEN(INDEX('Aides'!$Q$4:$Q$503,119))=0,"",INDEX('Aides'!$Q$4:$Q$503,119))&amp;". ")&amp;IF(LEN(IF(LEN(INDEX('Aides'!$R$4:$R$503,119))=0,"",INDEX('Aides'!$R$4:$R$503,119)))=0,"","Hours still needed: "&amp;IF(LEN(INDEX('Aides'!$R$4:$R$503,119))=0,"",INDEX('Aides'!$R$4:$R$503,119))&amp;". ")&amp;IF(LEN(IF(LEN(INDEX('Aides'!$U$4:$U$503,119))=0,"",INDEX('Aides'!$U$4:$U$503,119)))=0,"","Owner: "&amp;IF(LEN(INDEX('Aides'!$U$4:$U$503,119))=0,"",INDEX('Aides'!$U$4:$U$503,119))&amp;". "))</f>
        <v/>
      </c>
      <c r="I1122">
        <f>""</f>
        <v/>
      </c>
      <c r="J1122">
        <f>IF(LEN(INDEX('Aides'!$V$4:$V$503,119))=0,"",INDEX('Aides'!$V$4:$V$503,119))</f>
        <v/>
      </c>
    </row>
    <row r="1123">
      <c r="A1123">
        <f>IF(AND(LEN('Aides'!A123)&gt;0,ISNUMBER('Aides'!O123)),1,0)</f>
        <v/>
      </c>
      <c r="B1123">
        <f>B1122+A1123</f>
        <v/>
      </c>
      <c r="C1123">
        <f>IF(1120&gt;$B$1503,"",MATCH(1120-0.5,$B$3:$B$1503,1))</f>
        <v/>
      </c>
      <c r="D1123">
        <f>"In-service hours due – "&amp;IF(LEN(INDEX('Aides'!$A$4:$A$503,120))=0,"",INDEX('Aides'!$A$4:$A$503,120))</f>
        <v/>
      </c>
      <c r="E1123">
        <f>IF(ISNUMBER(INDEX('Aides'!$O$4:$O$503,120)),TEXT(INDEX('Aides'!$O$4:$O$503,120),"yyyy-mm-dd"),"")</f>
        <v/>
      </c>
      <c r="F1123">
        <f>"Training"</f>
        <v/>
      </c>
      <c r="G1123">
        <f>"Medium"</f>
        <v/>
      </c>
      <c r="H1123">
        <f>TRIM(IF(LEN(IF(LEN(INDEX('Aides'!$P$4:$P$503,120))=0,"",INDEX('Aides'!$P$4:$P$503,120)))=0,"","Hours done: "&amp;IF(LEN(INDEX('Aides'!$P$4:$P$503,120))=0,"",INDEX('Aides'!$P$4:$P$503,120))&amp;". ")&amp;IF(LEN(IF(LEN(INDEX('Aides'!$Q$4:$Q$503,120))=0,"",INDEX('Aides'!$Q$4:$Q$503,120)))=0,"","Target: "&amp;IF(LEN(INDEX('Aides'!$Q$4:$Q$503,120))=0,"",INDEX('Aides'!$Q$4:$Q$503,120))&amp;". ")&amp;IF(LEN(IF(LEN(INDEX('Aides'!$R$4:$R$503,120))=0,"",INDEX('Aides'!$R$4:$R$503,120)))=0,"","Hours still needed: "&amp;IF(LEN(INDEX('Aides'!$R$4:$R$503,120))=0,"",INDEX('Aides'!$R$4:$R$503,120))&amp;". ")&amp;IF(LEN(IF(LEN(INDEX('Aides'!$U$4:$U$503,120))=0,"",INDEX('Aides'!$U$4:$U$503,120)))=0,"","Owner: "&amp;IF(LEN(INDEX('Aides'!$U$4:$U$503,120))=0,"",INDEX('Aides'!$U$4:$U$503,120))&amp;". "))</f>
        <v/>
      </c>
      <c r="I1123">
        <f>""</f>
        <v/>
      </c>
      <c r="J1123">
        <f>IF(LEN(INDEX('Aides'!$V$4:$V$503,120))=0,"",INDEX('Aides'!$V$4:$V$503,120))</f>
        <v/>
      </c>
    </row>
    <row r="1124">
      <c r="A1124">
        <f>IF(AND(LEN('Aides'!A124)&gt;0,ISNUMBER('Aides'!O124)),1,0)</f>
        <v/>
      </c>
      <c r="B1124">
        <f>B1123+A1124</f>
        <v/>
      </c>
      <c r="C1124">
        <f>IF(1121&gt;$B$1503,"",MATCH(1121-0.5,$B$3:$B$1503,1))</f>
        <v/>
      </c>
      <c r="D1124">
        <f>"In-service hours due – "&amp;IF(LEN(INDEX('Aides'!$A$4:$A$503,121))=0,"",INDEX('Aides'!$A$4:$A$503,121))</f>
        <v/>
      </c>
      <c r="E1124">
        <f>IF(ISNUMBER(INDEX('Aides'!$O$4:$O$503,121)),TEXT(INDEX('Aides'!$O$4:$O$503,121),"yyyy-mm-dd"),"")</f>
        <v/>
      </c>
      <c r="F1124">
        <f>"Training"</f>
        <v/>
      </c>
      <c r="G1124">
        <f>"Medium"</f>
        <v/>
      </c>
      <c r="H1124">
        <f>TRIM(IF(LEN(IF(LEN(INDEX('Aides'!$P$4:$P$503,121))=0,"",INDEX('Aides'!$P$4:$P$503,121)))=0,"","Hours done: "&amp;IF(LEN(INDEX('Aides'!$P$4:$P$503,121))=0,"",INDEX('Aides'!$P$4:$P$503,121))&amp;". ")&amp;IF(LEN(IF(LEN(INDEX('Aides'!$Q$4:$Q$503,121))=0,"",INDEX('Aides'!$Q$4:$Q$503,121)))=0,"","Target: "&amp;IF(LEN(INDEX('Aides'!$Q$4:$Q$503,121))=0,"",INDEX('Aides'!$Q$4:$Q$503,121))&amp;". ")&amp;IF(LEN(IF(LEN(INDEX('Aides'!$R$4:$R$503,121))=0,"",INDEX('Aides'!$R$4:$R$503,121)))=0,"","Hours still needed: "&amp;IF(LEN(INDEX('Aides'!$R$4:$R$503,121))=0,"",INDEX('Aides'!$R$4:$R$503,121))&amp;". ")&amp;IF(LEN(IF(LEN(INDEX('Aides'!$U$4:$U$503,121))=0,"",INDEX('Aides'!$U$4:$U$503,121)))=0,"","Owner: "&amp;IF(LEN(INDEX('Aides'!$U$4:$U$503,121))=0,"",INDEX('Aides'!$U$4:$U$503,121))&amp;". "))</f>
        <v/>
      </c>
      <c r="I1124">
        <f>""</f>
        <v/>
      </c>
      <c r="J1124">
        <f>IF(LEN(INDEX('Aides'!$V$4:$V$503,121))=0,"",INDEX('Aides'!$V$4:$V$503,121))</f>
        <v/>
      </c>
    </row>
    <row r="1125">
      <c r="A1125">
        <f>IF(AND(LEN('Aides'!A125)&gt;0,ISNUMBER('Aides'!O125)),1,0)</f>
        <v/>
      </c>
      <c r="B1125">
        <f>B1124+A1125</f>
        <v/>
      </c>
      <c r="C1125">
        <f>IF(1122&gt;$B$1503,"",MATCH(1122-0.5,$B$3:$B$1503,1))</f>
        <v/>
      </c>
      <c r="D1125">
        <f>"In-service hours due – "&amp;IF(LEN(INDEX('Aides'!$A$4:$A$503,122))=0,"",INDEX('Aides'!$A$4:$A$503,122))</f>
        <v/>
      </c>
      <c r="E1125">
        <f>IF(ISNUMBER(INDEX('Aides'!$O$4:$O$503,122)),TEXT(INDEX('Aides'!$O$4:$O$503,122),"yyyy-mm-dd"),"")</f>
        <v/>
      </c>
      <c r="F1125">
        <f>"Training"</f>
        <v/>
      </c>
      <c r="G1125">
        <f>"Medium"</f>
        <v/>
      </c>
      <c r="H1125">
        <f>TRIM(IF(LEN(IF(LEN(INDEX('Aides'!$P$4:$P$503,122))=0,"",INDEX('Aides'!$P$4:$P$503,122)))=0,"","Hours done: "&amp;IF(LEN(INDEX('Aides'!$P$4:$P$503,122))=0,"",INDEX('Aides'!$P$4:$P$503,122))&amp;". ")&amp;IF(LEN(IF(LEN(INDEX('Aides'!$Q$4:$Q$503,122))=0,"",INDEX('Aides'!$Q$4:$Q$503,122)))=0,"","Target: "&amp;IF(LEN(INDEX('Aides'!$Q$4:$Q$503,122))=0,"",INDEX('Aides'!$Q$4:$Q$503,122))&amp;". ")&amp;IF(LEN(IF(LEN(INDEX('Aides'!$R$4:$R$503,122))=0,"",INDEX('Aides'!$R$4:$R$503,122)))=0,"","Hours still needed: "&amp;IF(LEN(INDEX('Aides'!$R$4:$R$503,122))=0,"",INDEX('Aides'!$R$4:$R$503,122))&amp;". ")&amp;IF(LEN(IF(LEN(INDEX('Aides'!$U$4:$U$503,122))=0,"",INDEX('Aides'!$U$4:$U$503,122)))=0,"","Owner: "&amp;IF(LEN(INDEX('Aides'!$U$4:$U$503,122))=0,"",INDEX('Aides'!$U$4:$U$503,122))&amp;". "))</f>
        <v/>
      </c>
      <c r="I1125">
        <f>""</f>
        <v/>
      </c>
      <c r="J1125">
        <f>IF(LEN(INDEX('Aides'!$V$4:$V$503,122))=0,"",INDEX('Aides'!$V$4:$V$503,122))</f>
        <v/>
      </c>
    </row>
    <row r="1126">
      <c r="A1126">
        <f>IF(AND(LEN('Aides'!A126)&gt;0,ISNUMBER('Aides'!O126)),1,0)</f>
        <v/>
      </c>
      <c r="B1126">
        <f>B1125+A1126</f>
        <v/>
      </c>
      <c r="C1126">
        <f>IF(1123&gt;$B$1503,"",MATCH(1123-0.5,$B$3:$B$1503,1))</f>
        <v/>
      </c>
      <c r="D1126">
        <f>"In-service hours due – "&amp;IF(LEN(INDEX('Aides'!$A$4:$A$503,123))=0,"",INDEX('Aides'!$A$4:$A$503,123))</f>
        <v/>
      </c>
      <c r="E1126">
        <f>IF(ISNUMBER(INDEX('Aides'!$O$4:$O$503,123)),TEXT(INDEX('Aides'!$O$4:$O$503,123),"yyyy-mm-dd"),"")</f>
        <v/>
      </c>
      <c r="F1126">
        <f>"Training"</f>
        <v/>
      </c>
      <c r="G1126">
        <f>"Medium"</f>
        <v/>
      </c>
      <c r="H1126">
        <f>TRIM(IF(LEN(IF(LEN(INDEX('Aides'!$P$4:$P$503,123))=0,"",INDEX('Aides'!$P$4:$P$503,123)))=0,"","Hours done: "&amp;IF(LEN(INDEX('Aides'!$P$4:$P$503,123))=0,"",INDEX('Aides'!$P$4:$P$503,123))&amp;". ")&amp;IF(LEN(IF(LEN(INDEX('Aides'!$Q$4:$Q$503,123))=0,"",INDEX('Aides'!$Q$4:$Q$503,123)))=0,"","Target: "&amp;IF(LEN(INDEX('Aides'!$Q$4:$Q$503,123))=0,"",INDEX('Aides'!$Q$4:$Q$503,123))&amp;". ")&amp;IF(LEN(IF(LEN(INDEX('Aides'!$R$4:$R$503,123))=0,"",INDEX('Aides'!$R$4:$R$503,123)))=0,"","Hours still needed: "&amp;IF(LEN(INDEX('Aides'!$R$4:$R$503,123))=0,"",INDEX('Aides'!$R$4:$R$503,123))&amp;". ")&amp;IF(LEN(IF(LEN(INDEX('Aides'!$U$4:$U$503,123))=0,"",INDEX('Aides'!$U$4:$U$503,123)))=0,"","Owner: "&amp;IF(LEN(INDEX('Aides'!$U$4:$U$503,123))=0,"",INDEX('Aides'!$U$4:$U$503,123))&amp;". "))</f>
        <v/>
      </c>
      <c r="I1126">
        <f>""</f>
        <v/>
      </c>
      <c r="J1126">
        <f>IF(LEN(INDEX('Aides'!$V$4:$V$503,123))=0,"",INDEX('Aides'!$V$4:$V$503,123))</f>
        <v/>
      </c>
    </row>
    <row r="1127">
      <c r="A1127">
        <f>IF(AND(LEN('Aides'!A127)&gt;0,ISNUMBER('Aides'!O127)),1,0)</f>
        <v/>
      </c>
      <c r="B1127">
        <f>B1126+A1127</f>
        <v/>
      </c>
      <c r="C1127">
        <f>IF(1124&gt;$B$1503,"",MATCH(1124-0.5,$B$3:$B$1503,1))</f>
        <v/>
      </c>
      <c r="D1127">
        <f>"In-service hours due – "&amp;IF(LEN(INDEX('Aides'!$A$4:$A$503,124))=0,"",INDEX('Aides'!$A$4:$A$503,124))</f>
        <v/>
      </c>
      <c r="E1127">
        <f>IF(ISNUMBER(INDEX('Aides'!$O$4:$O$503,124)),TEXT(INDEX('Aides'!$O$4:$O$503,124),"yyyy-mm-dd"),"")</f>
        <v/>
      </c>
      <c r="F1127">
        <f>"Training"</f>
        <v/>
      </c>
      <c r="G1127">
        <f>"Medium"</f>
        <v/>
      </c>
      <c r="H1127">
        <f>TRIM(IF(LEN(IF(LEN(INDEX('Aides'!$P$4:$P$503,124))=0,"",INDEX('Aides'!$P$4:$P$503,124)))=0,"","Hours done: "&amp;IF(LEN(INDEX('Aides'!$P$4:$P$503,124))=0,"",INDEX('Aides'!$P$4:$P$503,124))&amp;". ")&amp;IF(LEN(IF(LEN(INDEX('Aides'!$Q$4:$Q$503,124))=0,"",INDEX('Aides'!$Q$4:$Q$503,124)))=0,"","Target: "&amp;IF(LEN(INDEX('Aides'!$Q$4:$Q$503,124))=0,"",INDEX('Aides'!$Q$4:$Q$503,124))&amp;". ")&amp;IF(LEN(IF(LEN(INDEX('Aides'!$R$4:$R$503,124))=0,"",INDEX('Aides'!$R$4:$R$503,124)))=0,"","Hours still needed: "&amp;IF(LEN(INDEX('Aides'!$R$4:$R$503,124))=0,"",INDEX('Aides'!$R$4:$R$503,124))&amp;". ")&amp;IF(LEN(IF(LEN(INDEX('Aides'!$U$4:$U$503,124))=0,"",INDEX('Aides'!$U$4:$U$503,124)))=0,"","Owner: "&amp;IF(LEN(INDEX('Aides'!$U$4:$U$503,124))=0,"",INDEX('Aides'!$U$4:$U$503,124))&amp;". "))</f>
        <v/>
      </c>
      <c r="I1127">
        <f>""</f>
        <v/>
      </c>
      <c r="J1127">
        <f>IF(LEN(INDEX('Aides'!$V$4:$V$503,124))=0,"",INDEX('Aides'!$V$4:$V$503,124))</f>
        <v/>
      </c>
    </row>
    <row r="1128">
      <c r="A1128">
        <f>IF(AND(LEN('Aides'!A128)&gt;0,ISNUMBER('Aides'!O128)),1,0)</f>
        <v/>
      </c>
      <c r="B1128">
        <f>B1127+A1128</f>
        <v/>
      </c>
      <c r="C1128">
        <f>IF(1125&gt;$B$1503,"",MATCH(1125-0.5,$B$3:$B$1503,1))</f>
        <v/>
      </c>
      <c r="D1128">
        <f>"In-service hours due – "&amp;IF(LEN(INDEX('Aides'!$A$4:$A$503,125))=0,"",INDEX('Aides'!$A$4:$A$503,125))</f>
        <v/>
      </c>
      <c r="E1128">
        <f>IF(ISNUMBER(INDEX('Aides'!$O$4:$O$503,125)),TEXT(INDEX('Aides'!$O$4:$O$503,125),"yyyy-mm-dd"),"")</f>
        <v/>
      </c>
      <c r="F1128">
        <f>"Training"</f>
        <v/>
      </c>
      <c r="G1128">
        <f>"Medium"</f>
        <v/>
      </c>
      <c r="H1128">
        <f>TRIM(IF(LEN(IF(LEN(INDEX('Aides'!$P$4:$P$503,125))=0,"",INDEX('Aides'!$P$4:$P$503,125)))=0,"","Hours done: "&amp;IF(LEN(INDEX('Aides'!$P$4:$P$503,125))=0,"",INDEX('Aides'!$P$4:$P$503,125))&amp;". ")&amp;IF(LEN(IF(LEN(INDEX('Aides'!$Q$4:$Q$503,125))=0,"",INDEX('Aides'!$Q$4:$Q$503,125)))=0,"","Target: "&amp;IF(LEN(INDEX('Aides'!$Q$4:$Q$503,125))=0,"",INDEX('Aides'!$Q$4:$Q$503,125))&amp;". ")&amp;IF(LEN(IF(LEN(INDEX('Aides'!$R$4:$R$503,125))=0,"",INDEX('Aides'!$R$4:$R$503,125)))=0,"","Hours still needed: "&amp;IF(LEN(INDEX('Aides'!$R$4:$R$503,125))=0,"",INDEX('Aides'!$R$4:$R$503,125))&amp;". ")&amp;IF(LEN(IF(LEN(INDEX('Aides'!$U$4:$U$503,125))=0,"",INDEX('Aides'!$U$4:$U$503,125)))=0,"","Owner: "&amp;IF(LEN(INDEX('Aides'!$U$4:$U$503,125))=0,"",INDEX('Aides'!$U$4:$U$503,125))&amp;". "))</f>
        <v/>
      </c>
      <c r="I1128">
        <f>""</f>
        <v/>
      </c>
      <c r="J1128">
        <f>IF(LEN(INDEX('Aides'!$V$4:$V$503,125))=0,"",INDEX('Aides'!$V$4:$V$503,125))</f>
        <v/>
      </c>
    </row>
    <row r="1129">
      <c r="A1129">
        <f>IF(AND(LEN('Aides'!A129)&gt;0,ISNUMBER('Aides'!O129)),1,0)</f>
        <v/>
      </c>
      <c r="B1129">
        <f>B1128+A1129</f>
        <v/>
      </c>
      <c r="C1129">
        <f>IF(1126&gt;$B$1503,"",MATCH(1126-0.5,$B$3:$B$1503,1))</f>
        <v/>
      </c>
      <c r="D1129">
        <f>"In-service hours due – "&amp;IF(LEN(INDEX('Aides'!$A$4:$A$503,126))=0,"",INDEX('Aides'!$A$4:$A$503,126))</f>
        <v/>
      </c>
      <c r="E1129">
        <f>IF(ISNUMBER(INDEX('Aides'!$O$4:$O$503,126)),TEXT(INDEX('Aides'!$O$4:$O$503,126),"yyyy-mm-dd"),"")</f>
        <v/>
      </c>
      <c r="F1129">
        <f>"Training"</f>
        <v/>
      </c>
      <c r="G1129">
        <f>"Medium"</f>
        <v/>
      </c>
      <c r="H1129">
        <f>TRIM(IF(LEN(IF(LEN(INDEX('Aides'!$P$4:$P$503,126))=0,"",INDEX('Aides'!$P$4:$P$503,126)))=0,"","Hours done: "&amp;IF(LEN(INDEX('Aides'!$P$4:$P$503,126))=0,"",INDEX('Aides'!$P$4:$P$503,126))&amp;". ")&amp;IF(LEN(IF(LEN(INDEX('Aides'!$Q$4:$Q$503,126))=0,"",INDEX('Aides'!$Q$4:$Q$503,126)))=0,"","Target: "&amp;IF(LEN(INDEX('Aides'!$Q$4:$Q$503,126))=0,"",INDEX('Aides'!$Q$4:$Q$503,126))&amp;". ")&amp;IF(LEN(IF(LEN(INDEX('Aides'!$R$4:$R$503,126))=0,"",INDEX('Aides'!$R$4:$R$503,126)))=0,"","Hours still needed: "&amp;IF(LEN(INDEX('Aides'!$R$4:$R$503,126))=0,"",INDEX('Aides'!$R$4:$R$503,126))&amp;". ")&amp;IF(LEN(IF(LEN(INDEX('Aides'!$U$4:$U$503,126))=0,"",INDEX('Aides'!$U$4:$U$503,126)))=0,"","Owner: "&amp;IF(LEN(INDEX('Aides'!$U$4:$U$503,126))=0,"",INDEX('Aides'!$U$4:$U$503,126))&amp;". "))</f>
        <v/>
      </c>
      <c r="I1129">
        <f>""</f>
        <v/>
      </c>
      <c r="J1129">
        <f>IF(LEN(INDEX('Aides'!$V$4:$V$503,126))=0,"",INDEX('Aides'!$V$4:$V$503,126))</f>
        <v/>
      </c>
    </row>
    <row r="1130">
      <c r="A1130">
        <f>IF(AND(LEN('Aides'!A130)&gt;0,ISNUMBER('Aides'!O130)),1,0)</f>
        <v/>
      </c>
      <c r="B1130">
        <f>B1129+A1130</f>
        <v/>
      </c>
      <c r="C1130">
        <f>IF(1127&gt;$B$1503,"",MATCH(1127-0.5,$B$3:$B$1503,1))</f>
        <v/>
      </c>
      <c r="D1130">
        <f>"In-service hours due – "&amp;IF(LEN(INDEX('Aides'!$A$4:$A$503,127))=0,"",INDEX('Aides'!$A$4:$A$503,127))</f>
        <v/>
      </c>
      <c r="E1130">
        <f>IF(ISNUMBER(INDEX('Aides'!$O$4:$O$503,127)),TEXT(INDEX('Aides'!$O$4:$O$503,127),"yyyy-mm-dd"),"")</f>
        <v/>
      </c>
      <c r="F1130">
        <f>"Training"</f>
        <v/>
      </c>
      <c r="G1130">
        <f>"Medium"</f>
        <v/>
      </c>
      <c r="H1130">
        <f>TRIM(IF(LEN(IF(LEN(INDEX('Aides'!$P$4:$P$503,127))=0,"",INDEX('Aides'!$P$4:$P$503,127)))=0,"","Hours done: "&amp;IF(LEN(INDEX('Aides'!$P$4:$P$503,127))=0,"",INDEX('Aides'!$P$4:$P$503,127))&amp;". ")&amp;IF(LEN(IF(LEN(INDEX('Aides'!$Q$4:$Q$503,127))=0,"",INDEX('Aides'!$Q$4:$Q$503,127)))=0,"","Target: "&amp;IF(LEN(INDEX('Aides'!$Q$4:$Q$503,127))=0,"",INDEX('Aides'!$Q$4:$Q$503,127))&amp;". ")&amp;IF(LEN(IF(LEN(INDEX('Aides'!$R$4:$R$503,127))=0,"",INDEX('Aides'!$R$4:$R$503,127)))=0,"","Hours still needed: "&amp;IF(LEN(INDEX('Aides'!$R$4:$R$503,127))=0,"",INDEX('Aides'!$R$4:$R$503,127))&amp;". ")&amp;IF(LEN(IF(LEN(INDEX('Aides'!$U$4:$U$503,127))=0,"",INDEX('Aides'!$U$4:$U$503,127)))=0,"","Owner: "&amp;IF(LEN(INDEX('Aides'!$U$4:$U$503,127))=0,"",INDEX('Aides'!$U$4:$U$503,127))&amp;". "))</f>
        <v/>
      </c>
      <c r="I1130">
        <f>""</f>
        <v/>
      </c>
      <c r="J1130">
        <f>IF(LEN(INDEX('Aides'!$V$4:$V$503,127))=0,"",INDEX('Aides'!$V$4:$V$503,127))</f>
        <v/>
      </c>
    </row>
    <row r="1131">
      <c r="A1131">
        <f>IF(AND(LEN('Aides'!A131)&gt;0,ISNUMBER('Aides'!O131)),1,0)</f>
        <v/>
      </c>
      <c r="B1131">
        <f>B1130+A1131</f>
        <v/>
      </c>
      <c r="C1131">
        <f>IF(1128&gt;$B$1503,"",MATCH(1128-0.5,$B$3:$B$1503,1))</f>
        <v/>
      </c>
      <c r="D1131">
        <f>"In-service hours due – "&amp;IF(LEN(INDEX('Aides'!$A$4:$A$503,128))=0,"",INDEX('Aides'!$A$4:$A$503,128))</f>
        <v/>
      </c>
      <c r="E1131">
        <f>IF(ISNUMBER(INDEX('Aides'!$O$4:$O$503,128)),TEXT(INDEX('Aides'!$O$4:$O$503,128),"yyyy-mm-dd"),"")</f>
        <v/>
      </c>
      <c r="F1131">
        <f>"Training"</f>
        <v/>
      </c>
      <c r="G1131">
        <f>"Medium"</f>
        <v/>
      </c>
      <c r="H1131">
        <f>TRIM(IF(LEN(IF(LEN(INDEX('Aides'!$P$4:$P$503,128))=0,"",INDEX('Aides'!$P$4:$P$503,128)))=0,"","Hours done: "&amp;IF(LEN(INDEX('Aides'!$P$4:$P$503,128))=0,"",INDEX('Aides'!$P$4:$P$503,128))&amp;". ")&amp;IF(LEN(IF(LEN(INDEX('Aides'!$Q$4:$Q$503,128))=0,"",INDEX('Aides'!$Q$4:$Q$503,128)))=0,"","Target: "&amp;IF(LEN(INDEX('Aides'!$Q$4:$Q$503,128))=0,"",INDEX('Aides'!$Q$4:$Q$503,128))&amp;". ")&amp;IF(LEN(IF(LEN(INDEX('Aides'!$R$4:$R$503,128))=0,"",INDEX('Aides'!$R$4:$R$503,128)))=0,"","Hours still needed: "&amp;IF(LEN(INDEX('Aides'!$R$4:$R$503,128))=0,"",INDEX('Aides'!$R$4:$R$503,128))&amp;". ")&amp;IF(LEN(IF(LEN(INDEX('Aides'!$U$4:$U$503,128))=0,"",INDEX('Aides'!$U$4:$U$503,128)))=0,"","Owner: "&amp;IF(LEN(INDEX('Aides'!$U$4:$U$503,128))=0,"",INDEX('Aides'!$U$4:$U$503,128))&amp;". "))</f>
        <v/>
      </c>
      <c r="I1131">
        <f>""</f>
        <v/>
      </c>
      <c r="J1131">
        <f>IF(LEN(INDEX('Aides'!$V$4:$V$503,128))=0,"",INDEX('Aides'!$V$4:$V$503,128))</f>
        <v/>
      </c>
    </row>
    <row r="1132">
      <c r="A1132">
        <f>IF(AND(LEN('Aides'!A132)&gt;0,ISNUMBER('Aides'!O132)),1,0)</f>
        <v/>
      </c>
      <c r="B1132">
        <f>B1131+A1132</f>
        <v/>
      </c>
      <c r="C1132">
        <f>IF(1129&gt;$B$1503,"",MATCH(1129-0.5,$B$3:$B$1503,1))</f>
        <v/>
      </c>
      <c r="D1132">
        <f>"In-service hours due – "&amp;IF(LEN(INDEX('Aides'!$A$4:$A$503,129))=0,"",INDEX('Aides'!$A$4:$A$503,129))</f>
        <v/>
      </c>
      <c r="E1132">
        <f>IF(ISNUMBER(INDEX('Aides'!$O$4:$O$503,129)),TEXT(INDEX('Aides'!$O$4:$O$503,129),"yyyy-mm-dd"),"")</f>
        <v/>
      </c>
      <c r="F1132">
        <f>"Training"</f>
        <v/>
      </c>
      <c r="G1132">
        <f>"Medium"</f>
        <v/>
      </c>
      <c r="H1132">
        <f>TRIM(IF(LEN(IF(LEN(INDEX('Aides'!$P$4:$P$503,129))=0,"",INDEX('Aides'!$P$4:$P$503,129)))=0,"","Hours done: "&amp;IF(LEN(INDEX('Aides'!$P$4:$P$503,129))=0,"",INDEX('Aides'!$P$4:$P$503,129))&amp;". ")&amp;IF(LEN(IF(LEN(INDEX('Aides'!$Q$4:$Q$503,129))=0,"",INDEX('Aides'!$Q$4:$Q$503,129)))=0,"","Target: "&amp;IF(LEN(INDEX('Aides'!$Q$4:$Q$503,129))=0,"",INDEX('Aides'!$Q$4:$Q$503,129))&amp;". ")&amp;IF(LEN(IF(LEN(INDEX('Aides'!$R$4:$R$503,129))=0,"",INDEX('Aides'!$R$4:$R$503,129)))=0,"","Hours still needed: "&amp;IF(LEN(INDEX('Aides'!$R$4:$R$503,129))=0,"",INDEX('Aides'!$R$4:$R$503,129))&amp;". ")&amp;IF(LEN(IF(LEN(INDEX('Aides'!$U$4:$U$503,129))=0,"",INDEX('Aides'!$U$4:$U$503,129)))=0,"","Owner: "&amp;IF(LEN(INDEX('Aides'!$U$4:$U$503,129))=0,"",INDEX('Aides'!$U$4:$U$503,129))&amp;". "))</f>
        <v/>
      </c>
      <c r="I1132">
        <f>""</f>
        <v/>
      </c>
      <c r="J1132">
        <f>IF(LEN(INDEX('Aides'!$V$4:$V$503,129))=0,"",INDEX('Aides'!$V$4:$V$503,129))</f>
        <v/>
      </c>
    </row>
    <row r="1133">
      <c r="A1133">
        <f>IF(AND(LEN('Aides'!A133)&gt;0,ISNUMBER('Aides'!O133)),1,0)</f>
        <v/>
      </c>
      <c r="B1133">
        <f>B1132+A1133</f>
        <v/>
      </c>
      <c r="C1133">
        <f>IF(1130&gt;$B$1503,"",MATCH(1130-0.5,$B$3:$B$1503,1))</f>
        <v/>
      </c>
      <c r="D1133">
        <f>"In-service hours due – "&amp;IF(LEN(INDEX('Aides'!$A$4:$A$503,130))=0,"",INDEX('Aides'!$A$4:$A$503,130))</f>
        <v/>
      </c>
      <c r="E1133">
        <f>IF(ISNUMBER(INDEX('Aides'!$O$4:$O$503,130)),TEXT(INDEX('Aides'!$O$4:$O$503,130),"yyyy-mm-dd"),"")</f>
        <v/>
      </c>
      <c r="F1133">
        <f>"Training"</f>
        <v/>
      </c>
      <c r="G1133">
        <f>"Medium"</f>
        <v/>
      </c>
      <c r="H1133">
        <f>TRIM(IF(LEN(IF(LEN(INDEX('Aides'!$P$4:$P$503,130))=0,"",INDEX('Aides'!$P$4:$P$503,130)))=0,"","Hours done: "&amp;IF(LEN(INDEX('Aides'!$P$4:$P$503,130))=0,"",INDEX('Aides'!$P$4:$P$503,130))&amp;". ")&amp;IF(LEN(IF(LEN(INDEX('Aides'!$Q$4:$Q$503,130))=0,"",INDEX('Aides'!$Q$4:$Q$503,130)))=0,"","Target: "&amp;IF(LEN(INDEX('Aides'!$Q$4:$Q$503,130))=0,"",INDEX('Aides'!$Q$4:$Q$503,130))&amp;". ")&amp;IF(LEN(IF(LEN(INDEX('Aides'!$R$4:$R$503,130))=0,"",INDEX('Aides'!$R$4:$R$503,130)))=0,"","Hours still needed: "&amp;IF(LEN(INDEX('Aides'!$R$4:$R$503,130))=0,"",INDEX('Aides'!$R$4:$R$503,130))&amp;". ")&amp;IF(LEN(IF(LEN(INDEX('Aides'!$U$4:$U$503,130))=0,"",INDEX('Aides'!$U$4:$U$503,130)))=0,"","Owner: "&amp;IF(LEN(INDEX('Aides'!$U$4:$U$503,130))=0,"",INDEX('Aides'!$U$4:$U$503,130))&amp;". "))</f>
        <v/>
      </c>
      <c r="I1133">
        <f>""</f>
        <v/>
      </c>
      <c r="J1133">
        <f>IF(LEN(INDEX('Aides'!$V$4:$V$503,130))=0,"",INDEX('Aides'!$V$4:$V$503,130))</f>
        <v/>
      </c>
    </row>
    <row r="1134">
      <c r="A1134">
        <f>IF(AND(LEN('Aides'!A134)&gt;0,ISNUMBER('Aides'!O134)),1,0)</f>
        <v/>
      </c>
      <c r="B1134">
        <f>B1133+A1134</f>
        <v/>
      </c>
      <c r="C1134">
        <f>IF(1131&gt;$B$1503,"",MATCH(1131-0.5,$B$3:$B$1503,1))</f>
        <v/>
      </c>
      <c r="D1134">
        <f>"In-service hours due – "&amp;IF(LEN(INDEX('Aides'!$A$4:$A$503,131))=0,"",INDEX('Aides'!$A$4:$A$503,131))</f>
        <v/>
      </c>
      <c r="E1134">
        <f>IF(ISNUMBER(INDEX('Aides'!$O$4:$O$503,131)),TEXT(INDEX('Aides'!$O$4:$O$503,131),"yyyy-mm-dd"),"")</f>
        <v/>
      </c>
      <c r="F1134">
        <f>"Training"</f>
        <v/>
      </c>
      <c r="G1134">
        <f>"Medium"</f>
        <v/>
      </c>
      <c r="H1134">
        <f>TRIM(IF(LEN(IF(LEN(INDEX('Aides'!$P$4:$P$503,131))=0,"",INDEX('Aides'!$P$4:$P$503,131)))=0,"","Hours done: "&amp;IF(LEN(INDEX('Aides'!$P$4:$P$503,131))=0,"",INDEX('Aides'!$P$4:$P$503,131))&amp;". ")&amp;IF(LEN(IF(LEN(INDEX('Aides'!$Q$4:$Q$503,131))=0,"",INDEX('Aides'!$Q$4:$Q$503,131)))=0,"","Target: "&amp;IF(LEN(INDEX('Aides'!$Q$4:$Q$503,131))=0,"",INDEX('Aides'!$Q$4:$Q$503,131))&amp;". ")&amp;IF(LEN(IF(LEN(INDEX('Aides'!$R$4:$R$503,131))=0,"",INDEX('Aides'!$R$4:$R$503,131)))=0,"","Hours still needed: "&amp;IF(LEN(INDEX('Aides'!$R$4:$R$503,131))=0,"",INDEX('Aides'!$R$4:$R$503,131))&amp;". ")&amp;IF(LEN(IF(LEN(INDEX('Aides'!$U$4:$U$503,131))=0,"",INDEX('Aides'!$U$4:$U$503,131)))=0,"","Owner: "&amp;IF(LEN(INDEX('Aides'!$U$4:$U$503,131))=0,"",INDEX('Aides'!$U$4:$U$503,131))&amp;". "))</f>
        <v/>
      </c>
      <c r="I1134">
        <f>""</f>
        <v/>
      </c>
      <c r="J1134">
        <f>IF(LEN(INDEX('Aides'!$V$4:$V$503,131))=0,"",INDEX('Aides'!$V$4:$V$503,131))</f>
        <v/>
      </c>
    </row>
    <row r="1135">
      <c r="A1135">
        <f>IF(AND(LEN('Aides'!A135)&gt;0,ISNUMBER('Aides'!O135)),1,0)</f>
        <v/>
      </c>
      <c r="B1135">
        <f>B1134+A1135</f>
        <v/>
      </c>
      <c r="C1135">
        <f>IF(1132&gt;$B$1503,"",MATCH(1132-0.5,$B$3:$B$1503,1))</f>
        <v/>
      </c>
      <c r="D1135">
        <f>"In-service hours due – "&amp;IF(LEN(INDEX('Aides'!$A$4:$A$503,132))=0,"",INDEX('Aides'!$A$4:$A$503,132))</f>
        <v/>
      </c>
      <c r="E1135">
        <f>IF(ISNUMBER(INDEX('Aides'!$O$4:$O$503,132)),TEXT(INDEX('Aides'!$O$4:$O$503,132),"yyyy-mm-dd"),"")</f>
        <v/>
      </c>
      <c r="F1135">
        <f>"Training"</f>
        <v/>
      </c>
      <c r="G1135">
        <f>"Medium"</f>
        <v/>
      </c>
      <c r="H1135">
        <f>TRIM(IF(LEN(IF(LEN(INDEX('Aides'!$P$4:$P$503,132))=0,"",INDEX('Aides'!$P$4:$P$503,132)))=0,"","Hours done: "&amp;IF(LEN(INDEX('Aides'!$P$4:$P$503,132))=0,"",INDEX('Aides'!$P$4:$P$503,132))&amp;". ")&amp;IF(LEN(IF(LEN(INDEX('Aides'!$Q$4:$Q$503,132))=0,"",INDEX('Aides'!$Q$4:$Q$503,132)))=0,"","Target: "&amp;IF(LEN(INDEX('Aides'!$Q$4:$Q$503,132))=0,"",INDEX('Aides'!$Q$4:$Q$503,132))&amp;". ")&amp;IF(LEN(IF(LEN(INDEX('Aides'!$R$4:$R$503,132))=0,"",INDEX('Aides'!$R$4:$R$503,132)))=0,"","Hours still needed: "&amp;IF(LEN(INDEX('Aides'!$R$4:$R$503,132))=0,"",INDEX('Aides'!$R$4:$R$503,132))&amp;". ")&amp;IF(LEN(IF(LEN(INDEX('Aides'!$U$4:$U$503,132))=0,"",INDEX('Aides'!$U$4:$U$503,132)))=0,"","Owner: "&amp;IF(LEN(INDEX('Aides'!$U$4:$U$503,132))=0,"",INDEX('Aides'!$U$4:$U$503,132))&amp;". "))</f>
        <v/>
      </c>
      <c r="I1135">
        <f>""</f>
        <v/>
      </c>
      <c r="J1135">
        <f>IF(LEN(INDEX('Aides'!$V$4:$V$503,132))=0,"",INDEX('Aides'!$V$4:$V$503,132))</f>
        <v/>
      </c>
    </row>
    <row r="1136">
      <c r="A1136">
        <f>IF(AND(LEN('Aides'!A136)&gt;0,ISNUMBER('Aides'!O136)),1,0)</f>
        <v/>
      </c>
      <c r="B1136">
        <f>B1135+A1136</f>
        <v/>
      </c>
      <c r="C1136">
        <f>IF(1133&gt;$B$1503,"",MATCH(1133-0.5,$B$3:$B$1503,1))</f>
        <v/>
      </c>
      <c r="D1136">
        <f>"In-service hours due – "&amp;IF(LEN(INDEX('Aides'!$A$4:$A$503,133))=0,"",INDEX('Aides'!$A$4:$A$503,133))</f>
        <v/>
      </c>
      <c r="E1136">
        <f>IF(ISNUMBER(INDEX('Aides'!$O$4:$O$503,133)),TEXT(INDEX('Aides'!$O$4:$O$503,133),"yyyy-mm-dd"),"")</f>
        <v/>
      </c>
      <c r="F1136">
        <f>"Training"</f>
        <v/>
      </c>
      <c r="G1136">
        <f>"Medium"</f>
        <v/>
      </c>
      <c r="H1136">
        <f>TRIM(IF(LEN(IF(LEN(INDEX('Aides'!$P$4:$P$503,133))=0,"",INDEX('Aides'!$P$4:$P$503,133)))=0,"","Hours done: "&amp;IF(LEN(INDEX('Aides'!$P$4:$P$503,133))=0,"",INDEX('Aides'!$P$4:$P$503,133))&amp;". ")&amp;IF(LEN(IF(LEN(INDEX('Aides'!$Q$4:$Q$503,133))=0,"",INDEX('Aides'!$Q$4:$Q$503,133)))=0,"","Target: "&amp;IF(LEN(INDEX('Aides'!$Q$4:$Q$503,133))=0,"",INDEX('Aides'!$Q$4:$Q$503,133))&amp;". ")&amp;IF(LEN(IF(LEN(INDEX('Aides'!$R$4:$R$503,133))=0,"",INDEX('Aides'!$R$4:$R$503,133)))=0,"","Hours still needed: "&amp;IF(LEN(INDEX('Aides'!$R$4:$R$503,133))=0,"",INDEX('Aides'!$R$4:$R$503,133))&amp;". ")&amp;IF(LEN(IF(LEN(INDEX('Aides'!$U$4:$U$503,133))=0,"",INDEX('Aides'!$U$4:$U$503,133)))=0,"","Owner: "&amp;IF(LEN(INDEX('Aides'!$U$4:$U$503,133))=0,"",INDEX('Aides'!$U$4:$U$503,133))&amp;". "))</f>
        <v/>
      </c>
      <c r="I1136">
        <f>""</f>
        <v/>
      </c>
      <c r="J1136">
        <f>IF(LEN(INDEX('Aides'!$V$4:$V$503,133))=0,"",INDEX('Aides'!$V$4:$V$503,133))</f>
        <v/>
      </c>
    </row>
    <row r="1137">
      <c r="A1137">
        <f>IF(AND(LEN('Aides'!A137)&gt;0,ISNUMBER('Aides'!O137)),1,0)</f>
        <v/>
      </c>
      <c r="B1137">
        <f>B1136+A1137</f>
        <v/>
      </c>
      <c r="C1137">
        <f>IF(1134&gt;$B$1503,"",MATCH(1134-0.5,$B$3:$B$1503,1))</f>
        <v/>
      </c>
      <c r="D1137">
        <f>"In-service hours due – "&amp;IF(LEN(INDEX('Aides'!$A$4:$A$503,134))=0,"",INDEX('Aides'!$A$4:$A$503,134))</f>
        <v/>
      </c>
      <c r="E1137">
        <f>IF(ISNUMBER(INDEX('Aides'!$O$4:$O$503,134)),TEXT(INDEX('Aides'!$O$4:$O$503,134),"yyyy-mm-dd"),"")</f>
        <v/>
      </c>
      <c r="F1137">
        <f>"Training"</f>
        <v/>
      </c>
      <c r="G1137">
        <f>"Medium"</f>
        <v/>
      </c>
      <c r="H1137">
        <f>TRIM(IF(LEN(IF(LEN(INDEX('Aides'!$P$4:$P$503,134))=0,"",INDEX('Aides'!$P$4:$P$503,134)))=0,"","Hours done: "&amp;IF(LEN(INDEX('Aides'!$P$4:$P$503,134))=0,"",INDEX('Aides'!$P$4:$P$503,134))&amp;". ")&amp;IF(LEN(IF(LEN(INDEX('Aides'!$Q$4:$Q$503,134))=0,"",INDEX('Aides'!$Q$4:$Q$503,134)))=0,"","Target: "&amp;IF(LEN(INDEX('Aides'!$Q$4:$Q$503,134))=0,"",INDEX('Aides'!$Q$4:$Q$503,134))&amp;". ")&amp;IF(LEN(IF(LEN(INDEX('Aides'!$R$4:$R$503,134))=0,"",INDEX('Aides'!$R$4:$R$503,134)))=0,"","Hours still needed: "&amp;IF(LEN(INDEX('Aides'!$R$4:$R$503,134))=0,"",INDEX('Aides'!$R$4:$R$503,134))&amp;". ")&amp;IF(LEN(IF(LEN(INDEX('Aides'!$U$4:$U$503,134))=0,"",INDEX('Aides'!$U$4:$U$503,134)))=0,"","Owner: "&amp;IF(LEN(INDEX('Aides'!$U$4:$U$503,134))=0,"",INDEX('Aides'!$U$4:$U$503,134))&amp;". "))</f>
        <v/>
      </c>
      <c r="I1137">
        <f>""</f>
        <v/>
      </c>
      <c r="J1137">
        <f>IF(LEN(INDEX('Aides'!$V$4:$V$503,134))=0,"",INDEX('Aides'!$V$4:$V$503,134))</f>
        <v/>
      </c>
    </row>
    <row r="1138">
      <c r="A1138">
        <f>IF(AND(LEN('Aides'!A138)&gt;0,ISNUMBER('Aides'!O138)),1,0)</f>
        <v/>
      </c>
      <c r="B1138">
        <f>B1137+A1138</f>
        <v/>
      </c>
      <c r="C1138">
        <f>IF(1135&gt;$B$1503,"",MATCH(1135-0.5,$B$3:$B$1503,1))</f>
        <v/>
      </c>
      <c r="D1138">
        <f>"In-service hours due – "&amp;IF(LEN(INDEX('Aides'!$A$4:$A$503,135))=0,"",INDEX('Aides'!$A$4:$A$503,135))</f>
        <v/>
      </c>
      <c r="E1138">
        <f>IF(ISNUMBER(INDEX('Aides'!$O$4:$O$503,135)),TEXT(INDEX('Aides'!$O$4:$O$503,135),"yyyy-mm-dd"),"")</f>
        <v/>
      </c>
      <c r="F1138">
        <f>"Training"</f>
        <v/>
      </c>
      <c r="G1138">
        <f>"Medium"</f>
        <v/>
      </c>
      <c r="H1138">
        <f>TRIM(IF(LEN(IF(LEN(INDEX('Aides'!$P$4:$P$503,135))=0,"",INDEX('Aides'!$P$4:$P$503,135)))=0,"","Hours done: "&amp;IF(LEN(INDEX('Aides'!$P$4:$P$503,135))=0,"",INDEX('Aides'!$P$4:$P$503,135))&amp;". ")&amp;IF(LEN(IF(LEN(INDEX('Aides'!$Q$4:$Q$503,135))=0,"",INDEX('Aides'!$Q$4:$Q$503,135)))=0,"","Target: "&amp;IF(LEN(INDEX('Aides'!$Q$4:$Q$503,135))=0,"",INDEX('Aides'!$Q$4:$Q$503,135))&amp;". ")&amp;IF(LEN(IF(LEN(INDEX('Aides'!$R$4:$R$503,135))=0,"",INDEX('Aides'!$R$4:$R$503,135)))=0,"","Hours still needed: "&amp;IF(LEN(INDEX('Aides'!$R$4:$R$503,135))=0,"",INDEX('Aides'!$R$4:$R$503,135))&amp;". ")&amp;IF(LEN(IF(LEN(INDEX('Aides'!$U$4:$U$503,135))=0,"",INDEX('Aides'!$U$4:$U$503,135)))=0,"","Owner: "&amp;IF(LEN(INDEX('Aides'!$U$4:$U$503,135))=0,"",INDEX('Aides'!$U$4:$U$503,135))&amp;". "))</f>
        <v/>
      </c>
      <c r="I1138">
        <f>""</f>
        <v/>
      </c>
      <c r="J1138">
        <f>IF(LEN(INDEX('Aides'!$V$4:$V$503,135))=0,"",INDEX('Aides'!$V$4:$V$503,135))</f>
        <v/>
      </c>
    </row>
    <row r="1139">
      <c r="A1139">
        <f>IF(AND(LEN('Aides'!A139)&gt;0,ISNUMBER('Aides'!O139)),1,0)</f>
        <v/>
      </c>
      <c r="B1139">
        <f>B1138+A1139</f>
        <v/>
      </c>
      <c r="C1139">
        <f>IF(1136&gt;$B$1503,"",MATCH(1136-0.5,$B$3:$B$1503,1))</f>
        <v/>
      </c>
      <c r="D1139">
        <f>"In-service hours due – "&amp;IF(LEN(INDEX('Aides'!$A$4:$A$503,136))=0,"",INDEX('Aides'!$A$4:$A$503,136))</f>
        <v/>
      </c>
      <c r="E1139">
        <f>IF(ISNUMBER(INDEX('Aides'!$O$4:$O$503,136)),TEXT(INDEX('Aides'!$O$4:$O$503,136),"yyyy-mm-dd"),"")</f>
        <v/>
      </c>
      <c r="F1139">
        <f>"Training"</f>
        <v/>
      </c>
      <c r="G1139">
        <f>"Medium"</f>
        <v/>
      </c>
      <c r="H1139">
        <f>TRIM(IF(LEN(IF(LEN(INDEX('Aides'!$P$4:$P$503,136))=0,"",INDEX('Aides'!$P$4:$P$503,136)))=0,"","Hours done: "&amp;IF(LEN(INDEX('Aides'!$P$4:$P$503,136))=0,"",INDEX('Aides'!$P$4:$P$503,136))&amp;". ")&amp;IF(LEN(IF(LEN(INDEX('Aides'!$Q$4:$Q$503,136))=0,"",INDEX('Aides'!$Q$4:$Q$503,136)))=0,"","Target: "&amp;IF(LEN(INDEX('Aides'!$Q$4:$Q$503,136))=0,"",INDEX('Aides'!$Q$4:$Q$503,136))&amp;". ")&amp;IF(LEN(IF(LEN(INDEX('Aides'!$R$4:$R$503,136))=0,"",INDEX('Aides'!$R$4:$R$503,136)))=0,"","Hours still needed: "&amp;IF(LEN(INDEX('Aides'!$R$4:$R$503,136))=0,"",INDEX('Aides'!$R$4:$R$503,136))&amp;". ")&amp;IF(LEN(IF(LEN(INDEX('Aides'!$U$4:$U$503,136))=0,"",INDEX('Aides'!$U$4:$U$503,136)))=0,"","Owner: "&amp;IF(LEN(INDEX('Aides'!$U$4:$U$503,136))=0,"",INDEX('Aides'!$U$4:$U$503,136))&amp;". "))</f>
        <v/>
      </c>
      <c r="I1139">
        <f>""</f>
        <v/>
      </c>
      <c r="J1139">
        <f>IF(LEN(INDEX('Aides'!$V$4:$V$503,136))=0,"",INDEX('Aides'!$V$4:$V$503,136))</f>
        <v/>
      </c>
    </row>
    <row r="1140">
      <c r="A1140">
        <f>IF(AND(LEN('Aides'!A140)&gt;0,ISNUMBER('Aides'!O140)),1,0)</f>
        <v/>
      </c>
      <c r="B1140">
        <f>B1139+A1140</f>
        <v/>
      </c>
      <c r="C1140">
        <f>IF(1137&gt;$B$1503,"",MATCH(1137-0.5,$B$3:$B$1503,1))</f>
        <v/>
      </c>
      <c r="D1140">
        <f>"In-service hours due – "&amp;IF(LEN(INDEX('Aides'!$A$4:$A$503,137))=0,"",INDEX('Aides'!$A$4:$A$503,137))</f>
        <v/>
      </c>
      <c r="E1140">
        <f>IF(ISNUMBER(INDEX('Aides'!$O$4:$O$503,137)),TEXT(INDEX('Aides'!$O$4:$O$503,137),"yyyy-mm-dd"),"")</f>
        <v/>
      </c>
      <c r="F1140">
        <f>"Training"</f>
        <v/>
      </c>
      <c r="G1140">
        <f>"Medium"</f>
        <v/>
      </c>
      <c r="H1140">
        <f>TRIM(IF(LEN(IF(LEN(INDEX('Aides'!$P$4:$P$503,137))=0,"",INDEX('Aides'!$P$4:$P$503,137)))=0,"","Hours done: "&amp;IF(LEN(INDEX('Aides'!$P$4:$P$503,137))=0,"",INDEX('Aides'!$P$4:$P$503,137))&amp;". ")&amp;IF(LEN(IF(LEN(INDEX('Aides'!$Q$4:$Q$503,137))=0,"",INDEX('Aides'!$Q$4:$Q$503,137)))=0,"","Target: "&amp;IF(LEN(INDEX('Aides'!$Q$4:$Q$503,137))=0,"",INDEX('Aides'!$Q$4:$Q$503,137))&amp;". ")&amp;IF(LEN(IF(LEN(INDEX('Aides'!$R$4:$R$503,137))=0,"",INDEX('Aides'!$R$4:$R$503,137)))=0,"","Hours still needed: "&amp;IF(LEN(INDEX('Aides'!$R$4:$R$503,137))=0,"",INDEX('Aides'!$R$4:$R$503,137))&amp;". ")&amp;IF(LEN(IF(LEN(INDEX('Aides'!$U$4:$U$503,137))=0,"",INDEX('Aides'!$U$4:$U$503,137)))=0,"","Owner: "&amp;IF(LEN(INDEX('Aides'!$U$4:$U$503,137))=0,"",INDEX('Aides'!$U$4:$U$503,137))&amp;". "))</f>
        <v/>
      </c>
      <c r="I1140">
        <f>""</f>
        <v/>
      </c>
      <c r="J1140">
        <f>IF(LEN(INDEX('Aides'!$V$4:$V$503,137))=0,"",INDEX('Aides'!$V$4:$V$503,137))</f>
        <v/>
      </c>
    </row>
    <row r="1141">
      <c r="A1141">
        <f>IF(AND(LEN('Aides'!A141)&gt;0,ISNUMBER('Aides'!O141)),1,0)</f>
        <v/>
      </c>
      <c r="B1141">
        <f>B1140+A1141</f>
        <v/>
      </c>
      <c r="C1141">
        <f>IF(1138&gt;$B$1503,"",MATCH(1138-0.5,$B$3:$B$1503,1))</f>
        <v/>
      </c>
      <c r="D1141">
        <f>"In-service hours due – "&amp;IF(LEN(INDEX('Aides'!$A$4:$A$503,138))=0,"",INDEX('Aides'!$A$4:$A$503,138))</f>
        <v/>
      </c>
      <c r="E1141">
        <f>IF(ISNUMBER(INDEX('Aides'!$O$4:$O$503,138)),TEXT(INDEX('Aides'!$O$4:$O$503,138),"yyyy-mm-dd"),"")</f>
        <v/>
      </c>
      <c r="F1141">
        <f>"Training"</f>
        <v/>
      </c>
      <c r="G1141">
        <f>"Medium"</f>
        <v/>
      </c>
      <c r="H1141">
        <f>TRIM(IF(LEN(IF(LEN(INDEX('Aides'!$P$4:$P$503,138))=0,"",INDEX('Aides'!$P$4:$P$503,138)))=0,"","Hours done: "&amp;IF(LEN(INDEX('Aides'!$P$4:$P$503,138))=0,"",INDEX('Aides'!$P$4:$P$503,138))&amp;". ")&amp;IF(LEN(IF(LEN(INDEX('Aides'!$Q$4:$Q$503,138))=0,"",INDEX('Aides'!$Q$4:$Q$503,138)))=0,"","Target: "&amp;IF(LEN(INDEX('Aides'!$Q$4:$Q$503,138))=0,"",INDEX('Aides'!$Q$4:$Q$503,138))&amp;". ")&amp;IF(LEN(IF(LEN(INDEX('Aides'!$R$4:$R$503,138))=0,"",INDEX('Aides'!$R$4:$R$503,138)))=0,"","Hours still needed: "&amp;IF(LEN(INDEX('Aides'!$R$4:$R$503,138))=0,"",INDEX('Aides'!$R$4:$R$503,138))&amp;". ")&amp;IF(LEN(IF(LEN(INDEX('Aides'!$U$4:$U$503,138))=0,"",INDEX('Aides'!$U$4:$U$503,138)))=0,"","Owner: "&amp;IF(LEN(INDEX('Aides'!$U$4:$U$503,138))=0,"",INDEX('Aides'!$U$4:$U$503,138))&amp;". "))</f>
        <v/>
      </c>
      <c r="I1141">
        <f>""</f>
        <v/>
      </c>
      <c r="J1141">
        <f>IF(LEN(INDEX('Aides'!$V$4:$V$503,138))=0,"",INDEX('Aides'!$V$4:$V$503,138))</f>
        <v/>
      </c>
    </row>
    <row r="1142">
      <c r="A1142">
        <f>IF(AND(LEN('Aides'!A142)&gt;0,ISNUMBER('Aides'!O142)),1,0)</f>
        <v/>
      </c>
      <c r="B1142">
        <f>B1141+A1142</f>
        <v/>
      </c>
      <c r="C1142">
        <f>IF(1139&gt;$B$1503,"",MATCH(1139-0.5,$B$3:$B$1503,1))</f>
        <v/>
      </c>
      <c r="D1142">
        <f>"In-service hours due – "&amp;IF(LEN(INDEX('Aides'!$A$4:$A$503,139))=0,"",INDEX('Aides'!$A$4:$A$503,139))</f>
        <v/>
      </c>
      <c r="E1142">
        <f>IF(ISNUMBER(INDEX('Aides'!$O$4:$O$503,139)),TEXT(INDEX('Aides'!$O$4:$O$503,139),"yyyy-mm-dd"),"")</f>
        <v/>
      </c>
      <c r="F1142">
        <f>"Training"</f>
        <v/>
      </c>
      <c r="G1142">
        <f>"Medium"</f>
        <v/>
      </c>
      <c r="H1142">
        <f>TRIM(IF(LEN(IF(LEN(INDEX('Aides'!$P$4:$P$503,139))=0,"",INDEX('Aides'!$P$4:$P$503,139)))=0,"","Hours done: "&amp;IF(LEN(INDEX('Aides'!$P$4:$P$503,139))=0,"",INDEX('Aides'!$P$4:$P$503,139))&amp;". ")&amp;IF(LEN(IF(LEN(INDEX('Aides'!$Q$4:$Q$503,139))=0,"",INDEX('Aides'!$Q$4:$Q$503,139)))=0,"","Target: "&amp;IF(LEN(INDEX('Aides'!$Q$4:$Q$503,139))=0,"",INDEX('Aides'!$Q$4:$Q$503,139))&amp;". ")&amp;IF(LEN(IF(LEN(INDEX('Aides'!$R$4:$R$503,139))=0,"",INDEX('Aides'!$R$4:$R$503,139)))=0,"","Hours still needed: "&amp;IF(LEN(INDEX('Aides'!$R$4:$R$503,139))=0,"",INDEX('Aides'!$R$4:$R$503,139))&amp;". ")&amp;IF(LEN(IF(LEN(INDEX('Aides'!$U$4:$U$503,139))=0,"",INDEX('Aides'!$U$4:$U$503,139)))=0,"","Owner: "&amp;IF(LEN(INDEX('Aides'!$U$4:$U$503,139))=0,"",INDEX('Aides'!$U$4:$U$503,139))&amp;". "))</f>
        <v/>
      </c>
      <c r="I1142">
        <f>""</f>
        <v/>
      </c>
      <c r="J1142">
        <f>IF(LEN(INDEX('Aides'!$V$4:$V$503,139))=0,"",INDEX('Aides'!$V$4:$V$503,139))</f>
        <v/>
      </c>
    </row>
    <row r="1143">
      <c r="A1143">
        <f>IF(AND(LEN('Aides'!A143)&gt;0,ISNUMBER('Aides'!O143)),1,0)</f>
        <v/>
      </c>
      <c r="B1143">
        <f>B1142+A1143</f>
        <v/>
      </c>
      <c r="C1143">
        <f>IF(1140&gt;$B$1503,"",MATCH(1140-0.5,$B$3:$B$1503,1))</f>
        <v/>
      </c>
      <c r="D1143">
        <f>"In-service hours due – "&amp;IF(LEN(INDEX('Aides'!$A$4:$A$503,140))=0,"",INDEX('Aides'!$A$4:$A$503,140))</f>
        <v/>
      </c>
      <c r="E1143">
        <f>IF(ISNUMBER(INDEX('Aides'!$O$4:$O$503,140)),TEXT(INDEX('Aides'!$O$4:$O$503,140),"yyyy-mm-dd"),"")</f>
        <v/>
      </c>
      <c r="F1143">
        <f>"Training"</f>
        <v/>
      </c>
      <c r="G1143">
        <f>"Medium"</f>
        <v/>
      </c>
      <c r="H1143">
        <f>TRIM(IF(LEN(IF(LEN(INDEX('Aides'!$P$4:$P$503,140))=0,"",INDEX('Aides'!$P$4:$P$503,140)))=0,"","Hours done: "&amp;IF(LEN(INDEX('Aides'!$P$4:$P$503,140))=0,"",INDEX('Aides'!$P$4:$P$503,140))&amp;". ")&amp;IF(LEN(IF(LEN(INDEX('Aides'!$Q$4:$Q$503,140))=0,"",INDEX('Aides'!$Q$4:$Q$503,140)))=0,"","Target: "&amp;IF(LEN(INDEX('Aides'!$Q$4:$Q$503,140))=0,"",INDEX('Aides'!$Q$4:$Q$503,140))&amp;". ")&amp;IF(LEN(IF(LEN(INDEX('Aides'!$R$4:$R$503,140))=0,"",INDEX('Aides'!$R$4:$R$503,140)))=0,"","Hours still needed: "&amp;IF(LEN(INDEX('Aides'!$R$4:$R$503,140))=0,"",INDEX('Aides'!$R$4:$R$503,140))&amp;". ")&amp;IF(LEN(IF(LEN(INDEX('Aides'!$U$4:$U$503,140))=0,"",INDEX('Aides'!$U$4:$U$503,140)))=0,"","Owner: "&amp;IF(LEN(INDEX('Aides'!$U$4:$U$503,140))=0,"",INDEX('Aides'!$U$4:$U$503,140))&amp;". "))</f>
        <v/>
      </c>
      <c r="I1143">
        <f>""</f>
        <v/>
      </c>
      <c r="J1143">
        <f>IF(LEN(INDEX('Aides'!$V$4:$V$503,140))=0,"",INDEX('Aides'!$V$4:$V$503,140))</f>
        <v/>
      </c>
    </row>
    <row r="1144">
      <c r="A1144">
        <f>IF(AND(LEN('Aides'!A144)&gt;0,ISNUMBER('Aides'!O144)),1,0)</f>
        <v/>
      </c>
      <c r="B1144">
        <f>B1143+A1144</f>
        <v/>
      </c>
      <c r="C1144">
        <f>IF(1141&gt;$B$1503,"",MATCH(1141-0.5,$B$3:$B$1503,1))</f>
        <v/>
      </c>
      <c r="D1144">
        <f>"In-service hours due – "&amp;IF(LEN(INDEX('Aides'!$A$4:$A$503,141))=0,"",INDEX('Aides'!$A$4:$A$503,141))</f>
        <v/>
      </c>
      <c r="E1144">
        <f>IF(ISNUMBER(INDEX('Aides'!$O$4:$O$503,141)),TEXT(INDEX('Aides'!$O$4:$O$503,141),"yyyy-mm-dd"),"")</f>
        <v/>
      </c>
      <c r="F1144">
        <f>"Training"</f>
        <v/>
      </c>
      <c r="G1144">
        <f>"Medium"</f>
        <v/>
      </c>
      <c r="H1144">
        <f>TRIM(IF(LEN(IF(LEN(INDEX('Aides'!$P$4:$P$503,141))=0,"",INDEX('Aides'!$P$4:$P$503,141)))=0,"","Hours done: "&amp;IF(LEN(INDEX('Aides'!$P$4:$P$503,141))=0,"",INDEX('Aides'!$P$4:$P$503,141))&amp;". ")&amp;IF(LEN(IF(LEN(INDEX('Aides'!$Q$4:$Q$503,141))=0,"",INDEX('Aides'!$Q$4:$Q$503,141)))=0,"","Target: "&amp;IF(LEN(INDEX('Aides'!$Q$4:$Q$503,141))=0,"",INDEX('Aides'!$Q$4:$Q$503,141))&amp;". ")&amp;IF(LEN(IF(LEN(INDEX('Aides'!$R$4:$R$503,141))=0,"",INDEX('Aides'!$R$4:$R$503,141)))=0,"","Hours still needed: "&amp;IF(LEN(INDEX('Aides'!$R$4:$R$503,141))=0,"",INDEX('Aides'!$R$4:$R$503,141))&amp;". ")&amp;IF(LEN(IF(LEN(INDEX('Aides'!$U$4:$U$503,141))=0,"",INDEX('Aides'!$U$4:$U$503,141)))=0,"","Owner: "&amp;IF(LEN(INDEX('Aides'!$U$4:$U$503,141))=0,"",INDEX('Aides'!$U$4:$U$503,141))&amp;". "))</f>
        <v/>
      </c>
      <c r="I1144">
        <f>""</f>
        <v/>
      </c>
      <c r="J1144">
        <f>IF(LEN(INDEX('Aides'!$V$4:$V$503,141))=0,"",INDEX('Aides'!$V$4:$V$503,141))</f>
        <v/>
      </c>
    </row>
    <row r="1145">
      <c r="A1145">
        <f>IF(AND(LEN('Aides'!A145)&gt;0,ISNUMBER('Aides'!O145)),1,0)</f>
        <v/>
      </c>
      <c r="B1145">
        <f>B1144+A1145</f>
        <v/>
      </c>
      <c r="C1145">
        <f>IF(1142&gt;$B$1503,"",MATCH(1142-0.5,$B$3:$B$1503,1))</f>
        <v/>
      </c>
      <c r="D1145">
        <f>"In-service hours due – "&amp;IF(LEN(INDEX('Aides'!$A$4:$A$503,142))=0,"",INDEX('Aides'!$A$4:$A$503,142))</f>
        <v/>
      </c>
      <c r="E1145">
        <f>IF(ISNUMBER(INDEX('Aides'!$O$4:$O$503,142)),TEXT(INDEX('Aides'!$O$4:$O$503,142),"yyyy-mm-dd"),"")</f>
        <v/>
      </c>
      <c r="F1145">
        <f>"Training"</f>
        <v/>
      </c>
      <c r="G1145">
        <f>"Medium"</f>
        <v/>
      </c>
      <c r="H1145">
        <f>TRIM(IF(LEN(IF(LEN(INDEX('Aides'!$P$4:$P$503,142))=0,"",INDEX('Aides'!$P$4:$P$503,142)))=0,"","Hours done: "&amp;IF(LEN(INDEX('Aides'!$P$4:$P$503,142))=0,"",INDEX('Aides'!$P$4:$P$503,142))&amp;". ")&amp;IF(LEN(IF(LEN(INDEX('Aides'!$Q$4:$Q$503,142))=0,"",INDEX('Aides'!$Q$4:$Q$503,142)))=0,"","Target: "&amp;IF(LEN(INDEX('Aides'!$Q$4:$Q$503,142))=0,"",INDEX('Aides'!$Q$4:$Q$503,142))&amp;". ")&amp;IF(LEN(IF(LEN(INDEX('Aides'!$R$4:$R$503,142))=0,"",INDEX('Aides'!$R$4:$R$503,142)))=0,"","Hours still needed: "&amp;IF(LEN(INDEX('Aides'!$R$4:$R$503,142))=0,"",INDEX('Aides'!$R$4:$R$503,142))&amp;". ")&amp;IF(LEN(IF(LEN(INDEX('Aides'!$U$4:$U$503,142))=0,"",INDEX('Aides'!$U$4:$U$503,142)))=0,"","Owner: "&amp;IF(LEN(INDEX('Aides'!$U$4:$U$503,142))=0,"",INDEX('Aides'!$U$4:$U$503,142))&amp;". "))</f>
        <v/>
      </c>
      <c r="I1145">
        <f>""</f>
        <v/>
      </c>
      <c r="J1145">
        <f>IF(LEN(INDEX('Aides'!$V$4:$V$503,142))=0,"",INDEX('Aides'!$V$4:$V$503,142))</f>
        <v/>
      </c>
    </row>
    <row r="1146">
      <c r="A1146">
        <f>IF(AND(LEN('Aides'!A146)&gt;0,ISNUMBER('Aides'!O146)),1,0)</f>
        <v/>
      </c>
      <c r="B1146">
        <f>B1145+A1146</f>
        <v/>
      </c>
      <c r="C1146">
        <f>IF(1143&gt;$B$1503,"",MATCH(1143-0.5,$B$3:$B$1503,1))</f>
        <v/>
      </c>
      <c r="D1146">
        <f>"In-service hours due – "&amp;IF(LEN(INDEX('Aides'!$A$4:$A$503,143))=0,"",INDEX('Aides'!$A$4:$A$503,143))</f>
        <v/>
      </c>
      <c r="E1146">
        <f>IF(ISNUMBER(INDEX('Aides'!$O$4:$O$503,143)),TEXT(INDEX('Aides'!$O$4:$O$503,143),"yyyy-mm-dd"),"")</f>
        <v/>
      </c>
      <c r="F1146">
        <f>"Training"</f>
        <v/>
      </c>
      <c r="G1146">
        <f>"Medium"</f>
        <v/>
      </c>
      <c r="H1146">
        <f>TRIM(IF(LEN(IF(LEN(INDEX('Aides'!$P$4:$P$503,143))=0,"",INDEX('Aides'!$P$4:$P$503,143)))=0,"","Hours done: "&amp;IF(LEN(INDEX('Aides'!$P$4:$P$503,143))=0,"",INDEX('Aides'!$P$4:$P$503,143))&amp;". ")&amp;IF(LEN(IF(LEN(INDEX('Aides'!$Q$4:$Q$503,143))=0,"",INDEX('Aides'!$Q$4:$Q$503,143)))=0,"","Target: "&amp;IF(LEN(INDEX('Aides'!$Q$4:$Q$503,143))=0,"",INDEX('Aides'!$Q$4:$Q$503,143))&amp;". ")&amp;IF(LEN(IF(LEN(INDEX('Aides'!$R$4:$R$503,143))=0,"",INDEX('Aides'!$R$4:$R$503,143)))=0,"","Hours still needed: "&amp;IF(LEN(INDEX('Aides'!$R$4:$R$503,143))=0,"",INDEX('Aides'!$R$4:$R$503,143))&amp;". ")&amp;IF(LEN(IF(LEN(INDEX('Aides'!$U$4:$U$503,143))=0,"",INDEX('Aides'!$U$4:$U$503,143)))=0,"","Owner: "&amp;IF(LEN(INDEX('Aides'!$U$4:$U$503,143))=0,"",INDEX('Aides'!$U$4:$U$503,143))&amp;". "))</f>
        <v/>
      </c>
      <c r="I1146">
        <f>""</f>
        <v/>
      </c>
      <c r="J1146">
        <f>IF(LEN(INDEX('Aides'!$V$4:$V$503,143))=0,"",INDEX('Aides'!$V$4:$V$503,143))</f>
        <v/>
      </c>
    </row>
    <row r="1147">
      <c r="A1147">
        <f>IF(AND(LEN('Aides'!A147)&gt;0,ISNUMBER('Aides'!O147)),1,0)</f>
        <v/>
      </c>
      <c r="B1147">
        <f>B1146+A1147</f>
        <v/>
      </c>
      <c r="C1147">
        <f>IF(1144&gt;$B$1503,"",MATCH(1144-0.5,$B$3:$B$1503,1))</f>
        <v/>
      </c>
      <c r="D1147">
        <f>"In-service hours due – "&amp;IF(LEN(INDEX('Aides'!$A$4:$A$503,144))=0,"",INDEX('Aides'!$A$4:$A$503,144))</f>
        <v/>
      </c>
      <c r="E1147">
        <f>IF(ISNUMBER(INDEX('Aides'!$O$4:$O$503,144)),TEXT(INDEX('Aides'!$O$4:$O$503,144),"yyyy-mm-dd"),"")</f>
        <v/>
      </c>
      <c r="F1147">
        <f>"Training"</f>
        <v/>
      </c>
      <c r="G1147">
        <f>"Medium"</f>
        <v/>
      </c>
      <c r="H1147">
        <f>TRIM(IF(LEN(IF(LEN(INDEX('Aides'!$P$4:$P$503,144))=0,"",INDEX('Aides'!$P$4:$P$503,144)))=0,"","Hours done: "&amp;IF(LEN(INDEX('Aides'!$P$4:$P$503,144))=0,"",INDEX('Aides'!$P$4:$P$503,144))&amp;". ")&amp;IF(LEN(IF(LEN(INDEX('Aides'!$Q$4:$Q$503,144))=0,"",INDEX('Aides'!$Q$4:$Q$503,144)))=0,"","Target: "&amp;IF(LEN(INDEX('Aides'!$Q$4:$Q$503,144))=0,"",INDEX('Aides'!$Q$4:$Q$503,144))&amp;". ")&amp;IF(LEN(IF(LEN(INDEX('Aides'!$R$4:$R$503,144))=0,"",INDEX('Aides'!$R$4:$R$503,144)))=0,"","Hours still needed: "&amp;IF(LEN(INDEX('Aides'!$R$4:$R$503,144))=0,"",INDEX('Aides'!$R$4:$R$503,144))&amp;". ")&amp;IF(LEN(IF(LEN(INDEX('Aides'!$U$4:$U$503,144))=0,"",INDEX('Aides'!$U$4:$U$503,144)))=0,"","Owner: "&amp;IF(LEN(INDEX('Aides'!$U$4:$U$503,144))=0,"",INDEX('Aides'!$U$4:$U$503,144))&amp;". "))</f>
        <v/>
      </c>
      <c r="I1147">
        <f>""</f>
        <v/>
      </c>
      <c r="J1147">
        <f>IF(LEN(INDEX('Aides'!$V$4:$V$503,144))=0,"",INDEX('Aides'!$V$4:$V$503,144))</f>
        <v/>
      </c>
    </row>
    <row r="1148">
      <c r="A1148">
        <f>IF(AND(LEN('Aides'!A148)&gt;0,ISNUMBER('Aides'!O148)),1,0)</f>
        <v/>
      </c>
      <c r="B1148">
        <f>B1147+A1148</f>
        <v/>
      </c>
      <c r="C1148">
        <f>IF(1145&gt;$B$1503,"",MATCH(1145-0.5,$B$3:$B$1503,1))</f>
        <v/>
      </c>
      <c r="D1148">
        <f>"In-service hours due – "&amp;IF(LEN(INDEX('Aides'!$A$4:$A$503,145))=0,"",INDEX('Aides'!$A$4:$A$503,145))</f>
        <v/>
      </c>
      <c r="E1148">
        <f>IF(ISNUMBER(INDEX('Aides'!$O$4:$O$503,145)),TEXT(INDEX('Aides'!$O$4:$O$503,145),"yyyy-mm-dd"),"")</f>
        <v/>
      </c>
      <c r="F1148">
        <f>"Training"</f>
        <v/>
      </c>
      <c r="G1148">
        <f>"Medium"</f>
        <v/>
      </c>
      <c r="H1148">
        <f>TRIM(IF(LEN(IF(LEN(INDEX('Aides'!$P$4:$P$503,145))=0,"",INDEX('Aides'!$P$4:$P$503,145)))=0,"","Hours done: "&amp;IF(LEN(INDEX('Aides'!$P$4:$P$503,145))=0,"",INDEX('Aides'!$P$4:$P$503,145))&amp;". ")&amp;IF(LEN(IF(LEN(INDEX('Aides'!$Q$4:$Q$503,145))=0,"",INDEX('Aides'!$Q$4:$Q$503,145)))=0,"","Target: "&amp;IF(LEN(INDEX('Aides'!$Q$4:$Q$503,145))=0,"",INDEX('Aides'!$Q$4:$Q$503,145))&amp;". ")&amp;IF(LEN(IF(LEN(INDEX('Aides'!$R$4:$R$503,145))=0,"",INDEX('Aides'!$R$4:$R$503,145)))=0,"","Hours still needed: "&amp;IF(LEN(INDEX('Aides'!$R$4:$R$503,145))=0,"",INDEX('Aides'!$R$4:$R$503,145))&amp;". ")&amp;IF(LEN(IF(LEN(INDEX('Aides'!$U$4:$U$503,145))=0,"",INDEX('Aides'!$U$4:$U$503,145)))=0,"","Owner: "&amp;IF(LEN(INDEX('Aides'!$U$4:$U$503,145))=0,"",INDEX('Aides'!$U$4:$U$503,145))&amp;". "))</f>
        <v/>
      </c>
      <c r="I1148">
        <f>""</f>
        <v/>
      </c>
      <c r="J1148">
        <f>IF(LEN(INDEX('Aides'!$V$4:$V$503,145))=0,"",INDEX('Aides'!$V$4:$V$503,145))</f>
        <v/>
      </c>
    </row>
    <row r="1149">
      <c r="A1149">
        <f>IF(AND(LEN('Aides'!A149)&gt;0,ISNUMBER('Aides'!O149)),1,0)</f>
        <v/>
      </c>
      <c r="B1149">
        <f>B1148+A1149</f>
        <v/>
      </c>
      <c r="C1149">
        <f>IF(1146&gt;$B$1503,"",MATCH(1146-0.5,$B$3:$B$1503,1))</f>
        <v/>
      </c>
      <c r="D1149">
        <f>"In-service hours due – "&amp;IF(LEN(INDEX('Aides'!$A$4:$A$503,146))=0,"",INDEX('Aides'!$A$4:$A$503,146))</f>
        <v/>
      </c>
      <c r="E1149">
        <f>IF(ISNUMBER(INDEX('Aides'!$O$4:$O$503,146)),TEXT(INDEX('Aides'!$O$4:$O$503,146),"yyyy-mm-dd"),"")</f>
        <v/>
      </c>
      <c r="F1149">
        <f>"Training"</f>
        <v/>
      </c>
      <c r="G1149">
        <f>"Medium"</f>
        <v/>
      </c>
      <c r="H1149">
        <f>TRIM(IF(LEN(IF(LEN(INDEX('Aides'!$P$4:$P$503,146))=0,"",INDEX('Aides'!$P$4:$P$503,146)))=0,"","Hours done: "&amp;IF(LEN(INDEX('Aides'!$P$4:$P$503,146))=0,"",INDEX('Aides'!$P$4:$P$503,146))&amp;". ")&amp;IF(LEN(IF(LEN(INDEX('Aides'!$Q$4:$Q$503,146))=0,"",INDEX('Aides'!$Q$4:$Q$503,146)))=0,"","Target: "&amp;IF(LEN(INDEX('Aides'!$Q$4:$Q$503,146))=0,"",INDEX('Aides'!$Q$4:$Q$503,146))&amp;". ")&amp;IF(LEN(IF(LEN(INDEX('Aides'!$R$4:$R$503,146))=0,"",INDEX('Aides'!$R$4:$R$503,146)))=0,"","Hours still needed: "&amp;IF(LEN(INDEX('Aides'!$R$4:$R$503,146))=0,"",INDEX('Aides'!$R$4:$R$503,146))&amp;". ")&amp;IF(LEN(IF(LEN(INDEX('Aides'!$U$4:$U$503,146))=0,"",INDEX('Aides'!$U$4:$U$503,146)))=0,"","Owner: "&amp;IF(LEN(INDEX('Aides'!$U$4:$U$503,146))=0,"",INDEX('Aides'!$U$4:$U$503,146))&amp;". "))</f>
        <v/>
      </c>
      <c r="I1149">
        <f>""</f>
        <v/>
      </c>
      <c r="J1149">
        <f>IF(LEN(INDEX('Aides'!$V$4:$V$503,146))=0,"",INDEX('Aides'!$V$4:$V$503,146))</f>
        <v/>
      </c>
    </row>
    <row r="1150">
      <c r="A1150">
        <f>IF(AND(LEN('Aides'!A150)&gt;0,ISNUMBER('Aides'!O150)),1,0)</f>
        <v/>
      </c>
      <c r="B1150">
        <f>B1149+A1150</f>
        <v/>
      </c>
      <c r="C1150">
        <f>IF(1147&gt;$B$1503,"",MATCH(1147-0.5,$B$3:$B$1503,1))</f>
        <v/>
      </c>
      <c r="D1150">
        <f>"In-service hours due – "&amp;IF(LEN(INDEX('Aides'!$A$4:$A$503,147))=0,"",INDEX('Aides'!$A$4:$A$503,147))</f>
        <v/>
      </c>
      <c r="E1150">
        <f>IF(ISNUMBER(INDEX('Aides'!$O$4:$O$503,147)),TEXT(INDEX('Aides'!$O$4:$O$503,147),"yyyy-mm-dd"),"")</f>
        <v/>
      </c>
      <c r="F1150">
        <f>"Training"</f>
        <v/>
      </c>
      <c r="G1150">
        <f>"Medium"</f>
        <v/>
      </c>
      <c r="H1150">
        <f>TRIM(IF(LEN(IF(LEN(INDEX('Aides'!$P$4:$P$503,147))=0,"",INDEX('Aides'!$P$4:$P$503,147)))=0,"","Hours done: "&amp;IF(LEN(INDEX('Aides'!$P$4:$P$503,147))=0,"",INDEX('Aides'!$P$4:$P$503,147))&amp;". ")&amp;IF(LEN(IF(LEN(INDEX('Aides'!$Q$4:$Q$503,147))=0,"",INDEX('Aides'!$Q$4:$Q$503,147)))=0,"","Target: "&amp;IF(LEN(INDEX('Aides'!$Q$4:$Q$503,147))=0,"",INDEX('Aides'!$Q$4:$Q$503,147))&amp;". ")&amp;IF(LEN(IF(LEN(INDEX('Aides'!$R$4:$R$503,147))=0,"",INDEX('Aides'!$R$4:$R$503,147)))=0,"","Hours still needed: "&amp;IF(LEN(INDEX('Aides'!$R$4:$R$503,147))=0,"",INDEX('Aides'!$R$4:$R$503,147))&amp;". ")&amp;IF(LEN(IF(LEN(INDEX('Aides'!$U$4:$U$503,147))=0,"",INDEX('Aides'!$U$4:$U$503,147)))=0,"","Owner: "&amp;IF(LEN(INDEX('Aides'!$U$4:$U$503,147))=0,"",INDEX('Aides'!$U$4:$U$503,147))&amp;". "))</f>
        <v/>
      </c>
      <c r="I1150">
        <f>""</f>
        <v/>
      </c>
      <c r="J1150">
        <f>IF(LEN(INDEX('Aides'!$V$4:$V$503,147))=0,"",INDEX('Aides'!$V$4:$V$503,147))</f>
        <v/>
      </c>
    </row>
    <row r="1151">
      <c r="A1151">
        <f>IF(AND(LEN('Aides'!A151)&gt;0,ISNUMBER('Aides'!O151)),1,0)</f>
        <v/>
      </c>
      <c r="B1151">
        <f>B1150+A1151</f>
        <v/>
      </c>
      <c r="C1151">
        <f>IF(1148&gt;$B$1503,"",MATCH(1148-0.5,$B$3:$B$1503,1))</f>
        <v/>
      </c>
      <c r="D1151">
        <f>"In-service hours due – "&amp;IF(LEN(INDEX('Aides'!$A$4:$A$503,148))=0,"",INDEX('Aides'!$A$4:$A$503,148))</f>
        <v/>
      </c>
      <c r="E1151">
        <f>IF(ISNUMBER(INDEX('Aides'!$O$4:$O$503,148)),TEXT(INDEX('Aides'!$O$4:$O$503,148),"yyyy-mm-dd"),"")</f>
        <v/>
      </c>
      <c r="F1151">
        <f>"Training"</f>
        <v/>
      </c>
      <c r="G1151">
        <f>"Medium"</f>
        <v/>
      </c>
      <c r="H1151">
        <f>TRIM(IF(LEN(IF(LEN(INDEX('Aides'!$P$4:$P$503,148))=0,"",INDEX('Aides'!$P$4:$P$503,148)))=0,"","Hours done: "&amp;IF(LEN(INDEX('Aides'!$P$4:$P$503,148))=0,"",INDEX('Aides'!$P$4:$P$503,148))&amp;". ")&amp;IF(LEN(IF(LEN(INDEX('Aides'!$Q$4:$Q$503,148))=0,"",INDEX('Aides'!$Q$4:$Q$503,148)))=0,"","Target: "&amp;IF(LEN(INDEX('Aides'!$Q$4:$Q$503,148))=0,"",INDEX('Aides'!$Q$4:$Q$503,148))&amp;". ")&amp;IF(LEN(IF(LEN(INDEX('Aides'!$R$4:$R$503,148))=0,"",INDEX('Aides'!$R$4:$R$503,148)))=0,"","Hours still needed: "&amp;IF(LEN(INDEX('Aides'!$R$4:$R$503,148))=0,"",INDEX('Aides'!$R$4:$R$503,148))&amp;". ")&amp;IF(LEN(IF(LEN(INDEX('Aides'!$U$4:$U$503,148))=0,"",INDEX('Aides'!$U$4:$U$503,148)))=0,"","Owner: "&amp;IF(LEN(INDEX('Aides'!$U$4:$U$503,148))=0,"",INDEX('Aides'!$U$4:$U$503,148))&amp;". "))</f>
        <v/>
      </c>
      <c r="I1151">
        <f>""</f>
        <v/>
      </c>
      <c r="J1151">
        <f>IF(LEN(INDEX('Aides'!$V$4:$V$503,148))=0,"",INDEX('Aides'!$V$4:$V$503,148))</f>
        <v/>
      </c>
    </row>
    <row r="1152">
      <c r="A1152">
        <f>IF(AND(LEN('Aides'!A152)&gt;0,ISNUMBER('Aides'!O152)),1,0)</f>
        <v/>
      </c>
      <c r="B1152">
        <f>B1151+A1152</f>
        <v/>
      </c>
      <c r="C1152">
        <f>IF(1149&gt;$B$1503,"",MATCH(1149-0.5,$B$3:$B$1503,1))</f>
        <v/>
      </c>
      <c r="D1152">
        <f>"In-service hours due – "&amp;IF(LEN(INDEX('Aides'!$A$4:$A$503,149))=0,"",INDEX('Aides'!$A$4:$A$503,149))</f>
        <v/>
      </c>
      <c r="E1152">
        <f>IF(ISNUMBER(INDEX('Aides'!$O$4:$O$503,149)),TEXT(INDEX('Aides'!$O$4:$O$503,149),"yyyy-mm-dd"),"")</f>
        <v/>
      </c>
      <c r="F1152">
        <f>"Training"</f>
        <v/>
      </c>
      <c r="G1152">
        <f>"Medium"</f>
        <v/>
      </c>
      <c r="H1152">
        <f>TRIM(IF(LEN(IF(LEN(INDEX('Aides'!$P$4:$P$503,149))=0,"",INDEX('Aides'!$P$4:$P$503,149)))=0,"","Hours done: "&amp;IF(LEN(INDEX('Aides'!$P$4:$P$503,149))=0,"",INDEX('Aides'!$P$4:$P$503,149))&amp;". ")&amp;IF(LEN(IF(LEN(INDEX('Aides'!$Q$4:$Q$503,149))=0,"",INDEX('Aides'!$Q$4:$Q$503,149)))=0,"","Target: "&amp;IF(LEN(INDEX('Aides'!$Q$4:$Q$503,149))=0,"",INDEX('Aides'!$Q$4:$Q$503,149))&amp;". ")&amp;IF(LEN(IF(LEN(INDEX('Aides'!$R$4:$R$503,149))=0,"",INDEX('Aides'!$R$4:$R$503,149)))=0,"","Hours still needed: "&amp;IF(LEN(INDEX('Aides'!$R$4:$R$503,149))=0,"",INDEX('Aides'!$R$4:$R$503,149))&amp;". ")&amp;IF(LEN(IF(LEN(INDEX('Aides'!$U$4:$U$503,149))=0,"",INDEX('Aides'!$U$4:$U$503,149)))=0,"","Owner: "&amp;IF(LEN(INDEX('Aides'!$U$4:$U$503,149))=0,"",INDEX('Aides'!$U$4:$U$503,149))&amp;". "))</f>
        <v/>
      </c>
      <c r="I1152">
        <f>""</f>
        <v/>
      </c>
      <c r="J1152">
        <f>IF(LEN(INDEX('Aides'!$V$4:$V$503,149))=0,"",INDEX('Aides'!$V$4:$V$503,149))</f>
        <v/>
      </c>
    </row>
    <row r="1153">
      <c r="A1153">
        <f>IF(AND(LEN('Aides'!A153)&gt;0,ISNUMBER('Aides'!O153)),1,0)</f>
        <v/>
      </c>
      <c r="B1153">
        <f>B1152+A1153</f>
        <v/>
      </c>
      <c r="C1153">
        <f>IF(1150&gt;$B$1503,"",MATCH(1150-0.5,$B$3:$B$1503,1))</f>
        <v/>
      </c>
      <c r="D1153">
        <f>"In-service hours due – "&amp;IF(LEN(INDEX('Aides'!$A$4:$A$503,150))=0,"",INDEX('Aides'!$A$4:$A$503,150))</f>
        <v/>
      </c>
      <c r="E1153">
        <f>IF(ISNUMBER(INDEX('Aides'!$O$4:$O$503,150)),TEXT(INDEX('Aides'!$O$4:$O$503,150),"yyyy-mm-dd"),"")</f>
        <v/>
      </c>
      <c r="F1153">
        <f>"Training"</f>
        <v/>
      </c>
      <c r="G1153">
        <f>"Medium"</f>
        <v/>
      </c>
      <c r="H1153">
        <f>TRIM(IF(LEN(IF(LEN(INDEX('Aides'!$P$4:$P$503,150))=0,"",INDEX('Aides'!$P$4:$P$503,150)))=0,"","Hours done: "&amp;IF(LEN(INDEX('Aides'!$P$4:$P$503,150))=0,"",INDEX('Aides'!$P$4:$P$503,150))&amp;". ")&amp;IF(LEN(IF(LEN(INDEX('Aides'!$Q$4:$Q$503,150))=0,"",INDEX('Aides'!$Q$4:$Q$503,150)))=0,"","Target: "&amp;IF(LEN(INDEX('Aides'!$Q$4:$Q$503,150))=0,"",INDEX('Aides'!$Q$4:$Q$503,150))&amp;". ")&amp;IF(LEN(IF(LEN(INDEX('Aides'!$R$4:$R$503,150))=0,"",INDEX('Aides'!$R$4:$R$503,150)))=0,"","Hours still needed: "&amp;IF(LEN(INDEX('Aides'!$R$4:$R$503,150))=0,"",INDEX('Aides'!$R$4:$R$503,150))&amp;". ")&amp;IF(LEN(IF(LEN(INDEX('Aides'!$U$4:$U$503,150))=0,"",INDEX('Aides'!$U$4:$U$503,150)))=0,"","Owner: "&amp;IF(LEN(INDEX('Aides'!$U$4:$U$503,150))=0,"",INDEX('Aides'!$U$4:$U$503,150))&amp;". "))</f>
        <v/>
      </c>
      <c r="I1153">
        <f>""</f>
        <v/>
      </c>
      <c r="J1153">
        <f>IF(LEN(INDEX('Aides'!$V$4:$V$503,150))=0,"",INDEX('Aides'!$V$4:$V$503,150))</f>
        <v/>
      </c>
    </row>
    <row r="1154">
      <c r="A1154">
        <f>IF(AND(LEN('Aides'!A154)&gt;0,ISNUMBER('Aides'!O154)),1,0)</f>
        <v/>
      </c>
      <c r="B1154">
        <f>B1153+A1154</f>
        <v/>
      </c>
      <c r="C1154">
        <f>IF(1151&gt;$B$1503,"",MATCH(1151-0.5,$B$3:$B$1503,1))</f>
        <v/>
      </c>
      <c r="D1154">
        <f>"In-service hours due – "&amp;IF(LEN(INDEX('Aides'!$A$4:$A$503,151))=0,"",INDEX('Aides'!$A$4:$A$503,151))</f>
        <v/>
      </c>
      <c r="E1154">
        <f>IF(ISNUMBER(INDEX('Aides'!$O$4:$O$503,151)),TEXT(INDEX('Aides'!$O$4:$O$503,151),"yyyy-mm-dd"),"")</f>
        <v/>
      </c>
      <c r="F1154">
        <f>"Training"</f>
        <v/>
      </c>
      <c r="G1154">
        <f>"Medium"</f>
        <v/>
      </c>
      <c r="H1154">
        <f>TRIM(IF(LEN(IF(LEN(INDEX('Aides'!$P$4:$P$503,151))=0,"",INDEX('Aides'!$P$4:$P$503,151)))=0,"","Hours done: "&amp;IF(LEN(INDEX('Aides'!$P$4:$P$503,151))=0,"",INDEX('Aides'!$P$4:$P$503,151))&amp;". ")&amp;IF(LEN(IF(LEN(INDEX('Aides'!$Q$4:$Q$503,151))=0,"",INDEX('Aides'!$Q$4:$Q$503,151)))=0,"","Target: "&amp;IF(LEN(INDEX('Aides'!$Q$4:$Q$503,151))=0,"",INDEX('Aides'!$Q$4:$Q$503,151))&amp;". ")&amp;IF(LEN(IF(LEN(INDEX('Aides'!$R$4:$R$503,151))=0,"",INDEX('Aides'!$R$4:$R$503,151)))=0,"","Hours still needed: "&amp;IF(LEN(INDEX('Aides'!$R$4:$R$503,151))=0,"",INDEX('Aides'!$R$4:$R$503,151))&amp;". ")&amp;IF(LEN(IF(LEN(INDEX('Aides'!$U$4:$U$503,151))=0,"",INDEX('Aides'!$U$4:$U$503,151)))=0,"","Owner: "&amp;IF(LEN(INDEX('Aides'!$U$4:$U$503,151))=0,"",INDEX('Aides'!$U$4:$U$503,151))&amp;". "))</f>
        <v/>
      </c>
      <c r="I1154">
        <f>""</f>
        <v/>
      </c>
      <c r="J1154">
        <f>IF(LEN(INDEX('Aides'!$V$4:$V$503,151))=0,"",INDEX('Aides'!$V$4:$V$503,151))</f>
        <v/>
      </c>
    </row>
    <row r="1155">
      <c r="A1155">
        <f>IF(AND(LEN('Aides'!A155)&gt;0,ISNUMBER('Aides'!O155)),1,0)</f>
        <v/>
      </c>
      <c r="B1155">
        <f>B1154+A1155</f>
        <v/>
      </c>
      <c r="C1155">
        <f>IF(1152&gt;$B$1503,"",MATCH(1152-0.5,$B$3:$B$1503,1))</f>
        <v/>
      </c>
      <c r="D1155">
        <f>"In-service hours due – "&amp;IF(LEN(INDEX('Aides'!$A$4:$A$503,152))=0,"",INDEX('Aides'!$A$4:$A$503,152))</f>
        <v/>
      </c>
      <c r="E1155">
        <f>IF(ISNUMBER(INDEX('Aides'!$O$4:$O$503,152)),TEXT(INDEX('Aides'!$O$4:$O$503,152),"yyyy-mm-dd"),"")</f>
        <v/>
      </c>
      <c r="F1155">
        <f>"Training"</f>
        <v/>
      </c>
      <c r="G1155">
        <f>"Medium"</f>
        <v/>
      </c>
      <c r="H1155">
        <f>TRIM(IF(LEN(IF(LEN(INDEX('Aides'!$P$4:$P$503,152))=0,"",INDEX('Aides'!$P$4:$P$503,152)))=0,"","Hours done: "&amp;IF(LEN(INDEX('Aides'!$P$4:$P$503,152))=0,"",INDEX('Aides'!$P$4:$P$503,152))&amp;". ")&amp;IF(LEN(IF(LEN(INDEX('Aides'!$Q$4:$Q$503,152))=0,"",INDEX('Aides'!$Q$4:$Q$503,152)))=0,"","Target: "&amp;IF(LEN(INDEX('Aides'!$Q$4:$Q$503,152))=0,"",INDEX('Aides'!$Q$4:$Q$503,152))&amp;". ")&amp;IF(LEN(IF(LEN(INDEX('Aides'!$R$4:$R$503,152))=0,"",INDEX('Aides'!$R$4:$R$503,152)))=0,"","Hours still needed: "&amp;IF(LEN(INDEX('Aides'!$R$4:$R$503,152))=0,"",INDEX('Aides'!$R$4:$R$503,152))&amp;". ")&amp;IF(LEN(IF(LEN(INDEX('Aides'!$U$4:$U$503,152))=0,"",INDEX('Aides'!$U$4:$U$503,152)))=0,"","Owner: "&amp;IF(LEN(INDEX('Aides'!$U$4:$U$503,152))=0,"",INDEX('Aides'!$U$4:$U$503,152))&amp;". "))</f>
        <v/>
      </c>
      <c r="I1155">
        <f>""</f>
        <v/>
      </c>
      <c r="J1155">
        <f>IF(LEN(INDEX('Aides'!$V$4:$V$503,152))=0,"",INDEX('Aides'!$V$4:$V$503,152))</f>
        <v/>
      </c>
    </row>
    <row r="1156">
      <c r="A1156">
        <f>IF(AND(LEN('Aides'!A156)&gt;0,ISNUMBER('Aides'!O156)),1,0)</f>
        <v/>
      </c>
      <c r="B1156">
        <f>B1155+A1156</f>
        <v/>
      </c>
      <c r="C1156">
        <f>IF(1153&gt;$B$1503,"",MATCH(1153-0.5,$B$3:$B$1503,1))</f>
        <v/>
      </c>
      <c r="D1156">
        <f>"In-service hours due – "&amp;IF(LEN(INDEX('Aides'!$A$4:$A$503,153))=0,"",INDEX('Aides'!$A$4:$A$503,153))</f>
        <v/>
      </c>
      <c r="E1156">
        <f>IF(ISNUMBER(INDEX('Aides'!$O$4:$O$503,153)),TEXT(INDEX('Aides'!$O$4:$O$503,153),"yyyy-mm-dd"),"")</f>
        <v/>
      </c>
      <c r="F1156">
        <f>"Training"</f>
        <v/>
      </c>
      <c r="G1156">
        <f>"Medium"</f>
        <v/>
      </c>
      <c r="H1156">
        <f>TRIM(IF(LEN(IF(LEN(INDEX('Aides'!$P$4:$P$503,153))=0,"",INDEX('Aides'!$P$4:$P$503,153)))=0,"","Hours done: "&amp;IF(LEN(INDEX('Aides'!$P$4:$P$503,153))=0,"",INDEX('Aides'!$P$4:$P$503,153))&amp;". ")&amp;IF(LEN(IF(LEN(INDEX('Aides'!$Q$4:$Q$503,153))=0,"",INDEX('Aides'!$Q$4:$Q$503,153)))=0,"","Target: "&amp;IF(LEN(INDEX('Aides'!$Q$4:$Q$503,153))=0,"",INDEX('Aides'!$Q$4:$Q$503,153))&amp;". ")&amp;IF(LEN(IF(LEN(INDEX('Aides'!$R$4:$R$503,153))=0,"",INDEX('Aides'!$R$4:$R$503,153)))=0,"","Hours still needed: "&amp;IF(LEN(INDEX('Aides'!$R$4:$R$503,153))=0,"",INDEX('Aides'!$R$4:$R$503,153))&amp;". ")&amp;IF(LEN(IF(LEN(INDEX('Aides'!$U$4:$U$503,153))=0,"",INDEX('Aides'!$U$4:$U$503,153)))=0,"","Owner: "&amp;IF(LEN(INDEX('Aides'!$U$4:$U$503,153))=0,"",INDEX('Aides'!$U$4:$U$503,153))&amp;". "))</f>
        <v/>
      </c>
      <c r="I1156">
        <f>""</f>
        <v/>
      </c>
      <c r="J1156">
        <f>IF(LEN(INDEX('Aides'!$V$4:$V$503,153))=0,"",INDEX('Aides'!$V$4:$V$503,153))</f>
        <v/>
      </c>
    </row>
    <row r="1157">
      <c r="A1157">
        <f>IF(AND(LEN('Aides'!A157)&gt;0,ISNUMBER('Aides'!O157)),1,0)</f>
        <v/>
      </c>
      <c r="B1157">
        <f>B1156+A1157</f>
        <v/>
      </c>
      <c r="C1157">
        <f>IF(1154&gt;$B$1503,"",MATCH(1154-0.5,$B$3:$B$1503,1))</f>
        <v/>
      </c>
      <c r="D1157">
        <f>"In-service hours due – "&amp;IF(LEN(INDEX('Aides'!$A$4:$A$503,154))=0,"",INDEX('Aides'!$A$4:$A$503,154))</f>
        <v/>
      </c>
      <c r="E1157">
        <f>IF(ISNUMBER(INDEX('Aides'!$O$4:$O$503,154)),TEXT(INDEX('Aides'!$O$4:$O$503,154),"yyyy-mm-dd"),"")</f>
        <v/>
      </c>
      <c r="F1157">
        <f>"Training"</f>
        <v/>
      </c>
      <c r="G1157">
        <f>"Medium"</f>
        <v/>
      </c>
      <c r="H1157">
        <f>TRIM(IF(LEN(IF(LEN(INDEX('Aides'!$P$4:$P$503,154))=0,"",INDEX('Aides'!$P$4:$P$503,154)))=0,"","Hours done: "&amp;IF(LEN(INDEX('Aides'!$P$4:$P$503,154))=0,"",INDEX('Aides'!$P$4:$P$503,154))&amp;". ")&amp;IF(LEN(IF(LEN(INDEX('Aides'!$Q$4:$Q$503,154))=0,"",INDEX('Aides'!$Q$4:$Q$503,154)))=0,"","Target: "&amp;IF(LEN(INDEX('Aides'!$Q$4:$Q$503,154))=0,"",INDEX('Aides'!$Q$4:$Q$503,154))&amp;". ")&amp;IF(LEN(IF(LEN(INDEX('Aides'!$R$4:$R$503,154))=0,"",INDEX('Aides'!$R$4:$R$503,154)))=0,"","Hours still needed: "&amp;IF(LEN(INDEX('Aides'!$R$4:$R$503,154))=0,"",INDEX('Aides'!$R$4:$R$503,154))&amp;". ")&amp;IF(LEN(IF(LEN(INDEX('Aides'!$U$4:$U$503,154))=0,"",INDEX('Aides'!$U$4:$U$503,154)))=0,"","Owner: "&amp;IF(LEN(INDEX('Aides'!$U$4:$U$503,154))=0,"",INDEX('Aides'!$U$4:$U$503,154))&amp;". "))</f>
        <v/>
      </c>
      <c r="I1157">
        <f>""</f>
        <v/>
      </c>
      <c r="J1157">
        <f>IF(LEN(INDEX('Aides'!$V$4:$V$503,154))=0,"",INDEX('Aides'!$V$4:$V$503,154))</f>
        <v/>
      </c>
    </row>
    <row r="1158">
      <c r="A1158">
        <f>IF(AND(LEN('Aides'!A158)&gt;0,ISNUMBER('Aides'!O158)),1,0)</f>
        <v/>
      </c>
      <c r="B1158">
        <f>B1157+A1158</f>
        <v/>
      </c>
      <c r="C1158">
        <f>IF(1155&gt;$B$1503,"",MATCH(1155-0.5,$B$3:$B$1503,1))</f>
        <v/>
      </c>
      <c r="D1158">
        <f>"In-service hours due – "&amp;IF(LEN(INDEX('Aides'!$A$4:$A$503,155))=0,"",INDEX('Aides'!$A$4:$A$503,155))</f>
        <v/>
      </c>
      <c r="E1158">
        <f>IF(ISNUMBER(INDEX('Aides'!$O$4:$O$503,155)),TEXT(INDEX('Aides'!$O$4:$O$503,155),"yyyy-mm-dd"),"")</f>
        <v/>
      </c>
      <c r="F1158">
        <f>"Training"</f>
        <v/>
      </c>
      <c r="G1158">
        <f>"Medium"</f>
        <v/>
      </c>
      <c r="H1158">
        <f>TRIM(IF(LEN(IF(LEN(INDEX('Aides'!$P$4:$P$503,155))=0,"",INDEX('Aides'!$P$4:$P$503,155)))=0,"","Hours done: "&amp;IF(LEN(INDEX('Aides'!$P$4:$P$503,155))=0,"",INDEX('Aides'!$P$4:$P$503,155))&amp;". ")&amp;IF(LEN(IF(LEN(INDEX('Aides'!$Q$4:$Q$503,155))=0,"",INDEX('Aides'!$Q$4:$Q$503,155)))=0,"","Target: "&amp;IF(LEN(INDEX('Aides'!$Q$4:$Q$503,155))=0,"",INDEX('Aides'!$Q$4:$Q$503,155))&amp;". ")&amp;IF(LEN(IF(LEN(INDEX('Aides'!$R$4:$R$503,155))=0,"",INDEX('Aides'!$R$4:$R$503,155)))=0,"","Hours still needed: "&amp;IF(LEN(INDEX('Aides'!$R$4:$R$503,155))=0,"",INDEX('Aides'!$R$4:$R$503,155))&amp;". ")&amp;IF(LEN(IF(LEN(INDEX('Aides'!$U$4:$U$503,155))=0,"",INDEX('Aides'!$U$4:$U$503,155)))=0,"","Owner: "&amp;IF(LEN(INDEX('Aides'!$U$4:$U$503,155))=0,"",INDEX('Aides'!$U$4:$U$503,155))&amp;". "))</f>
        <v/>
      </c>
      <c r="I1158">
        <f>""</f>
        <v/>
      </c>
      <c r="J1158">
        <f>IF(LEN(INDEX('Aides'!$V$4:$V$503,155))=0,"",INDEX('Aides'!$V$4:$V$503,155))</f>
        <v/>
      </c>
    </row>
    <row r="1159">
      <c r="A1159">
        <f>IF(AND(LEN('Aides'!A159)&gt;0,ISNUMBER('Aides'!O159)),1,0)</f>
        <v/>
      </c>
      <c r="B1159">
        <f>B1158+A1159</f>
        <v/>
      </c>
      <c r="C1159">
        <f>IF(1156&gt;$B$1503,"",MATCH(1156-0.5,$B$3:$B$1503,1))</f>
        <v/>
      </c>
      <c r="D1159">
        <f>"In-service hours due – "&amp;IF(LEN(INDEX('Aides'!$A$4:$A$503,156))=0,"",INDEX('Aides'!$A$4:$A$503,156))</f>
        <v/>
      </c>
      <c r="E1159">
        <f>IF(ISNUMBER(INDEX('Aides'!$O$4:$O$503,156)),TEXT(INDEX('Aides'!$O$4:$O$503,156),"yyyy-mm-dd"),"")</f>
        <v/>
      </c>
      <c r="F1159">
        <f>"Training"</f>
        <v/>
      </c>
      <c r="G1159">
        <f>"Medium"</f>
        <v/>
      </c>
      <c r="H1159">
        <f>TRIM(IF(LEN(IF(LEN(INDEX('Aides'!$P$4:$P$503,156))=0,"",INDEX('Aides'!$P$4:$P$503,156)))=0,"","Hours done: "&amp;IF(LEN(INDEX('Aides'!$P$4:$P$503,156))=0,"",INDEX('Aides'!$P$4:$P$503,156))&amp;". ")&amp;IF(LEN(IF(LEN(INDEX('Aides'!$Q$4:$Q$503,156))=0,"",INDEX('Aides'!$Q$4:$Q$503,156)))=0,"","Target: "&amp;IF(LEN(INDEX('Aides'!$Q$4:$Q$503,156))=0,"",INDEX('Aides'!$Q$4:$Q$503,156))&amp;". ")&amp;IF(LEN(IF(LEN(INDEX('Aides'!$R$4:$R$503,156))=0,"",INDEX('Aides'!$R$4:$R$503,156)))=0,"","Hours still needed: "&amp;IF(LEN(INDEX('Aides'!$R$4:$R$503,156))=0,"",INDEX('Aides'!$R$4:$R$503,156))&amp;". ")&amp;IF(LEN(IF(LEN(INDEX('Aides'!$U$4:$U$503,156))=0,"",INDEX('Aides'!$U$4:$U$503,156)))=0,"","Owner: "&amp;IF(LEN(INDEX('Aides'!$U$4:$U$503,156))=0,"",INDEX('Aides'!$U$4:$U$503,156))&amp;". "))</f>
        <v/>
      </c>
      <c r="I1159">
        <f>""</f>
        <v/>
      </c>
      <c r="J1159">
        <f>IF(LEN(INDEX('Aides'!$V$4:$V$503,156))=0,"",INDEX('Aides'!$V$4:$V$503,156))</f>
        <v/>
      </c>
    </row>
    <row r="1160">
      <c r="A1160">
        <f>IF(AND(LEN('Aides'!A160)&gt;0,ISNUMBER('Aides'!O160)),1,0)</f>
        <v/>
      </c>
      <c r="B1160">
        <f>B1159+A1160</f>
        <v/>
      </c>
      <c r="C1160">
        <f>IF(1157&gt;$B$1503,"",MATCH(1157-0.5,$B$3:$B$1503,1))</f>
        <v/>
      </c>
      <c r="D1160">
        <f>"In-service hours due – "&amp;IF(LEN(INDEX('Aides'!$A$4:$A$503,157))=0,"",INDEX('Aides'!$A$4:$A$503,157))</f>
        <v/>
      </c>
      <c r="E1160">
        <f>IF(ISNUMBER(INDEX('Aides'!$O$4:$O$503,157)),TEXT(INDEX('Aides'!$O$4:$O$503,157),"yyyy-mm-dd"),"")</f>
        <v/>
      </c>
      <c r="F1160">
        <f>"Training"</f>
        <v/>
      </c>
      <c r="G1160">
        <f>"Medium"</f>
        <v/>
      </c>
      <c r="H1160">
        <f>TRIM(IF(LEN(IF(LEN(INDEX('Aides'!$P$4:$P$503,157))=0,"",INDEX('Aides'!$P$4:$P$503,157)))=0,"","Hours done: "&amp;IF(LEN(INDEX('Aides'!$P$4:$P$503,157))=0,"",INDEX('Aides'!$P$4:$P$503,157))&amp;". ")&amp;IF(LEN(IF(LEN(INDEX('Aides'!$Q$4:$Q$503,157))=0,"",INDEX('Aides'!$Q$4:$Q$503,157)))=0,"","Target: "&amp;IF(LEN(INDEX('Aides'!$Q$4:$Q$503,157))=0,"",INDEX('Aides'!$Q$4:$Q$503,157))&amp;". ")&amp;IF(LEN(IF(LEN(INDEX('Aides'!$R$4:$R$503,157))=0,"",INDEX('Aides'!$R$4:$R$503,157)))=0,"","Hours still needed: "&amp;IF(LEN(INDEX('Aides'!$R$4:$R$503,157))=0,"",INDEX('Aides'!$R$4:$R$503,157))&amp;". ")&amp;IF(LEN(IF(LEN(INDEX('Aides'!$U$4:$U$503,157))=0,"",INDEX('Aides'!$U$4:$U$503,157)))=0,"","Owner: "&amp;IF(LEN(INDEX('Aides'!$U$4:$U$503,157))=0,"",INDEX('Aides'!$U$4:$U$503,157))&amp;". "))</f>
        <v/>
      </c>
      <c r="I1160">
        <f>""</f>
        <v/>
      </c>
      <c r="J1160">
        <f>IF(LEN(INDEX('Aides'!$V$4:$V$503,157))=0,"",INDEX('Aides'!$V$4:$V$503,157))</f>
        <v/>
      </c>
    </row>
    <row r="1161">
      <c r="A1161">
        <f>IF(AND(LEN('Aides'!A161)&gt;0,ISNUMBER('Aides'!O161)),1,0)</f>
        <v/>
      </c>
      <c r="B1161">
        <f>B1160+A1161</f>
        <v/>
      </c>
      <c r="C1161">
        <f>IF(1158&gt;$B$1503,"",MATCH(1158-0.5,$B$3:$B$1503,1))</f>
        <v/>
      </c>
      <c r="D1161">
        <f>"In-service hours due – "&amp;IF(LEN(INDEX('Aides'!$A$4:$A$503,158))=0,"",INDEX('Aides'!$A$4:$A$503,158))</f>
        <v/>
      </c>
      <c r="E1161">
        <f>IF(ISNUMBER(INDEX('Aides'!$O$4:$O$503,158)),TEXT(INDEX('Aides'!$O$4:$O$503,158),"yyyy-mm-dd"),"")</f>
        <v/>
      </c>
      <c r="F1161">
        <f>"Training"</f>
        <v/>
      </c>
      <c r="G1161">
        <f>"Medium"</f>
        <v/>
      </c>
      <c r="H1161">
        <f>TRIM(IF(LEN(IF(LEN(INDEX('Aides'!$P$4:$P$503,158))=0,"",INDEX('Aides'!$P$4:$P$503,158)))=0,"","Hours done: "&amp;IF(LEN(INDEX('Aides'!$P$4:$P$503,158))=0,"",INDEX('Aides'!$P$4:$P$503,158))&amp;". ")&amp;IF(LEN(IF(LEN(INDEX('Aides'!$Q$4:$Q$503,158))=0,"",INDEX('Aides'!$Q$4:$Q$503,158)))=0,"","Target: "&amp;IF(LEN(INDEX('Aides'!$Q$4:$Q$503,158))=0,"",INDEX('Aides'!$Q$4:$Q$503,158))&amp;". ")&amp;IF(LEN(IF(LEN(INDEX('Aides'!$R$4:$R$503,158))=0,"",INDEX('Aides'!$R$4:$R$503,158)))=0,"","Hours still needed: "&amp;IF(LEN(INDEX('Aides'!$R$4:$R$503,158))=0,"",INDEX('Aides'!$R$4:$R$503,158))&amp;". ")&amp;IF(LEN(IF(LEN(INDEX('Aides'!$U$4:$U$503,158))=0,"",INDEX('Aides'!$U$4:$U$503,158)))=0,"","Owner: "&amp;IF(LEN(INDEX('Aides'!$U$4:$U$503,158))=0,"",INDEX('Aides'!$U$4:$U$503,158))&amp;". "))</f>
        <v/>
      </c>
      <c r="I1161">
        <f>""</f>
        <v/>
      </c>
      <c r="J1161">
        <f>IF(LEN(INDEX('Aides'!$V$4:$V$503,158))=0,"",INDEX('Aides'!$V$4:$V$503,158))</f>
        <v/>
      </c>
    </row>
    <row r="1162">
      <c r="A1162">
        <f>IF(AND(LEN('Aides'!A162)&gt;0,ISNUMBER('Aides'!O162)),1,0)</f>
        <v/>
      </c>
      <c r="B1162">
        <f>B1161+A1162</f>
        <v/>
      </c>
      <c r="C1162">
        <f>IF(1159&gt;$B$1503,"",MATCH(1159-0.5,$B$3:$B$1503,1))</f>
        <v/>
      </c>
      <c r="D1162">
        <f>"In-service hours due – "&amp;IF(LEN(INDEX('Aides'!$A$4:$A$503,159))=0,"",INDEX('Aides'!$A$4:$A$503,159))</f>
        <v/>
      </c>
      <c r="E1162">
        <f>IF(ISNUMBER(INDEX('Aides'!$O$4:$O$503,159)),TEXT(INDEX('Aides'!$O$4:$O$503,159),"yyyy-mm-dd"),"")</f>
        <v/>
      </c>
      <c r="F1162">
        <f>"Training"</f>
        <v/>
      </c>
      <c r="G1162">
        <f>"Medium"</f>
        <v/>
      </c>
      <c r="H1162">
        <f>TRIM(IF(LEN(IF(LEN(INDEX('Aides'!$P$4:$P$503,159))=0,"",INDEX('Aides'!$P$4:$P$503,159)))=0,"","Hours done: "&amp;IF(LEN(INDEX('Aides'!$P$4:$P$503,159))=0,"",INDEX('Aides'!$P$4:$P$503,159))&amp;". ")&amp;IF(LEN(IF(LEN(INDEX('Aides'!$Q$4:$Q$503,159))=0,"",INDEX('Aides'!$Q$4:$Q$503,159)))=0,"","Target: "&amp;IF(LEN(INDEX('Aides'!$Q$4:$Q$503,159))=0,"",INDEX('Aides'!$Q$4:$Q$503,159))&amp;". ")&amp;IF(LEN(IF(LEN(INDEX('Aides'!$R$4:$R$503,159))=0,"",INDEX('Aides'!$R$4:$R$503,159)))=0,"","Hours still needed: "&amp;IF(LEN(INDEX('Aides'!$R$4:$R$503,159))=0,"",INDEX('Aides'!$R$4:$R$503,159))&amp;". ")&amp;IF(LEN(IF(LEN(INDEX('Aides'!$U$4:$U$503,159))=0,"",INDEX('Aides'!$U$4:$U$503,159)))=0,"","Owner: "&amp;IF(LEN(INDEX('Aides'!$U$4:$U$503,159))=0,"",INDEX('Aides'!$U$4:$U$503,159))&amp;". "))</f>
        <v/>
      </c>
      <c r="I1162">
        <f>""</f>
        <v/>
      </c>
      <c r="J1162">
        <f>IF(LEN(INDEX('Aides'!$V$4:$V$503,159))=0,"",INDEX('Aides'!$V$4:$V$503,159))</f>
        <v/>
      </c>
    </row>
    <row r="1163">
      <c r="A1163">
        <f>IF(AND(LEN('Aides'!A163)&gt;0,ISNUMBER('Aides'!O163)),1,0)</f>
        <v/>
      </c>
      <c r="B1163">
        <f>B1162+A1163</f>
        <v/>
      </c>
      <c r="C1163">
        <f>IF(1160&gt;$B$1503,"",MATCH(1160-0.5,$B$3:$B$1503,1))</f>
        <v/>
      </c>
      <c r="D1163">
        <f>"In-service hours due – "&amp;IF(LEN(INDEX('Aides'!$A$4:$A$503,160))=0,"",INDEX('Aides'!$A$4:$A$503,160))</f>
        <v/>
      </c>
      <c r="E1163">
        <f>IF(ISNUMBER(INDEX('Aides'!$O$4:$O$503,160)),TEXT(INDEX('Aides'!$O$4:$O$503,160),"yyyy-mm-dd"),"")</f>
        <v/>
      </c>
      <c r="F1163">
        <f>"Training"</f>
        <v/>
      </c>
      <c r="G1163">
        <f>"Medium"</f>
        <v/>
      </c>
      <c r="H1163">
        <f>TRIM(IF(LEN(IF(LEN(INDEX('Aides'!$P$4:$P$503,160))=0,"",INDEX('Aides'!$P$4:$P$503,160)))=0,"","Hours done: "&amp;IF(LEN(INDEX('Aides'!$P$4:$P$503,160))=0,"",INDEX('Aides'!$P$4:$P$503,160))&amp;". ")&amp;IF(LEN(IF(LEN(INDEX('Aides'!$Q$4:$Q$503,160))=0,"",INDEX('Aides'!$Q$4:$Q$503,160)))=0,"","Target: "&amp;IF(LEN(INDEX('Aides'!$Q$4:$Q$503,160))=0,"",INDEX('Aides'!$Q$4:$Q$503,160))&amp;". ")&amp;IF(LEN(IF(LEN(INDEX('Aides'!$R$4:$R$503,160))=0,"",INDEX('Aides'!$R$4:$R$503,160)))=0,"","Hours still needed: "&amp;IF(LEN(INDEX('Aides'!$R$4:$R$503,160))=0,"",INDEX('Aides'!$R$4:$R$503,160))&amp;". ")&amp;IF(LEN(IF(LEN(INDEX('Aides'!$U$4:$U$503,160))=0,"",INDEX('Aides'!$U$4:$U$503,160)))=0,"","Owner: "&amp;IF(LEN(INDEX('Aides'!$U$4:$U$503,160))=0,"",INDEX('Aides'!$U$4:$U$503,160))&amp;". "))</f>
        <v/>
      </c>
      <c r="I1163">
        <f>""</f>
        <v/>
      </c>
      <c r="J1163">
        <f>IF(LEN(INDEX('Aides'!$V$4:$V$503,160))=0,"",INDEX('Aides'!$V$4:$V$503,160))</f>
        <v/>
      </c>
    </row>
    <row r="1164">
      <c r="A1164">
        <f>IF(AND(LEN('Aides'!A164)&gt;0,ISNUMBER('Aides'!O164)),1,0)</f>
        <v/>
      </c>
      <c r="B1164">
        <f>B1163+A1164</f>
        <v/>
      </c>
      <c r="C1164">
        <f>IF(1161&gt;$B$1503,"",MATCH(1161-0.5,$B$3:$B$1503,1))</f>
        <v/>
      </c>
      <c r="D1164">
        <f>"In-service hours due – "&amp;IF(LEN(INDEX('Aides'!$A$4:$A$503,161))=0,"",INDEX('Aides'!$A$4:$A$503,161))</f>
        <v/>
      </c>
      <c r="E1164">
        <f>IF(ISNUMBER(INDEX('Aides'!$O$4:$O$503,161)),TEXT(INDEX('Aides'!$O$4:$O$503,161),"yyyy-mm-dd"),"")</f>
        <v/>
      </c>
      <c r="F1164">
        <f>"Training"</f>
        <v/>
      </c>
      <c r="G1164">
        <f>"Medium"</f>
        <v/>
      </c>
      <c r="H1164">
        <f>TRIM(IF(LEN(IF(LEN(INDEX('Aides'!$P$4:$P$503,161))=0,"",INDEX('Aides'!$P$4:$P$503,161)))=0,"","Hours done: "&amp;IF(LEN(INDEX('Aides'!$P$4:$P$503,161))=0,"",INDEX('Aides'!$P$4:$P$503,161))&amp;". ")&amp;IF(LEN(IF(LEN(INDEX('Aides'!$Q$4:$Q$503,161))=0,"",INDEX('Aides'!$Q$4:$Q$503,161)))=0,"","Target: "&amp;IF(LEN(INDEX('Aides'!$Q$4:$Q$503,161))=0,"",INDEX('Aides'!$Q$4:$Q$503,161))&amp;". ")&amp;IF(LEN(IF(LEN(INDEX('Aides'!$R$4:$R$503,161))=0,"",INDEX('Aides'!$R$4:$R$503,161)))=0,"","Hours still needed: "&amp;IF(LEN(INDEX('Aides'!$R$4:$R$503,161))=0,"",INDEX('Aides'!$R$4:$R$503,161))&amp;". ")&amp;IF(LEN(IF(LEN(INDEX('Aides'!$U$4:$U$503,161))=0,"",INDEX('Aides'!$U$4:$U$503,161)))=0,"","Owner: "&amp;IF(LEN(INDEX('Aides'!$U$4:$U$503,161))=0,"",INDEX('Aides'!$U$4:$U$503,161))&amp;". "))</f>
        <v/>
      </c>
      <c r="I1164">
        <f>""</f>
        <v/>
      </c>
      <c r="J1164">
        <f>IF(LEN(INDEX('Aides'!$V$4:$V$503,161))=0,"",INDEX('Aides'!$V$4:$V$503,161))</f>
        <v/>
      </c>
    </row>
    <row r="1165">
      <c r="A1165">
        <f>IF(AND(LEN('Aides'!A165)&gt;0,ISNUMBER('Aides'!O165)),1,0)</f>
        <v/>
      </c>
      <c r="B1165">
        <f>B1164+A1165</f>
        <v/>
      </c>
      <c r="C1165">
        <f>IF(1162&gt;$B$1503,"",MATCH(1162-0.5,$B$3:$B$1503,1))</f>
        <v/>
      </c>
      <c r="D1165">
        <f>"In-service hours due – "&amp;IF(LEN(INDEX('Aides'!$A$4:$A$503,162))=0,"",INDEX('Aides'!$A$4:$A$503,162))</f>
        <v/>
      </c>
      <c r="E1165">
        <f>IF(ISNUMBER(INDEX('Aides'!$O$4:$O$503,162)),TEXT(INDEX('Aides'!$O$4:$O$503,162),"yyyy-mm-dd"),"")</f>
        <v/>
      </c>
      <c r="F1165">
        <f>"Training"</f>
        <v/>
      </c>
      <c r="G1165">
        <f>"Medium"</f>
        <v/>
      </c>
      <c r="H1165">
        <f>TRIM(IF(LEN(IF(LEN(INDEX('Aides'!$P$4:$P$503,162))=0,"",INDEX('Aides'!$P$4:$P$503,162)))=0,"","Hours done: "&amp;IF(LEN(INDEX('Aides'!$P$4:$P$503,162))=0,"",INDEX('Aides'!$P$4:$P$503,162))&amp;". ")&amp;IF(LEN(IF(LEN(INDEX('Aides'!$Q$4:$Q$503,162))=0,"",INDEX('Aides'!$Q$4:$Q$503,162)))=0,"","Target: "&amp;IF(LEN(INDEX('Aides'!$Q$4:$Q$503,162))=0,"",INDEX('Aides'!$Q$4:$Q$503,162))&amp;". ")&amp;IF(LEN(IF(LEN(INDEX('Aides'!$R$4:$R$503,162))=0,"",INDEX('Aides'!$R$4:$R$503,162)))=0,"","Hours still needed: "&amp;IF(LEN(INDEX('Aides'!$R$4:$R$503,162))=0,"",INDEX('Aides'!$R$4:$R$503,162))&amp;". ")&amp;IF(LEN(IF(LEN(INDEX('Aides'!$U$4:$U$503,162))=0,"",INDEX('Aides'!$U$4:$U$503,162)))=0,"","Owner: "&amp;IF(LEN(INDEX('Aides'!$U$4:$U$503,162))=0,"",INDEX('Aides'!$U$4:$U$503,162))&amp;". "))</f>
        <v/>
      </c>
      <c r="I1165">
        <f>""</f>
        <v/>
      </c>
      <c r="J1165">
        <f>IF(LEN(INDEX('Aides'!$V$4:$V$503,162))=0,"",INDEX('Aides'!$V$4:$V$503,162))</f>
        <v/>
      </c>
    </row>
    <row r="1166">
      <c r="A1166">
        <f>IF(AND(LEN('Aides'!A166)&gt;0,ISNUMBER('Aides'!O166)),1,0)</f>
        <v/>
      </c>
      <c r="B1166">
        <f>B1165+A1166</f>
        <v/>
      </c>
      <c r="C1166">
        <f>IF(1163&gt;$B$1503,"",MATCH(1163-0.5,$B$3:$B$1503,1))</f>
        <v/>
      </c>
      <c r="D1166">
        <f>"In-service hours due – "&amp;IF(LEN(INDEX('Aides'!$A$4:$A$503,163))=0,"",INDEX('Aides'!$A$4:$A$503,163))</f>
        <v/>
      </c>
      <c r="E1166">
        <f>IF(ISNUMBER(INDEX('Aides'!$O$4:$O$503,163)),TEXT(INDEX('Aides'!$O$4:$O$503,163),"yyyy-mm-dd"),"")</f>
        <v/>
      </c>
      <c r="F1166">
        <f>"Training"</f>
        <v/>
      </c>
      <c r="G1166">
        <f>"Medium"</f>
        <v/>
      </c>
      <c r="H1166">
        <f>TRIM(IF(LEN(IF(LEN(INDEX('Aides'!$P$4:$P$503,163))=0,"",INDEX('Aides'!$P$4:$P$503,163)))=0,"","Hours done: "&amp;IF(LEN(INDEX('Aides'!$P$4:$P$503,163))=0,"",INDEX('Aides'!$P$4:$P$503,163))&amp;". ")&amp;IF(LEN(IF(LEN(INDEX('Aides'!$Q$4:$Q$503,163))=0,"",INDEX('Aides'!$Q$4:$Q$503,163)))=0,"","Target: "&amp;IF(LEN(INDEX('Aides'!$Q$4:$Q$503,163))=0,"",INDEX('Aides'!$Q$4:$Q$503,163))&amp;". ")&amp;IF(LEN(IF(LEN(INDEX('Aides'!$R$4:$R$503,163))=0,"",INDEX('Aides'!$R$4:$R$503,163)))=0,"","Hours still needed: "&amp;IF(LEN(INDEX('Aides'!$R$4:$R$503,163))=0,"",INDEX('Aides'!$R$4:$R$503,163))&amp;". ")&amp;IF(LEN(IF(LEN(INDEX('Aides'!$U$4:$U$503,163))=0,"",INDEX('Aides'!$U$4:$U$503,163)))=0,"","Owner: "&amp;IF(LEN(INDEX('Aides'!$U$4:$U$503,163))=0,"",INDEX('Aides'!$U$4:$U$503,163))&amp;". "))</f>
        <v/>
      </c>
      <c r="I1166">
        <f>""</f>
        <v/>
      </c>
      <c r="J1166">
        <f>IF(LEN(INDEX('Aides'!$V$4:$V$503,163))=0,"",INDEX('Aides'!$V$4:$V$503,163))</f>
        <v/>
      </c>
    </row>
    <row r="1167">
      <c r="A1167">
        <f>IF(AND(LEN('Aides'!A167)&gt;0,ISNUMBER('Aides'!O167)),1,0)</f>
        <v/>
      </c>
      <c r="B1167">
        <f>B1166+A1167</f>
        <v/>
      </c>
      <c r="C1167">
        <f>IF(1164&gt;$B$1503,"",MATCH(1164-0.5,$B$3:$B$1503,1))</f>
        <v/>
      </c>
      <c r="D1167">
        <f>"In-service hours due – "&amp;IF(LEN(INDEX('Aides'!$A$4:$A$503,164))=0,"",INDEX('Aides'!$A$4:$A$503,164))</f>
        <v/>
      </c>
      <c r="E1167">
        <f>IF(ISNUMBER(INDEX('Aides'!$O$4:$O$503,164)),TEXT(INDEX('Aides'!$O$4:$O$503,164),"yyyy-mm-dd"),"")</f>
        <v/>
      </c>
      <c r="F1167">
        <f>"Training"</f>
        <v/>
      </c>
      <c r="G1167">
        <f>"Medium"</f>
        <v/>
      </c>
      <c r="H1167">
        <f>TRIM(IF(LEN(IF(LEN(INDEX('Aides'!$P$4:$P$503,164))=0,"",INDEX('Aides'!$P$4:$P$503,164)))=0,"","Hours done: "&amp;IF(LEN(INDEX('Aides'!$P$4:$P$503,164))=0,"",INDEX('Aides'!$P$4:$P$503,164))&amp;". ")&amp;IF(LEN(IF(LEN(INDEX('Aides'!$Q$4:$Q$503,164))=0,"",INDEX('Aides'!$Q$4:$Q$503,164)))=0,"","Target: "&amp;IF(LEN(INDEX('Aides'!$Q$4:$Q$503,164))=0,"",INDEX('Aides'!$Q$4:$Q$503,164))&amp;". ")&amp;IF(LEN(IF(LEN(INDEX('Aides'!$R$4:$R$503,164))=0,"",INDEX('Aides'!$R$4:$R$503,164)))=0,"","Hours still needed: "&amp;IF(LEN(INDEX('Aides'!$R$4:$R$503,164))=0,"",INDEX('Aides'!$R$4:$R$503,164))&amp;". ")&amp;IF(LEN(IF(LEN(INDEX('Aides'!$U$4:$U$503,164))=0,"",INDEX('Aides'!$U$4:$U$503,164)))=0,"","Owner: "&amp;IF(LEN(INDEX('Aides'!$U$4:$U$503,164))=0,"",INDEX('Aides'!$U$4:$U$503,164))&amp;". "))</f>
        <v/>
      </c>
      <c r="I1167">
        <f>""</f>
        <v/>
      </c>
      <c r="J1167">
        <f>IF(LEN(INDEX('Aides'!$V$4:$V$503,164))=0,"",INDEX('Aides'!$V$4:$V$503,164))</f>
        <v/>
      </c>
    </row>
    <row r="1168">
      <c r="A1168">
        <f>IF(AND(LEN('Aides'!A168)&gt;0,ISNUMBER('Aides'!O168)),1,0)</f>
        <v/>
      </c>
      <c r="B1168">
        <f>B1167+A1168</f>
        <v/>
      </c>
      <c r="C1168">
        <f>IF(1165&gt;$B$1503,"",MATCH(1165-0.5,$B$3:$B$1503,1))</f>
        <v/>
      </c>
      <c r="D1168">
        <f>"In-service hours due – "&amp;IF(LEN(INDEX('Aides'!$A$4:$A$503,165))=0,"",INDEX('Aides'!$A$4:$A$503,165))</f>
        <v/>
      </c>
      <c r="E1168">
        <f>IF(ISNUMBER(INDEX('Aides'!$O$4:$O$503,165)),TEXT(INDEX('Aides'!$O$4:$O$503,165),"yyyy-mm-dd"),"")</f>
        <v/>
      </c>
      <c r="F1168">
        <f>"Training"</f>
        <v/>
      </c>
      <c r="G1168">
        <f>"Medium"</f>
        <v/>
      </c>
      <c r="H1168">
        <f>TRIM(IF(LEN(IF(LEN(INDEX('Aides'!$P$4:$P$503,165))=0,"",INDEX('Aides'!$P$4:$P$503,165)))=0,"","Hours done: "&amp;IF(LEN(INDEX('Aides'!$P$4:$P$503,165))=0,"",INDEX('Aides'!$P$4:$P$503,165))&amp;". ")&amp;IF(LEN(IF(LEN(INDEX('Aides'!$Q$4:$Q$503,165))=0,"",INDEX('Aides'!$Q$4:$Q$503,165)))=0,"","Target: "&amp;IF(LEN(INDEX('Aides'!$Q$4:$Q$503,165))=0,"",INDEX('Aides'!$Q$4:$Q$503,165))&amp;". ")&amp;IF(LEN(IF(LEN(INDEX('Aides'!$R$4:$R$503,165))=0,"",INDEX('Aides'!$R$4:$R$503,165)))=0,"","Hours still needed: "&amp;IF(LEN(INDEX('Aides'!$R$4:$R$503,165))=0,"",INDEX('Aides'!$R$4:$R$503,165))&amp;". ")&amp;IF(LEN(IF(LEN(INDEX('Aides'!$U$4:$U$503,165))=0,"",INDEX('Aides'!$U$4:$U$503,165)))=0,"","Owner: "&amp;IF(LEN(INDEX('Aides'!$U$4:$U$503,165))=0,"",INDEX('Aides'!$U$4:$U$503,165))&amp;". "))</f>
        <v/>
      </c>
      <c r="I1168">
        <f>""</f>
        <v/>
      </c>
      <c r="J1168">
        <f>IF(LEN(INDEX('Aides'!$V$4:$V$503,165))=0,"",INDEX('Aides'!$V$4:$V$503,165))</f>
        <v/>
      </c>
    </row>
    <row r="1169">
      <c r="A1169">
        <f>IF(AND(LEN('Aides'!A169)&gt;0,ISNUMBER('Aides'!O169)),1,0)</f>
        <v/>
      </c>
      <c r="B1169">
        <f>B1168+A1169</f>
        <v/>
      </c>
      <c r="C1169">
        <f>IF(1166&gt;$B$1503,"",MATCH(1166-0.5,$B$3:$B$1503,1))</f>
        <v/>
      </c>
      <c r="D1169">
        <f>"In-service hours due – "&amp;IF(LEN(INDEX('Aides'!$A$4:$A$503,166))=0,"",INDEX('Aides'!$A$4:$A$503,166))</f>
        <v/>
      </c>
      <c r="E1169">
        <f>IF(ISNUMBER(INDEX('Aides'!$O$4:$O$503,166)),TEXT(INDEX('Aides'!$O$4:$O$503,166),"yyyy-mm-dd"),"")</f>
        <v/>
      </c>
      <c r="F1169">
        <f>"Training"</f>
        <v/>
      </c>
      <c r="G1169">
        <f>"Medium"</f>
        <v/>
      </c>
      <c r="H1169">
        <f>TRIM(IF(LEN(IF(LEN(INDEX('Aides'!$P$4:$P$503,166))=0,"",INDEX('Aides'!$P$4:$P$503,166)))=0,"","Hours done: "&amp;IF(LEN(INDEX('Aides'!$P$4:$P$503,166))=0,"",INDEX('Aides'!$P$4:$P$503,166))&amp;". ")&amp;IF(LEN(IF(LEN(INDEX('Aides'!$Q$4:$Q$503,166))=0,"",INDEX('Aides'!$Q$4:$Q$503,166)))=0,"","Target: "&amp;IF(LEN(INDEX('Aides'!$Q$4:$Q$503,166))=0,"",INDEX('Aides'!$Q$4:$Q$503,166))&amp;". ")&amp;IF(LEN(IF(LEN(INDEX('Aides'!$R$4:$R$503,166))=0,"",INDEX('Aides'!$R$4:$R$503,166)))=0,"","Hours still needed: "&amp;IF(LEN(INDEX('Aides'!$R$4:$R$503,166))=0,"",INDEX('Aides'!$R$4:$R$503,166))&amp;". ")&amp;IF(LEN(IF(LEN(INDEX('Aides'!$U$4:$U$503,166))=0,"",INDEX('Aides'!$U$4:$U$503,166)))=0,"","Owner: "&amp;IF(LEN(INDEX('Aides'!$U$4:$U$503,166))=0,"",INDEX('Aides'!$U$4:$U$503,166))&amp;". "))</f>
        <v/>
      </c>
      <c r="I1169">
        <f>""</f>
        <v/>
      </c>
      <c r="J1169">
        <f>IF(LEN(INDEX('Aides'!$V$4:$V$503,166))=0,"",INDEX('Aides'!$V$4:$V$503,166))</f>
        <v/>
      </c>
    </row>
    <row r="1170">
      <c r="A1170">
        <f>IF(AND(LEN('Aides'!A170)&gt;0,ISNUMBER('Aides'!O170)),1,0)</f>
        <v/>
      </c>
      <c r="B1170">
        <f>B1169+A1170</f>
        <v/>
      </c>
      <c r="C1170">
        <f>IF(1167&gt;$B$1503,"",MATCH(1167-0.5,$B$3:$B$1503,1))</f>
        <v/>
      </c>
      <c r="D1170">
        <f>"In-service hours due – "&amp;IF(LEN(INDEX('Aides'!$A$4:$A$503,167))=0,"",INDEX('Aides'!$A$4:$A$503,167))</f>
        <v/>
      </c>
      <c r="E1170">
        <f>IF(ISNUMBER(INDEX('Aides'!$O$4:$O$503,167)),TEXT(INDEX('Aides'!$O$4:$O$503,167),"yyyy-mm-dd"),"")</f>
        <v/>
      </c>
      <c r="F1170">
        <f>"Training"</f>
        <v/>
      </c>
      <c r="G1170">
        <f>"Medium"</f>
        <v/>
      </c>
      <c r="H1170">
        <f>TRIM(IF(LEN(IF(LEN(INDEX('Aides'!$P$4:$P$503,167))=0,"",INDEX('Aides'!$P$4:$P$503,167)))=0,"","Hours done: "&amp;IF(LEN(INDEX('Aides'!$P$4:$P$503,167))=0,"",INDEX('Aides'!$P$4:$P$503,167))&amp;". ")&amp;IF(LEN(IF(LEN(INDEX('Aides'!$Q$4:$Q$503,167))=0,"",INDEX('Aides'!$Q$4:$Q$503,167)))=0,"","Target: "&amp;IF(LEN(INDEX('Aides'!$Q$4:$Q$503,167))=0,"",INDEX('Aides'!$Q$4:$Q$503,167))&amp;". ")&amp;IF(LEN(IF(LEN(INDEX('Aides'!$R$4:$R$503,167))=0,"",INDEX('Aides'!$R$4:$R$503,167)))=0,"","Hours still needed: "&amp;IF(LEN(INDEX('Aides'!$R$4:$R$503,167))=0,"",INDEX('Aides'!$R$4:$R$503,167))&amp;". ")&amp;IF(LEN(IF(LEN(INDEX('Aides'!$U$4:$U$503,167))=0,"",INDEX('Aides'!$U$4:$U$503,167)))=0,"","Owner: "&amp;IF(LEN(INDEX('Aides'!$U$4:$U$503,167))=0,"",INDEX('Aides'!$U$4:$U$503,167))&amp;". "))</f>
        <v/>
      </c>
      <c r="I1170">
        <f>""</f>
        <v/>
      </c>
      <c r="J1170">
        <f>IF(LEN(INDEX('Aides'!$V$4:$V$503,167))=0,"",INDEX('Aides'!$V$4:$V$503,167))</f>
        <v/>
      </c>
    </row>
    <row r="1171">
      <c r="A1171">
        <f>IF(AND(LEN('Aides'!A171)&gt;0,ISNUMBER('Aides'!O171)),1,0)</f>
        <v/>
      </c>
      <c r="B1171">
        <f>B1170+A1171</f>
        <v/>
      </c>
      <c r="C1171">
        <f>IF(1168&gt;$B$1503,"",MATCH(1168-0.5,$B$3:$B$1503,1))</f>
        <v/>
      </c>
      <c r="D1171">
        <f>"In-service hours due – "&amp;IF(LEN(INDEX('Aides'!$A$4:$A$503,168))=0,"",INDEX('Aides'!$A$4:$A$503,168))</f>
        <v/>
      </c>
      <c r="E1171">
        <f>IF(ISNUMBER(INDEX('Aides'!$O$4:$O$503,168)),TEXT(INDEX('Aides'!$O$4:$O$503,168),"yyyy-mm-dd"),"")</f>
        <v/>
      </c>
      <c r="F1171">
        <f>"Training"</f>
        <v/>
      </c>
      <c r="G1171">
        <f>"Medium"</f>
        <v/>
      </c>
      <c r="H1171">
        <f>TRIM(IF(LEN(IF(LEN(INDEX('Aides'!$P$4:$P$503,168))=0,"",INDEX('Aides'!$P$4:$P$503,168)))=0,"","Hours done: "&amp;IF(LEN(INDEX('Aides'!$P$4:$P$503,168))=0,"",INDEX('Aides'!$P$4:$P$503,168))&amp;". ")&amp;IF(LEN(IF(LEN(INDEX('Aides'!$Q$4:$Q$503,168))=0,"",INDEX('Aides'!$Q$4:$Q$503,168)))=0,"","Target: "&amp;IF(LEN(INDEX('Aides'!$Q$4:$Q$503,168))=0,"",INDEX('Aides'!$Q$4:$Q$503,168))&amp;". ")&amp;IF(LEN(IF(LEN(INDEX('Aides'!$R$4:$R$503,168))=0,"",INDEX('Aides'!$R$4:$R$503,168)))=0,"","Hours still needed: "&amp;IF(LEN(INDEX('Aides'!$R$4:$R$503,168))=0,"",INDEX('Aides'!$R$4:$R$503,168))&amp;". ")&amp;IF(LEN(IF(LEN(INDEX('Aides'!$U$4:$U$503,168))=0,"",INDEX('Aides'!$U$4:$U$503,168)))=0,"","Owner: "&amp;IF(LEN(INDEX('Aides'!$U$4:$U$503,168))=0,"",INDEX('Aides'!$U$4:$U$503,168))&amp;". "))</f>
        <v/>
      </c>
      <c r="I1171">
        <f>""</f>
        <v/>
      </c>
      <c r="J1171">
        <f>IF(LEN(INDEX('Aides'!$V$4:$V$503,168))=0,"",INDEX('Aides'!$V$4:$V$503,168))</f>
        <v/>
      </c>
    </row>
    <row r="1172">
      <c r="A1172">
        <f>IF(AND(LEN('Aides'!A172)&gt;0,ISNUMBER('Aides'!O172)),1,0)</f>
        <v/>
      </c>
      <c r="B1172">
        <f>B1171+A1172</f>
        <v/>
      </c>
      <c r="C1172">
        <f>IF(1169&gt;$B$1503,"",MATCH(1169-0.5,$B$3:$B$1503,1))</f>
        <v/>
      </c>
      <c r="D1172">
        <f>"In-service hours due – "&amp;IF(LEN(INDEX('Aides'!$A$4:$A$503,169))=0,"",INDEX('Aides'!$A$4:$A$503,169))</f>
        <v/>
      </c>
      <c r="E1172">
        <f>IF(ISNUMBER(INDEX('Aides'!$O$4:$O$503,169)),TEXT(INDEX('Aides'!$O$4:$O$503,169),"yyyy-mm-dd"),"")</f>
        <v/>
      </c>
      <c r="F1172">
        <f>"Training"</f>
        <v/>
      </c>
      <c r="G1172">
        <f>"Medium"</f>
        <v/>
      </c>
      <c r="H1172">
        <f>TRIM(IF(LEN(IF(LEN(INDEX('Aides'!$P$4:$P$503,169))=0,"",INDEX('Aides'!$P$4:$P$503,169)))=0,"","Hours done: "&amp;IF(LEN(INDEX('Aides'!$P$4:$P$503,169))=0,"",INDEX('Aides'!$P$4:$P$503,169))&amp;". ")&amp;IF(LEN(IF(LEN(INDEX('Aides'!$Q$4:$Q$503,169))=0,"",INDEX('Aides'!$Q$4:$Q$503,169)))=0,"","Target: "&amp;IF(LEN(INDEX('Aides'!$Q$4:$Q$503,169))=0,"",INDEX('Aides'!$Q$4:$Q$503,169))&amp;". ")&amp;IF(LEN(IF(LEN(INDEX('Aides'!$R$4:$R$503,169))=0,"",INDEX('Aides'!$R$4:$R$503,169)))=0,"","Hours still needed: "&amp;IF(LEN(INDEX('Aides'!$R$4:$R$503,169))=0,"",INDEX('Aides'!$R$4:$R$503,169))&amp;". ")&amp;IF(LEN(IF(LEN(INDEX('Aides'!$U$4:$U$503,169))=0,"",INDEX('Aides'!$U$4:$U$503,169)))=0,"","Owner: "&amp;IF(LEN(INDEX('Aides'!$U$4:$U$503,169))=0,"",INDEX('Aides'!$U$4:$U$503,169))&amp;". "))</f>
        <v/>
      </c>
      <c r="I1172">
        <f>""</f>
        <v/>
      </c>
      <c r="J1172">
        <f>IF(LEN(INDEX('Aides'!$V$4:$V$503,169))=0,"",INDEX('Aides'!$V$4:$V$503,169))</f>
        <v/>
      </c>
    </row>
    <row r="1173">
      <c r="A1173">
        <f>IF(AND(LEN('Aides'!A173)&gt;0,ISNUMBER('Aides'!O173)),1,0)</f>
        <v/>
      </c>
      <c r="B1173">
        <f>B1172+A1173</f>
        <v/>
      </c>
      <c r="C1173">
        <f>IF(1170&gt;$B$1503,"",MATCH(1170-0.5,$B$3:$B$1503,1))</f>
        <v/>
      </c>
      <c r="D1173">
        <f>"In-service hours due – "&amp;IF(LEN(INDEX('Aides'!$A$4:$A$503,170))=0,"",INDEX('Aides'!$A$4:$A$503,170))</f>
        <v/>
      </c>
      <c r="E1173">
        <f>IF(ISNUMBER(INDEX('Aides'!$O$4:$O$503,170)),TEXT(INDEX('Aides'!$O$4:$O$503,170),"yyyy-mm-dd"),"")</f>
        <v/>
      </c>
      <c r="F1173">
        <f>"Training"</f>
        <v/>
      </c>
      <c r="G1173">
        <f>"Medium"</f>
        <v/>
      </c>
      <c r="H1173">
        <f>TRIM(IF(LEN(IF(LEN(INDEX('Aides'!$P$4:$P$503,170))=0,"",INDEX('Aides'!$P$4:$P$503,170)))=0,"","Hours done: "&amp;IF(LEN(INDEX('Aides'!$P$4:$P$503,170))=0,"",INDEX('Aides'!$P$4:$P$503,170))&amp;". ")&amp;IF(LEN(IF(LEN(INDEX('Aides'!$Q$4:$Q$503,170))=0,"",INDEX('Aides'!$Q$4:$Q$503,170)))=0,"","Target: "&amp;IF(LEN(INDEX('Aides'!$Q$4:$Q$503,170))=0,"",INDEX('Aides'!$Q$4:$Q$503,170))&amp;". ")&amp;IF(LEN(IF(LEN(INDEX('Aides'!$R$4:$R$503,170))=0,"",INDEX('Aides'!$R$4:$R$503,170)))=0,"","Hours still needed: "&amp;IF(LEN(INDEX('Aides'!$R$4:$R$503,170))=0,"",INDEX('Aides'!$R$4:$R$503,170))&amp;". ")&amp;IF(LEN(IF(LEN(INDEX('Aides'!$U$4:$U$503,170))=0,"",INDEX('Aides'!$U$4:$U$503,170)))=0,"","Owner: "&amp;IF(LEN(INDEX('Aides'!$U$4:$U$503,170))=0,"",INDEX('Aides'!$U$4:$U$503,170))&amp;". "))</f>
        <v/>
      </c>
      <c r="I1173">
        <f>""</f>
        <v/>
      </c>
      <c r="J1173">
        <f>IF(LEN(INDEX('Aides'!$V$4:$V$503,170))=0,"",INDEX('Aides'!$V$4:$V$503,170))</f>
        <v/>
      </c>
    </row>
    <row r="1174">
      <c r="A1174">
        <f>IF(AND(LEN('Aides'!A174)&gt;0,ISNUMBER('Aides'!O174)),1,0)</f>
        <v/>
      </c>
      <c r="B1174">
        <f>B1173+A1174</f>
        <v/>
      </c>
      <c r="C1174">
        <f>IF(1171&gt;$B$1503,"",MATCH(1171-0.5,$B$3:$B$1503,1))</f>
        <v/>
      </c>
      <c r="D1174">
        <f>"In-service hours due – "&amp;IF(LEN(INDEX('Aides'!$A$4:$A$503,171))=0,"",INDEX('Aides'!$A$4:$A$503,171))</f>
        <v/>
      </c>
      <c r="E1174">
        <f>IF(ISNUMBER(INDEX('Aides'!$O$4:$O$503,171)),TEXT(INDEX('Aides'!$O$4:$O$503,171),"yyyy-mm-dd"),"")</f>
        <v/>
      </c>
      <c r="F1174">
        <f>"Training"</f>
        <v/>
      </c>
      <c r="G1174">
        <f>"Medium"</f>
        <v/>
      </c>
      <c r="H1174">
        <f>TRIM(IF(LEN(IF(LEN(INDEX('Aides'!$P$4:$P$503,171))=0,"",INDEX('Aides'!$P$4:$P$503,171)))=0,"","Hours done: "&amp;IF(LEN(INDEX('Aides'!$P$4:$P$503,171))=0,"",INDEX('Aides'!$P$4:$P$503,171))&amp;". ")&amp;IF(LEN(IF(LEN(INDEX('Aides'!$Q$4:$Q$503,171))=0,"",INDEX('Aides'!$Q$4:$Q$503,171)))=0,"","Target: "&amp;IF(LEN(INDEX('Aides'!$Q$4:$Q$503,171))=0,"",INDEX('Aides'!$Q$4:$Q$503,171))&amp;". ")&amp;IF(LEN(IF(LEN(INDEX('Aides'!$R$4:$R$503,171))=0,"",INDEX('Aides'!$R$4:$R$503,171)))=0,"","Hours still needed: "&amp;IF(LEN(INDEX('Aides'!$R$4:$R$503,171))=0,"",INDEX('Aides'!$R$4:$R$503,171))&amp;". ")&amp;IF(LEN(IF(LEN(INDEX('Aides'!$U$4:$U$503,171))=0,"",INDEX('Aides'!$U$4:$U$503,171)))=0,"","Owner: "&amp;IF(LEN(INDEX('Aides'!$U$4:$U$503,171))=0,"",INDEX('Aides'!$U$4:$U$503,171))&amp;". "))</f>
        <v/>
      </c>
      <c r="I1174">
        <f>""</f>
        <v/>
      </c>
      <c r="J1174">
        <f>IF(LEN(INDEX('Aides'!$V$4:$V$503,171))=0,"",INDEX('Aides'!$V$4:$V$503,171))</f>
        <v/>
      </c>
    </row>
    <row r="1175">
      <c r="A1175">
        <f>IF(AND(LEN('Aides'!A175)&gt;0,ISNUMBER('Aides'!O175)),1,0)</f>
        <v/>
      </c>
      <c r="B1175">
        <f>B1174+A1175</f>
        <v/>
      </c>
      <c r="C1175">
        <f>IF(1172&gt;$B$1503,"",MATCH(1172-0.5,$B$3:$B$1503,1))</f>
        <v/>
      </c>
      <c r="D1175">
        <f>"In-service hours due – "&amp;IF(LEN(INDEX('Aides'!$A$4:$A$503,172))=0,"",INDEX('Aides'!$A$4:$A$503,172))</f>
        <v/>
      </c>
      <c r="E1175">
        <f>IF(ISNUMBER(INDEX('Aides'!$O$4:$O$503,172)),TEXT(INDEX('Aides'!$O$4:$O$503,172),"yyyy-mm-dd"),"")</f>
        <v/>
      </c>
      <c r="F1175">
        <f>"Training"</f>
        <v/>
      </c>
      <c r="G1175">
        <f>"Medium"</f>
        <v/>
      </c>
      <c r="H1175">
        <f>TRIM(IF(LEN(IF(LEN(INDEX('Aides'!$P$4:$P$503,172))=0,"",INDEX('Aides'!$P$4:$P$503,172)))=0,"","Hours done: "&amp;IF(LEN(INDEX('Aides'!$P$4:$P$503,172))=0,"",INDEX('Aides'!$P$4:$P$503,172))&amp;". ")&amp;IF(LEN(IF(LEN(INDEX('Aides'!$Q$4:$Q$503,172))=0,"",INDEX('Aides'!$Q$4:$Q$503,172)))=0,"","Target: "&amp;IF(LEN(INDEX('Aides'!$Q$4:$Q$503,172))=0,"",INDEX('Aides'!$Q$4:$Q$503,172))&amp;". ")&amp;IF(LEN(IF(LEN(INDEX('Aides'!$R$4:$R$503,172))=0,"",INDEX('Aides'!$R$4:$R$503,172)))=0,"","Hours still needed: "&amp;IF(LEN(INDEX('Aides'!$R$4:$R$503,172))=0,"",INDEX('Aides'!$R$4:$R$503,172))&amp;". ")&amp;IF(LEN(IF(LEN(INDEX('Aides'!$U$4:$U$503,172))=0,"",INDEX('Aides'!$U$4:$U$503,172)))=0,"","Owner: "&amp;IF(LEN(INDEX('Aides'!$U$4:$U$503,172))=0,"",INDEX('Aides'!$U$4:$U$503,172))&amp;". "))</f>
        <v/>
      </c>
      <c r="I1175">
        <f>""</f>
        <v/>
      </c>
      <c r="J1175">
        <f>IF(LEN(INDEX('Aides'!$V$4:$V$503,172))=0,"",INDEX('Aides'!$V$4:$V$503,172))</f>
        <v/>
      </c>
    </row>
    <row r="1176">
      <c r="A1176">
        <f>IF(AND(LEN('Aides'!A176)&gt;0,ISNUMBER('Aides'!O176)),1,0)</f>
        <v/>
      </c>
      <c r="B1176">
        <f>B1175+A1176</f>
        <v/>
      </c>
      <c r="C1176">
        <f>IF(1173&gt;$B$1503,"",MATCH(1173-0.5,$B$3:$B$1503,1))</f>
        <v/>
      </c>
      <c r="D1176">
        <f>"In-service hours due – "&amp;IF(LEN(INDEX('Aides'!$A$4:$A$503,173))=0,"",INDEX('Aides'!$A$4:$A$503,173))</f>
        <v/>
      </c>
      <c r="E1176">
        <f>IF(ISNUMBER(INDEX('Aides'!$O$4:$O$503,173)),TEXT(INDEX('Aides'!$O$4:$O$503,173),"yyyy-mm-dd"),"")</f>
        <v/>
      </c>
      <c r="F1176">
        <f>"Training"</f>
        <v/>
      </c>
      <c r="G1176">
        <f>"Medium"</f>
        <v/>
      </c>
      <c r="H1176">
        <f>TRIM(IF(LEN(IF(LEN(INDEX('Aides'!$P$4:$P$503,173))=0,"",INDEX('Aides'!$P$4:$P$503,173)))=0,"","Hours done: "&amp;IF(LEN(INDEX('Aides'!$P$4:$P$503,173))=0,"",INDEX('Aides'!$P$4:$P$503,173))&amp;". ")&amp;IF(LEN(IF(LEN(INDEX('Aides'!$Q$4:$Q$503,173))=0,"",INDEX('Aides'!$Q$4:$Q$503,173)))=0,"","Target: "&amp;IF(LEN(INDEX('Aides'!$Q$4:$Q$503,173))=0,"",INDEX('Aides'!$Q$4:$Q$503,173))&amp;". ")&amp;IF(LEN(IF(LEN(INDEX('Aides'!$R$4:$R$503,173))=0,"",INDEX('Aides'!$R$4:$R$503,173)))=0,"","Hours still needed: "&amp;IF(LEN(INDEX('Aides'!$R$4:$R$503,173))=0,"",INDEX('Aides'!$R$4:$R$503,173))&amp;". ")&amp;IF(LEN(IF(LEN(INDEX('Aides'!$U$4:$U$503,173))=0,"",INDEX('Aides'!$U$4:$U$503,173)))=0,"","Owner: "&amp;IF(LEN(INDEX('Aides'!$U$4:$U$503,173))=0,"",INDEX('Aides'!$U$4:$U$503,173))&amp;". "))</f>
        <v/>
      </c>
      <c r="I1176">
        <f>""</f>
        <v/>
      </c>
      <c r="J1176">
        <f>IF(LEN(INDEX('Aides'!$V$4:$V$503,173))=0,"",INDEX('Aides'!$V$4:$V$503,173))</f>
        <v/>
      </c>
    </row>
    <row r="1177">
      <c r="A1177">
        <f>IF(AND(LEN('Aides'!A177)&gt;0,ISNUMBER('Aides'!O177)),1,0)</f>
        <v/>
      </c>
      <c r="B1177">
        <f>B1176+A1177</f>
        <v/>
      </c>
      <c r="C1177">
        <f>IF(1174&gt;$B$1503,"",MATCH(1174-0.5,$B$3:$B$1503,1))</f>
        <v/>
      </c>
      <c r="D1177">
        <f>"In-service hours due – "&amp;IF(LEN(INDEX('Aides'!$A$4:$A$503,174))=0,"",INDEX('Aides'!$A$4:$A$503,174))</f>
        <v/>
      </c>
      <c r="E1177">
        <f>IF(ISNUMBER(INDEX('Aides'!$O$4:$O$503,174)),TEXT(INDEX('Aides'!$O$4:$O$503,174),"yyyy-mm-dd"),"")</f>
        <v/>
      </c>
      <c r="F1177">
        <f>"Training"</f>
        <v/>
      </c>
      <c r="G1177">
        <f>"Medium"</f>
        <v/>
      </c>
      <c r="H1177">
        <f>TRIM(IF(LEN(IF(LEN(INDEX('Aides'!$P$4:$P$503,174))=0,"",INDEX('Aides'!$P$4:$P$503,174)))=0,"","Hours done: "&amp;IF(LEN(INDEX('Aides'!$P$4:$P$503,174))=0,"",INDEX('Aides'!$P$4:$P$503,174))&amp;". ")&amp;IF(LEN(IF(LEN(INDEX('Aides'!$Q$4:$Q$503,174))=0,"",INDEX('Aides'!$Q$4:$Q$503,174)))=0,"","Target: "&amp;IF(LEN(INDEX('Aides'!$Q$4:$Q$503,174))=0,"",INDEX('Aides'!$Q$4:$Q$503,174))&amp;". ")&amp;IF(LEN(IF(LEN(INDEX('Aides'!$R$4:$R$503,174))=0,"",INDEX('Aides'!$R$4:$R$503,174)))=0,"","Hours still needed: "&amp;IF(LEN(INDEX('Aides'!$R$4:$R$503,174))=0,"",INDEX('Aides'!$R$4:$R$503,174))&amp;". ")&amp;IF(LEN(IF(LEN(INDEX('Aides'!$U$4:$U$503,174))=0,"",INDEX('Aides'!$U$4:$U$503,174)))=0,"","Owner: "&amp;IF(LEN(INDEX('Aides'!$U$4:$U$503,174))=0,"",INDEX('Aides'!$U$4:$U$503,174))&amp;". "))</f>
        <v/>
      </c>
      <c r="I1177">
        <f>""</f>
        <v/>
      </c>
      <c r="J1177">
        <f>IF(LEN(INDEX('Aides'!$V$4:$V$503,174))=0,"",INDEX('Aides'!$V$4:$V$503,174))</f>
        <v/>
      </c>
    </row>
    <row r="1178">
      <c r="A1178">
        <f>IF(AND(LEN('Aides'!A178)&gt;0,ISNUMBER('Aides'!O178)),1,0)</f>
        <v/>
      </c>
      <c r="B1178">
        <f>B1177+A1178</f>
        <v/>
      </c>
      <c r="C1178">
        <f>IF(1175&gt;$B$1503,"",MATCH(1175-0.5,$B$3:$B$1503,1))</f>
        <v/>
      </c>
      <c r="D1178">
        <f>"In-service hours due – "&amp;IF(LEN(INDEX('Aides'!$A$4:$A$503,175))=0,"",INDEX('Aides'!$A$4:$A$503,175))</f>
        <v/>
      </c>
      <c r="E1178">
        <f>IF(ISNUMBER(INDEX('Aides'!$O$4:$O$503,175)),TEXT(INDEX('Aides'!$O$4:$O$503,175),"yyyy-mm-dd"),"")</f>
        <v/>
      </c>
      <c r="F1178">
        <f>"Training"</f>
        <v/>
      </c>
      <c r="G1178">
        <f>"Medium"</f>
        <v/>
      </c>
      <c r="H1178">
        <f>TRIM(IF(LEN(IF(LEN(INDEX('Aides'!$P$4:$P$503,175))=0,"",INDEX('Aides'!$P$4:$P$503,175)))=0,"","Hours done: "&amp;IF(LEN(INDEX('Aides'!$P$4:$P$503,175))=0,"",INDEX('Aides'!$P$4:$P$503,175))&amp;". ")&amp;IF(LEN(IF(LEN(INDEX('Aides'!$Q$4:$Q$503,175))=0,"",INDEX('Aides'!$Q$4:$Q$503,175)))=0,"","Target: "&amp;IF(LEN(INDEX('Aides'!$Q$4:$Q$503,175))=0,"",INDEX('Aides'!$Q$4:$Q$503,175))&amp;". ")&amp;IF(LEN(IF(LEN(INDEX('Aides'!$R$4:$R$503,175))=0,"",INDEX('Aides'!$R$4:$R$503,175)))=0,"","Hours still needed: "&amp;IF(LEN(INDEX('Aides'!$R$4:$R$503,175))=0,"",INDEX('Aides'!$R$4:$R$503,175))&amp;". ")&amp;IF(LEN(IF(LEN(INDEX('Aides'!$U$4:$U$503,175))=0,"",INDEX('Aides'!$U$4:$U$503,175)))=0,"","Owner: "&amp;IF(LEN(INDEX('Aides'!$U$4:$U$503,175))=0,"",INDEX('Aides'!$U$4:$U$503,175))&amp;". "))</f>
        <v/>
      </c>
      <c r="I1178">
        <f>""</f>
        <v/>
      </c>
      <c r="J1178">
        <f>IF(LEN(INDEX('Aides'!$V$4:$V$503,175))=0,"",INDEX('Aides'!$V$4:$V$503,175))</f>
        <v/>
      </c>
    </row>
    <row r="1179">
      <c r="A1179">
        <f>IF(AND(LEN('Aides'!A179)&gt;0,ISNUMBER('Aides'!O179)),1,0)</f>
        <v/>
      </c>
      <c r="B1179">
        <f>B1178+A1179</f>
        <v/>
      </c>
      <c r="C1179">
        <f>IF(1176&gt;$B$1503,"",MATCH(1176-0.5,$B$3:$B$1503,1))</f>
        <v/>
      </c>
      <c r="D1179">
        <f>"In-service hours due – "&amp;IF(LEN(INDEX('Aides'!$A$4:$A$503,176))=0,"",INDEX('Aides'!$A$4:$A$503,176))</f>
        <v/>
      </c>
      <c r="E1179">
        <f>IF(ISNUMBER(INDEX('Aides'!$O$4:$O$503,176)),TEXT(INDEX('Aides'!$O$4:$O$503,176),"yyyy-mm-dd"),"")</f>
        <v/>
      </c>
      <c r="F1179">
        <f>"Training"</f>
        <v/>
      </c>
      <c r="G1179">
        <f>"Medium"</f>
        <v/>
      </c>
      <c r="H1179">
        <f>TRIM(IF(LEN(IF(LEN(INDEX('Aides'!$P$4:$P$503,176))=0,"",INDEX('Aides'!$P$4:$P$503,176)))=0,"","Hours done: "&amp;IF(LEN(INDEX('Aides'!$P$4:$P$503,176))=0,"",INDEX('Aides'!$P$4:$P$503,176))&amp;". ")&amp;IF(LEN(IF(LEN(INDEX('Aides'!$Q$4:$Q$503,176))=0,"",INDEX('Aides'!$Q$4:$Q$503,176)))=0,"","Target: "&amp;IF(LEN(INDEX('Aides'!$Q$4:$Q$503,176))=0,"",INDEX('Aides'!$Q$4:$Q$503,176))&amp;". ")&amp;IF(LEN(IF(LEN(INDEX('Aides'!$R$4:$R$503,176))=0,"",INDEX('Aides'!$R$4:$R$503,176)))=0,"","Hours still needed: "&amp;IF(LEN(INDEX('Aides'!$R$4:$R$503,176))=0,"",INDEX('Aides'!$R$4:$R$503,176))&amp;". ")&amp;IF(LEN(IF(LEN(INDEX('Aides'!$U$4:$U$503,176))=0,"",INDEX('Aides'!$U$4:$U$503,176)))=0,"","Owner: "&amp;IF(LEN(INDEX('Aides'!$U$4:$U$503,176))=0,"",INDEX('Aides'!$U$4:$U$503,176))&amp;". "))</f>
        <v/>
      </c>
      <c r="I1179">
        <f>""</f>
        <v/>
      </c>
      <c r="J1179">
        <f>IF(LEN(INDEX('Aides'!$V$4:$V$503,176))=0,"",INDEX('Aides'!$V$4:$V$503,176))</f>
        <v/>
      </c>
    </row>
    <row r="1180">
      <c r="A1180">
        <f>IF(AND(LEN('Aides'!A180)&gt;0,ISNUMBER('Aides'!O180)),1,0)</f>
        <v/>
      </c>
      <c r="B1180">
        <f>B1179+A1180</f>
        <v/>
      </c>
      <c r="C1180">
        <f>IF(1177&gt;$B$1503,"",MATCH(1177-0.5,$B$3:$B$1503,1))</f>
        <v/>
      </c>
      <c r="D1180">
        <f>"In-service hours due – "&amp;IF(LEN(INDEX('Aides'!$A$4:$A$503,177))=0,"",INDEX('Aides'!$A$4:$A$503,177))</f>
        <v/>
      </c>
      <c r="E1180">
        <f>IF(ISNUMBER(INDEX('Aides'!$O$4:$O$503,177)),TEXT(INDEX('Aides'!$O$4:$O$503,177),"yyyy-mm-dd"),"")</f>
        <v/>
      </c>
      <c r="F1180">
        <f>"Training"</f>
        <v/>
      </c>
      <c r="G1180">
        <f>"Medium"</f>
        <v/>
      </c>
      <c r="H1180">
        <f>TRIM(IF(LEN(IF(LEN(INDEX('Aides'!$P$4:$P$503,177))=0,"",INDEX('Aides'!$P$4:$P$503,177)))=0,"","Hours done: "&amp;IF(LEN(INDEX('Aides'!$P$4:$P$503,177))=0,"",INDEX('Aides'!$P$4:$P$503,177))&amp;". ")&amp;IF(LEN(IF(LEN(INDEX('Aides'!$Q$4:$Q$503,177))=0,"",INDEX('Aides'!$Q$4:$Q$503,177)))=0,"","Target: "&amp;IF(LEN(INDEX('Aides'!$Q$4:$Q$503,177))=0,"",INDEX('Aides'!$Q$4:$Q$503,177))&amp;". ")&amp;IF(LEN(IF(LEN(INDEX('Aides'!$R$4:$R$503,177))=0,"",INDEX('Aides'!$R$4:$R$503,177)))=0,"","Hours still needed: "&amp;IF(LEN(INDEX('Aides'!$R$4:$R$503,177))=0,"",INDEX('Aides'!$R$4:$R$503,177))&amp;". ")&amp;IF(LEN(IF(LEN(INDEX('Aides'!$U$4:$U$503,177))=0,"",INDEX('Aides'!$U$4:$U$503,177)))=0,"","Owner: "&amp;IF(LEN(INDEX('Aides'!$U$4:$U$503,177))=0,"",INDEX('Aides'!$U$4:$U$503,177))&amp;". "))</f>
        <v/>
      </c>
      <c r="I1180">
        <f>""</f>
        <v/>
      </c>
      <c r="J1180">
        <f>IF(LEN(INDEX('Aides'!$V$4:$V$503,177))=0,"",INDEX('Aides'!$V$4:$V$503,177))</f>
        <v/>
      </c>
    </row>
    <row r="1181">
      <c r="A1181">
        <f>IF(AND(LEN('Aides'!A181)&gt;0,ISNUMBER('Aides'!O181)),1,0)</f>
        <v/>
      </c>
      <c r="B1181">
        <f>B1180+A1181</f>
        <v/>
      </c>
      <c r="C1181">
        <f>IF(1178&gt;$B$1503,"",MATCH(1178-0.5,$B$3:$B$1503,1))</f>
        <v/>
      </c>
      <c r="D1181">
        <f>"In-service hours due – "&amp;IF(LEN(INDEX('Aides'!$A$4:$A$503,178))=0,"",INDEX('Aides'!$A$4:$A$503,178))</f>
        <v/>
      </c>
      <c r="E1181">
        <f>IF(ISNUMBER(INDEX('Aides'!$O$4:$O$503,178)),TEXT(INDEX('Aides'!$O$4:$O$503,178),"yyyy-mm-dd"),"")</f>
        <v/>
      </c>
      <c r="F1181">
        <f>"Training"</f>
        <v/>
      </c>
      <c r="G1181">
        <f>"Medium"</f>
        <v/>
      </c>
      <c r="H1181">
        <f>TRIM(IF(LEN(IF(LEN(INDEX('Aides'!$P$4:$P$503,178))=0,"",INDEX('Aides'!$P$4:$P$503,178)))=0,"","Hours done: "&amp;IF(LEN(INDEX('Aides'!$P$4:$P$503,178))=0,"",INDEX('Aides'!$P$4:$P$503,178))&amp;". ")&amp;IF(LEN(IF(LEN(INDEX('Aides'!$Q$4:$Q$503,178))=0,"",INDEX('Aides'!$Q$4:$Q$503,178)))=0,"","Target: "&amp;IF(LEN(INDEX('Aides'!$Q$4:$Q$503,178))=0,"",INDEX('Aides'!$Q$4:$Q$503,178))&amp;". ")&amp;IF(LEN(IF(LEN(INDEX('Aides'!$R$4:$R$503,178))=0,"",INDEX('Aides'!$R$4:$R$503,178)))=0,"","Hours still needed: "&amp;IF(LEN(INDEX('Aides'!$R$4:$R$503,178))=0,"",INDEX('Aides'!$R$4:$R$503,178))&amp;". ")&amp;IF(LEN(IF(LEN(INDEX('Aides'!$U$4:$U$503,178))=0,"",INDEX('Aides'!$U$4:$U$503,178)))=0,"","Owner: "&amp;IF(LEN(INDEX('Aides'!$U$4:$U$503,178))=0,"",INDEX('Aides'!$U$4:$U$503,178))&amp;". "))</f>
        <v/>
      </c>
      <c r="I1181">
        <f>""</f>
        <v/>
      </c>
      <c r="J1181">
        <f>IF(LEN(INDEX('Aides'!$V$4:$V$503,178))=0,"",INDEX('Aides'!$V$4:$V$503,178))</f>
        <v/>
      </c>
    </row>
    <row r="1182">
      <c r="A1182">
        <f>IF(AND(LEN('Aides'!A182)&gt;0,ISNUMBER('Aides'!O182)),1,0)</f>
        <v/>
      </c>
      <c r="B1182">
        <f>B1181+A1182</f>
        <v/>
      </c>
      <c r="C1182">
        <f>IF(1179&gt;$B$1503,"",MATCH(1179-0.5,$B$3:$B$1503,1))</f>
        <v/>
      </c>
      <c r="D1182">
        <f>"In-service hours due – "&amp;IF(LEN(INDEX('Aides'!$A$4:$A$503,179))=0,"",INDEX('Aides'!$A$4:$A$503,179))</f>
        <v/>
      </c>
      <c r="E1182">
        <f>IF(ISNUMBER(INDEX('Aides'!$O$4:$O$503,179)),TEXT(INDEX('Aides'!$O$4:$O$503,179),"yyyy-mm-dd"),"")</f>
        <v/>
      </c>
      <c r="F1182">
        <f>"Training"</f>
        <v/>
      </c>
      <c r="G1182">
        <f>"Medium"</f>
        <v/>
      </c>
      <c r="H1182">
        <f>TRIM(IF(LEN(IF(LEN(INDEX('Aides'!$P$4:$P$503,179))=0,"",INDEX('Aides'!$P$4:$P$503,179)))=0,"","Hours done: "&amp;IF(LEN(INDEX('Aides'!$P$4:$P$503,179))=0,"",INDEX('Aides'!$P$4:$P$503,179))&amp;". ")&amp;IF(LEN(IF(LEN(INDEX('Aides'!$Q$4:$Q$503,179))=0,"",INDEX('Aides'!$Q$4:$Q$503,179)))=0,"","Target: "&amp;IF(LEN(INDEX('Aides'!$Q$4:$Q$503,179))=0,"",INDEX('Aides'!$Q$4:$Q$503,179))&amp;". ")&amp;IF(LEN(IF(LEN(INDEX('Aides'!$R$4:$R$503,179))=0,"",INDEX('Aides'!$R$4:$R$503,179)))=0,"","Hours still needed: "&amp;IF(LEN(INDEX('Aides'!$R$4:$R$503,179))=0,"",INDEX('Aides'!$R$4:$R$503,179))&amp;". ")&amp;IF(LEN(IF(LEN(INDEX('Aides'!$U$4:$U$503,179))=0,"",INDEX('Aides'!$U$4:$U$503,179)))=0,"","Owner: "&amp;IF(LEN(INDEX('Aides'!$U$4:$U$503,179))=0,"",INDEX('Aides'!$U$4:$U$503,179))&amp;". "))</f>
        <v/>
      </c>
      <c r="I1182">
        <f>""</f>
        <v/>
      </c>
      <c r="J1182">
        <f>IF(LEN(INDEX('Aides'!$V$4:$V$503,179))=0,"",INDEX('Aides'!$V$4:$V$503,179))</f>
        <v/>
      </c>
    </row>
    <row r="1183">
      <c r="A1183">
        <f>IF(AND(LEN('Aides'!A183)&gt;0,ISNUMBER('Aides'!O183)),1,0)</f>
        <v/>
      </c>
      <c r="B1183">
        <f>B1182+A1183</f>
        <v/>
      </c>
      <c r="C1183">
        <f>IF(1180&gt;$B$1503,"",MATCH(1180-0.5,$B$3:$B$1503,1))</f>
        <v/>
      </c>
      <c r="D1183">
        <f>"In-service hours due – "&amp;IF(LEN(INDEX('Aides'!$A$4:$A$503,180))=0,"",INDEX('Aides'!$A$4:$A$503,180))</f>
        <v/>
      </c>
      <c r="E1183">
        <f>IF(ISNUMBER(INDEX('Aides'!$O$4:$O$503,180)),TEXT(INDEX('Aides'!$O$4:$O$503,180),"yyyy-mm-dd"),"")</f>
        <v/>
      </c>
      <c r="F1183">
        <f>"Training"</f>
        <v/>
      </c>
      <c r="G1183">
        <f>"Medium"</f>
        <v/>
      </c>
      <c r="H1183">
        <f>TRIM(IF(LEN(IF(LEN(INDEX('Aides'!$P$4:$P$503,180))=0,"",INDEX('Aides'!$P$4:$P$503,180)))=0,"","Hours done: "&amp;IF(LEN(INDEX('Aides'!$P$4:$P$503,180))=0,"",INDEX('Aides'!$P$4:$P$503,180))&amp;". ")&amp;IF(LEN(IF(LEN(INDEX('Aides'!$Q$4:$Q$503,180))=0,"",INDEX('Aides'!$Q$4:$Q$503,180)))=0,"","Target: "&amp;IF(LEN(INDEX('Aides'!$Q$4:$Q$503,180))=0,"",INDEX('Aides'!$Q$4:$Q$503,180))&amp;". ")&amp;IF(LEN(IF(LEN(INDEX('Aides'!$R$4:$R$503,180))=0,"",INDEX('Aides'!$R$4:$R$503,180)))=0,"","Hours still needed: "&amp;IF(LEN(INDEX('Aides'!$R$4:$R$503,180))=0,"",INDEX('Aides'!$R$4:$R$503,180))&amp;". ")&amp;IF(LEN(IF(LEN(INDEX('Aides'!$U$4:$U$503,180))=0,"",INDEX('Aides'!$U$4:$U$503,180)))=0,"","Owner: "&amp;IF(LEN(INDEX('Aides'!$U$4:$U$503,180))=0,"",INDEX('Aides'!$U$4:$U$503,180))&amp;". "))</f>
        <v/>
      </c>
      <c r="I1183">
        <f>""</f>
        <v/>
      </c>
      <c r="J1183">
        <f>IF(LEN(INDEX('Aides'!$V$4:$V$503,180))=0,"",INDEX('Aides'!$V$4:$V$503,180))</f>
        <v/>
      </c>
    </row>
    <row r="1184">
      <c r="A1184">
        <f>IF(AND(LEN('Aides'!A184)&gt;0,ISNUMBER('Aides'!O184)),1,0)</f>
        <v/>
      </c>
      <c r="B1184">
        <f>B1183+A1184</f>
        <v/>
      </c>
      <c r="C1184">
        <f>IF(1181&gt;$B$1503,"",MATCH(1181-0.5,$B$3:$B$1503,1))</f>
        <v/>
      </c>
      <c r="D1184">
        <f>"In-service hours due – "&amp;IF(LEN(INDEX('Aides'!$A$4:$A$503,181))=0,"",INDEX('Aides'!$A$4:$A$503,181))</f>
        <v/>
      </c>
      <c r="E1184">
        <f>IF(ISNUMBER(INDEX('Aides'!$O$4:$O$503,181)),TEXT(INDEX('Aides'!$O$4:$O$503,181),"yyyy-mm-dd"),"")</f>
        <v/>
      </c>
      <c r="F1184">
        <f>"Training"</f>
        <v/>
      </c>
      <c r="G1184">
        <f>"Medium"</f>
        <v/>
      </c>
      <c r="H1184">
        <f>TRIM(IF(LEN(IF(LEN(INDEX('Aides'!$P$4:$P$503,181))=0,"",INDEX('Aides'!$P$4:$P$503,181)))=0,"","Hours done: "&amp;IF(LEN(INDEX('Aides'!$P$4:$P$503,181))=0,"",INDEX('Aides'!$P$4:$P$503,181))&amp;". ")&amp;IF(LEN(IF(LEN(INDEX('Aides'!$Q$4:$Q$503,181))=0,"",INDEX('Aides'!$Q$4:$Q$503,181)))=0,"","Target: "&amp;IF(LEN(INDEX('Aides'!$Q$4:$Q$503,181))=0,"",INDEX('Aides'!$Q$4:$Q$503,181))&amp;". ")&amp;IF(LEN(IF(LEN(INDEX('Aides'!$R$4:$R$503,181))=0,"",INDEX('Aides'!$R$4:$R$503,181)))=0,"","Hours still needed: "&amp;IF(LEN(INDEX('Aides'!$R$4:$R$503,181))=0,"",INDEX('Aides'!$R$4:$R$503,181))&amp;". ")&amp;IF(LEN(IF(LEN(INDEX('Aides'!$U$4:$U$503,181))=0,"",INDEX('Aides'!$U$4:$U$503,181)))=0,"","Owner: "&amp;IF(LEN(INDEX('Aides'!$U$4:$U$503,181))=0,"",INDEX('Aides'!$U$4:$U$503,181))&amp;". "))</f>
        <v/>
      </c>
      <c r="I1184">
        <f>""</f>
        <v/>
      </c>
      <c r="J1184">
        <f>IF(LEN(INDEX('Aides'!$V$4:$V$503,181))=0,"",INDEX('Aides'!$V$4:$V$503,181))</f>
        <v/>
      </c>
    </row>
    <row r="1185">
      <c r="A1185">
        <f>IF(AND(LEN('Aides'!A185)&gt;0,ISNUMBER('Aides'!O185)),1,0)</f>
        <v/>
      </c>
      <c r="B1185">
        <f>B1184+A1185</f>
        <v/>
      </c>
      <c r="C1185">
        <f>IF(1182&gt;$B$1503,"",MATCH(1182-0.5,$B$3:$B$1503,1))</f>
        <v/>
      </c>
      <c r="D1185">
        <f>"In-service hours due – "&amp;IF(LEN(INDEX('Aides'!$A$4:$A$503,182))=0,"",INDEX('Aides'!$A$4:$A$503,182))</f>
        <v/>
      </c>
      <c r="E1185">
        <f>IF(ISNUMBER(INDEX('Aides'!$O$4:$O$503,182)),TEXT(INDEX('Aides'!$O$4:$O$503,182),"yyyy-mm-dd"),"")</f>
        <v/>
      </c>
      <c r="F1185">
        <f>"Training"</f>
        <v/>
      </c>
      <c r="G1185">
        <f>"Medium"</f>
        <v/>
      </c>
      <c r="H1185">
        <f>TRIM(IF(LEN(IF(LEN(INDEX('Aides'!$P$4:$P$503,182))=0,"",INDEX('Aides'!$P$4:$P$503,182)))=0,"","Hours done: "&amp;IF(LEN(INDEX('Aides'!$P$4:$P$503,182))=0,"",INDEX('Aides'!$P$4:$P$503,182))&amp;". ")&amp;IF(LEN(IF(LEN(INDEX('Aides'!$Q$4:$Q$503,182))=0,"",INDEX('Aides'!$Q$4:$Q$503,182)))=0,"","Target: "&amp;IF(LEN(INDEX('Aides'!$Q$4:$Q$503,182))=0,"",INDEX('Aides'!$Q$4:$Q$503,182))&amp;". ")&amp;IF(LEN(IF(LEN(INDEX('Aides'!$R$4:$R$503,182))=0,"",INDEX('Aides'!$R$4:$R$503,182)))=0,"","Hours still needed: "&amp;IF(LEN(INDEX('Aides'!$R$4:$R$503,182))=0,"",INDEX('Aides'!$R$4:$R$503,182))&amp;". ")&amp;IF(LEN(IF(LEN(INDEX('Aides'!$U$4:$U$503,182))=0,"",INDEX('Aides'!$U$4:$U$503,182)))=0,"","Owner: "&amp;IF(LEN(INDEX('Aides'!$U$4:$U$503,182))=0,"",INDEX('Aides'!$U$4:$U$503,182))&amp;". "))</f>
        <v/>
      </c>
      <c r="I1185">
        <f>""</f>
        <v/>
      </c>
      <c r="J1185">
        <f>IF(LEN(INDEX('Aides'!$V$4:$V$503,182))=0,"",INDEX('Aides'!$V$4:$V$503,182))</f>
        <v/>
      </c>
    </row>
    <row r="1186">
      <c r="A1186">
        <f>IF(AND(LEN('Aides'!A186)&gt;0,ISNUMBER('Aides'!O186)),1,0)</f>
        <v/>
      </c>
      <c r="B1186">
        <f>B1185+A1186</f>
        <v/>
      </c>
      <c r="C1186">
        <f>IF(1183&gt;$B$1503,"",MATCH(1183-0.5,$B$3:$B$1503,1))</f>
        <v/>
      </c>
      <c r="D1186">
        <f>"In-service hours due – "&amp;IF(LEN(INDEX('Aides'!$A$4:$A$503,183))=0,"",INDEX('Aides'!$A$4:$A$503,183))</f>
        <v/>
      </c>
      <c r="E1186">
        <f>IF(ISNUMBER(INDEX('Aides'!$O$4:$O$503,183)),TEXT(INDEX('Aides'!$O$4:$O$503,183),"yyyy-mm-dd"),"")</f>
        <v/>
      </c>
      <c r="F1186">
        <f>"Training"</f>
        <v/>
      </c>
      <c r="G1186">
        <f>"Medium"</f>
        <v/>
      </c>
      <c r="H1186">
        <f>TRIM(IF(LEN(IF(LEN(INDEX('Aides'!$P$4:$P$503,183))=0,"",INDEX('Aides'!$P$4:$P$503,183)))=0,"","Hours done: "&amp;IF(LEN(INDEX('Aides'!$P$4:$P$503,183))=0,"",INDEX('Aides'!$P$4:$P$503,183))&amp;". ")&amp;IF(LEN(IF(LEN(INDEX('Aides'!$Q$4:$Q$503,183))=0,"",INDEX('Aides'!$Q$4:$Q$503,183)))=0,"","Target: "&amp;IF(LEN(INDEX('Aides'!$Q$4:$Q$503,183))=0,"",INDEX('Aides'!$Q$4:$Q$503,183))&amp;". ")&amp;IF(LEN(IF(LEN(INDEX('Aides'!$R$4:$R$503,183))=0,"",INDEX('Aides'!$R$4:$R$503,183)))=0,"","Hours still needed: "&amp;IF(LEN(INDEX('Aides'!$R$4:$R$503,183))=0,"",INDEX('Aides'!$R$4:$R$503,183))&amp;". ")&amp;IF(LEN(IF(LEN(INDEX('Aides'!$U$4:$U$503,183))=0,"",INDEX('Aides'!$U$4:$U$503,183)))=0,"","Owner: "&amp;IF(LEN(INDEX('Aides'!$U$4:$U$503,183))=0,"",INDEX('Aides'!$U$4:$U$503,183))&amp;". "))</f>
        <v/>
      </c>
      <c r="I1186">
        <f>""</f>
        <v/>
      </c>
      <c r="J1186">
        <f>IF(LEN(INDEX('Aides'!$V$4:$V$503,183))=0,"",INDEX('Aides'!$V$4:$V$503,183))</f>
        <v/>
      </c>
    </row>
    <row r="1187">
      <c r="A1187">
        <f>IF(AND(LEN('Aides'!A187)&gt;0,ISNUMBER('Aides'!O187)),1,0)</f>
        <v/>
      </c>
      <c r="B1187">
        <f>B1186+A1187</f>
        <v/>
      </c>
      <c r="C1187">
        <f>IF(1184&gt;$B$1503,"",MATCH(1184-0.5,$B$3:$B$1503,1))</f>
        <v/>
      </c>
      <c r="D1187">
        <f>"In-service hours due – "&amp;IF(LEN(INDEX('Aides'!$A$4:$A$503,184))=0,"",INDEX('Aides'!$A$4:$A$503,184))</f>
        <v/>
      </c>
      <c r="E1187">
        <f>IF(ISNUMBER(INDEX('Aides'!$O$4:$O$503,184)),TEXT(INDEX('Aides'!$O$4:$O$503,184),"yyyy-mm-dd"),"")</f>
        <v/>
      </c>
      <c r="F1187">
        <f>"Training"</f>
        <v/>
      </c>
      <c r="G1187">
        <f>"Medium"</f>
        <v/>
      </c>
      <c r="H1187">
        <f>TRIM(IF(LEN(IF(LEN(INDEX('Aides'!$P$4:$P$503,184))=0,"",INDEX('Aides'!$P$4:$P$503,184)))=0,"","Hours done: "&amp;IF(LEN(INDEX('Aides'!$P$4:$P$503,184))=0,"",INDEX('Aides'!$P$4:$P$503,184))&amp;". ")&amp;IF(LEN(IF(LEN(INDEX('Aides'!$Q$4:$Q$503,184))=0,"",INDEX('Aides'!$Q$4:$Q$503,184)))=0,"","Target: "&amp;IF(LEN(INDEX('Aides'!$Q$4:$Q$503,184))=0,"",INDEX('Aides'!$Q$4:$Q$503,184))&amp;". ")&amp;IF(LEN(IF(LEN(INDEX('Aides'!$R$4:$R$503,184))=0,"",INDEX('Aides'!$R$4:$R$503,184)))=0,"","Hours still needed: "&amp;IF(LEN(INDEX('Aides'!$R$4:$R$503,184))=0,"",INDEX('Aides'!$R$4:$R$503,184))&amp;". ")&amp;IF(LEN(IF(LEN(INDEX('Aides'!$U$4:$U$503,184))=0,"",INDEX('Aides'!$U$4:$U$503,184)))=0,"","Owner: "&amp;IF(LEN(INDEX('Aides'!$U$4:$U$503,184))=0,"",INDEX('Aides'!$U$4:$U$503,184))&amp;". "))</f>
        <v/>
      </c>
      <c r="I1187">
        <f>""</f>
        <v/>
      </c>
      <c r="J1187">
        <f>IF(LEN(INDEX('Aides'!$V$4:$V$503,184))=0,"",INDEX('Aides'!$V$4:$V$503,184))</f>
        <v/>
      </c>
    </row>
    <row r="1188">
      <c r="A1188">
        <f>IF(AND(LEN('Aides'!A188)&gt;0,ISNUMBER('Aides'!O188)),1,0)</f>
        <v/>
      </c>
      <c r="B1188">
        <f>B1187+A1188</f>
        <v/>
      </c>
      <c r="C1188">
        <f>IF(1185&gt;$B$1503,"",MATCH(1185-0.5,$B$3:$B$1503,1))</f>
        <v/>
      </c>
      <c r="D1188">
        <f>"In-service hours due – "&amp;IF(LEN(INDEX('Aides'!$A$4:$A$503,185))=0,"",INDEX('Aides'!$A$4:$A$503,185))</f>
        <v/>
      </c>
      <c r="E1188">
        <f>IF(ISNUMBER(INDEX('Aides'!$O$4:$O$503,185)),TEXT(INDEX('Aides'!$O$4:$O$503,185),"yyyy-mm-dd"),"")</f>
        <v/>
      </c>
      <c r="F1188">
        <f>"Training"</f>
        <v/>
      </c>
      <c r="G1188">
        <f>"Medium"</f>
        <v/>
      </c>
      <c r="H1188">
        <f>TRIM(IF(LEN(IF(LEN(INDEX('Aides'!$P$4:$P$503,185))=0,"",INDEX('Aides'!$P$4:$P$503,185)))=0,"","Hours done: "&amp;IF(LEN(INDEX('Aides'!$P$4:$P$503,185))=0,"",INDEX('Aides'!$P$4:$P$503,185))&amp;". ")&amp;IF(LEN(IF(LEN(INDEX('Aides'!$Q$4:$Q$503,185))=0,"",INDEX('Aides'!$Q$4:$Q$503,185)))=0,"","Target: "&amp;IF(LEN(INDEX('Aides'!$Q$4:$Q$503,185))=0,"",INDEX('Aides'!$Q$4:$Q$503,185))&amp;". ")&amp;IF(LEN(IF(LEN(INDEX('Aides'!$R$4:$R$503,185))=0,"",INDEX('Aides'!$R$4:$R$503,185)))=0,"","Hours still needed: "&amp;IF(LEN(INDEX('Aides'!$R$4:$R$503,185))=0,"",INDEX('Aides'!$R$4:$R$503,185))&amp;". ")&amp;IF(LEN(IF(LEN(INDEX('Aides'!$U$4:$U$503,185))=0,"",INDEX('Aides'!$U$4:$U$503,185)))=0,"","Owner: "&amp;IF(LEN(INDEX('Aides'!$U$4:$U$503,185))=0,"",INDEX('Aides'!$U$4:$U$503,185))&amp;". "))</f>
        <v/>
      </c>
      <c r="I1188">
        <f>""</f>
        <v/>
      </c>
      <c r="J1188">
        <f>IF(LEN(INDEX('Aides'!$V$4:$V$503,185))=0,"",INDEX('Aides'!$V$4:$V$503,185))</f>
        <v/>
      </c>
    </row>
    <row r="1189">
      <c r="A1189">
        <f>IF(AND(LEN('Aides'!A189)&gt;0,ISNUMBER('Aides'!O189)),1,0)</f>
        <v/>
      </c>
      <c r="B1189">
        <f>B1188+A1189</f>
        <v/>
      </c>
      <c r="C1189">
        <f>IF(1186&gt;$B$1503,"",MATCH(1186-0.5,$B$3:$B$1503,1))</f>
        <v/>
      </c>
      <c r="D1189">
        <f>"In-service hours due – "&amp;IF(LEN(INDEX('Aides'!$A$4:$A$503,186))=0,"",INDEX('Aides'!$A$4:$A$503,186))</f>
        <v/>
      </c>
      <c r="E1189">
        <f>IF(ISNUMBER(INDEX('Aides'!$O$4:$O$503,186)),TEXT(INDEX('Aides'!$O$4:$O$503,186),"yyyy-mm-dd"),"")</f>
        <v/>
      </c>
      <c r="F1189">
        <f>"Training"</f>
        <v/>
      </c>
      <c r="G1189">
        <f>"Medium"</f>
        <v/>
      </c>
      <c r="H1189">
        <f>TRIM(IF(LEN(IF(LEN(INDEX('Aides'!$P$4:$P$503,186))=0,"",INDEX('Aides'!$P$4:$P$503,186)))=0,"","Hours done: "&amp;IF(LEN(INDEX('Aides'!$P$4:$P$503,186))=0,"",INDEX('Aides'!$P$4:$P$503,186))&amp;". ")&amp;IF(LEN(IF(LEN(INDEX('Aides'!$Q$4:$Q$503,186))=0,"",INDEX('Aides'!$Q$4:$Q$503,186)))=0,"","Target: "&amp;IF(LEN(INDEX('Aides'!$Q$4:$Q$503,186))=0,"",INDEX('Aides'!$Q$4:$Q$503,186))&amp;". ")&amp;IF(LEN(IF(LEN(INDEX('Aides'!$R$4:$R$503,186))=0,"",INDEX('Aides'!$R$4:$R$503,186)))=0,"","Hours still needed: "&amp;IF(LEN(INDEX('Aides'!$R$4:$R$503,186))=0,"",INDEX('Aides'!$R$4:$R$503,186))&amp;". ")&amp;IF(LEN(IF(LEN(INDEX('Aides'!$U$4:$U$503,186))=0,"",INDEX('Aides'!$U$4:$U$503,186)))=0,"","Owner: "&amp;IF(LEN(INDEX('Aides'!$U$4:$U$503,186))=0,"",INDEX('Aides'!$U$4:$U$503,186))&amp;". "))</f>
        <v/>
      </c>
      <c r="I1189">
        <f>""</f>
        <v/>
      </c>
      <c r="J1189">
        <f>IF(LEN(INDEX('Aides'!$V$4:$V$503,186))=0,"",INDEX('Aides'!$V$4:$V$503,186))</f>
        <v/>
      </c>
    </row>
    <row r="1190">
      <c r="A1190">
        <f>IF(AND(LEN('Aides'!A190)&gt;0,ISNUMBER('Aides'!O190)),1,0)</f>
        <v/>
      </c>
      <c r="B1190">
        <f>B1189+A1190</f>
        <v/>
      </c>
      <c r="C1190">
        <f>IF(1187&gt;$B$1503,"",MATCH(1187-0.5,$B$3:$B$1503,1))</f>
        <v/>
      </c>
      <c r="D1190">
        <f>"In-service hours due – "&amp;IF(LEN(INDEX('Aides'!$A$4:$A$503,187))=0,"",INDEX('Aides'!$A$4:$A$503,187))</f>
        <v/>
      </c>
      <c r="E1190">
        <f>IF(ISNUMBER(INDEX('Aides'!$O$4:$O$503,187)),TEXT(INDEX('Aides'!$O$4:$O$503,187),"yyyy-mm-dd"),"")</f>
        <v/>
      </c>
      <c r="F1190">
        <f>"Training"</f>
        <v/>
      </c>
      <c r="G1190">
        <f>"Medium"</f>
        <v/>
      </c>
      <c r="H1190">
        <f>TRIM(IF(LEN(IF(LEN(INDEX('Aides'!$P$4:$P$503,187))=0,"",INDEX('Aides'!$P$4:$P$503,187)))=0,"","Hours done: "&amp;IF(LEN(INDEX('Aides'!$P$4:$P$503,187))=0,"",INDEX('Aides'!$P$4:$P$503,187))&amp;". ")&amp;IF(LEN(IF(LEN(INDEX('Aides'!$Q$4:$Q$503,187))=0,"",INDEX('Aides'!$Q$4:$Q$503,187)))=0,"","Target: "&amp;IF(LEN(INDEX('Aides'!$Q$4:$Q$503,187))=0,"",INDEX('Aides'!$Q$4:$Q$503,187))&amp;". ")&amp;IF(LEN(IF(LEN(INDEX('Aides'!$R$4:$R$503,187))=0,"",INDEX('Aides'!$R$4:$R$503,187)))=0,"","Hours still needed: "&amp;IF(LEN(INDEX('Aides'!$R$4:$R$503,187))=0,"",INDEX('Aides'!$R$4:$R$503,187))&amp;". ")&amp;IF(LEN(IF(LEN(INDEX('Aides'!$U$4:$U$503,187))=0,"",INDEX('Aides'!$U$4:$U$503,187)))=0,"","Owner: "&amp;IF(LEN(INDEX('Aides'!$U$4:$U$503,187))=0,"",INDEX('Aides'!$U$4:$U$503,187))&amp;". "))</f>
        <v/>
      </c>
      <c r="I1190">
        <f>""</f>
        <v/>
      </c>
      <c r="J1190">
        <f>IF(LEN(INDEX('Aides'!$V$4:$V$503,187))=0,"",INDEX('Aides'!$V$4:$V$503,187))</f>
        <v/>
      </c>
    </row>
    <row r="1191">
      <c r="A1191">
        <f>IF(AND(LEN('Aides'!A191)&gt;0,ISNUMBER('Aides'!O191)),1,0)</f>
        <v/>
      </c>
      <c r="B1191">
        <f>B1190+A1191</f>
        <v/>
      </c>
      <c r="C1191">
        <f>IF(1188&gt;$B$1503,"",MATCH(1188-0.5,$B$3:$B$1503,1))</f>
        <v/>
      </c>
      <c r="D1191">
        <f>"In-service hours due – "&amp;IF(LEN(INDEX('Aides'!$A$4:$A$503,188))=0,"",INDEX('Aides'!$A$4:$A$503,188))</f>
        <v/>
      </c>
      <c r="E1191">
        <f>IF(ISNUMBER(INDEX('Aides'!$O$4:$O$503,188)),TEXT(INDEX('Aides'!$O$4:$O$503,188),"yyyy-mm-dd"),"")</f>
        <v/>
      </c>
      <c r="F1191">
        <f>"Training"</f>
        <v/>
      </c>
      <c r="G1191">
        <f>"Medium"</f>
        <v/>
      </c>
      <c r="H1191">
        <f>TRIM(IF(LEN(IF(LEN(INDEX('Aides'!$P$4:$P$503,188))=0,"",INDEX('Aides'!$P$4:$P$503,188)))=0,"","Hours done: "&amp;IF(LEN(INDEX('Aides'!$P$4:$P$503,188))=0,"",INDEX('Aides'!$P$4:$P$503,188))&amp;". ")&amp;IF(LEN(IF(LEN(INDEX('Aides'!$Q$4:$Q$503,188))=0,"",INDEX('Aides'!$Q$4:$Q$503,188)))=0,"","Target: "&amp;IF(LEN(INDEX('Aides'!$Q$4:$Q$503,188))=0,"",INDEX('Aides'!$Q$4:$Q$503,188))&amp;". ")&amp;IF(LEN(IF(LEN(INDEX('Aides'!$R$4:$R$503,188))=0,"",INDEX('Aides'!$R$4:$R$503,188)))=0,"","Hours still needed: "&amp;IF(LEN(INDEX('Aides'!$R$4:$R$503,188))=0,"",INDEX('Aides'!$R$4:$R$503,188))&amp;". ")&amp;IF(LEN(IF(LEN(INDEX('Aides'!$U$4:$U$503,188))=0,"",INDEX('Aides'!$U$4:$U$503,188)))=0,"","Owner: "&amp;IF(LEN(INDEX('Aides'!$U$4:$U$503,188))=0,"",INDEX('Aides'!$U$4:$U$503,188))&amp;". "))</f>
        <v/>
      </c>
      <c r="I1191">
        <f>""</f>
        <v/>
      </c>
      <c r="J1191">
        <f>IF(LEN(INDEX('Aides'!$V$4:$V$503,188))=0,"",INDEX('Aides'!$V$4:$V$503,188))</f>
        <v/>
      </c>
    </row>
    <row r="1192">
      <c r="A1192">
        <f>IF(AND(LEN('Aides'!A192)&gt;0,ISNUMBER('Aides'!O192)),1,0)</f>
        <v/>
      </c>
      <c r="B1192">
        <f>B1191+A1192</f>
        <v/>
      </c>
      <c r="C1192">
        <f>IF(1189&gt;$B$1503,"",MATCH(1189-0.5,$B$3:$B$1503,1))</f>
        <v/>
      </c>
      <c r="D1192">
        <f>"In-service hours due – "&amp;IF(LEN(INDEX('Aides'!$A$4:$A$503,189))=0,"",INDEX('Aides'!$A$4:$A$503,189))</f>
        <v/>
      </c>
      <c r="E1192">
        <f>IF(ISNUMBER(INDEX('Aides'!$O$4:$O$503,189)),TEXT(INDEX('Aides'!$O$4:$O$503,189),"yyyy-mm-dd"),"")</f>
        <v/>
      </c>
      <c r="F1192">
        <f>"Training"</f>
        <v/>
      </c>
      <c r="G1192">
        <f>"Medium"</f>
        <v/>
      </c>
      <c r="H1192">
        <f>TRIM(IF(LEN(IF(LEN(INDEX('Aides'!$P$4:$P$503,189))=0,"",INDEX('Aides'!$P$4:$P$503,189)))=0,"","Hours done: "&amp;IF(LEN(INDEX('Aides'!$P$4:$P$503,189))=0,"",INDEX('Aides'!$P$4:$P$503,189))&amp;". ")&amp;IF(LEN(IF(LEN(INDEX('Aides'!$Q$4:$Q$503,189))=0,"",INDEX('Aides'!$Q$4:$Q$503,189)))=0,"","Target: "&amp;IF(LEN(INDEX('Aides'!$Q$4:$Q$503,189))=0,"",INDEX('Aides'!$Q$4:$Q$503,189))&amp;". ")&amp;IF(LEN(IF(LEN(INDEX('Aides'!$R$4:$R$503,189))=0,"",INDEX('Aides'!$R$4:$R$503,189)))=0,"","Hours still needed: "&amp;IF(LEN(INDEX('Aides'!$R$4:$R$503,189))=0,"",INDEX('Aides'!$R$4:$R$503,189))&amp;". ")&amp;IF(LEN(IF(LEN(INDEX('Aides'!$U$4:$U$503,189))=0,"",INDEX('Aides'!$U$4:$U$503,189)))=0,"","Owner: "&amp;IF(LEN(INDEX('Aides'!$U$4:$U$503,189))=0,"",INDEX('Aides'!$U$4:$U$503,189))&amp;". "))</f>
        <v/>
      </c>
      <c r="I1192">
        <f>""</f>
        <v/>
      </c>
      <c r="J1192">
        <f>IF(LEN(INDEX('Aides'!$V$4:$V$503,189))=0,"",INDEX('Aides'!$V$4:$V$503,189))</f>
        <v/>
      </c>
    </row>
    <row r="1193">
      <c r="A1193">
        <f>IF(AND(LEN('Aides'!A193)&gt;0,ISNUMBER('Aides'!O193)),1,0)</f>
        <v/>
      </c>
      <c r="B1193">
        <f>B1192+A1193</f>
        <v/>
      </c>
      <c r="C1193">
        <f>IF(1190&gt;$B$1503,"",MATCH(1190-0.5,$B$3:$B$1503,1))</f>
        <v/>
      </c>
      <c r="D1193">
        <f>"In-service hours due – "&amp;IF(LEN(INDEX('Aides'!$A$4:$A$503,190))=0,"",INDEX('Aides'!$A$4:$A$503,190))</f>
        <v/>
      </c>
      <c r="E1193">
        <f>IF(ISNUMBER(INDEX('Aides'!$O$4:$O$503,190)),TEXT(INDEX('Aides'!$O$4:$O$503,190),"yyyy-mm-dd"),"")</f>
        <v/>
      </c>
      <c r="F1193">
        <f>"Training"</f>
        <v/>
      </c>
      <c r="G1193">
        <f>"Medium"</f>
        <v/>
      </c>
      <c r="H1193">
        <f>TRIM(IF(LEN(IF(LEN(INDEX('Aides'!$P$4:$P$503,190))=0,"",INDEX('Aides'!$P$4:$P$503,190)))=0,"","Hours done: "&amp;IF(LEN(INDEX('Aides'!$P$4:$P$503,190))=0,"",INDEX('Aides'!$P$4:$P$503,190))&amp;". ")&amp;IF(LEN(IF(LEN(INDEX('Aides'!$Q$4:$Q$503,190))=0,"",INDEX('Aides'!$Q$4:$Q$503,190)))=0,"","Target: "&amp;IF(LEN(INDEX('Aides'!$Q$4:$Q$503,190))=0,"",INDEX('Aides'!$Q$4:$Q$503,190))&amp;". ")&amp;IF(LEN(IF(LEN(INDEX('Aides'!$R$4:$R$503,190))=0,"",INDEX('Aides'!$R$4:$R$503,190)))=0,"","Hours still needed: "&amp;IF(LEN(INDEX('Aides'!$R$4:$R$503,190))=0,"",INDEX('Aides'!$R$4:$R$503,190))&amp;". ")&amp;IF(LEN(IF(LEN(INDEX('Aides'!$U$4:$U$503,190))=0,"",INDEX('Aides'!$U$4:$U$503,190)))=0,"","Owner: "&amp;IF(LEN(INDEX('Aides'!$U$4:$U$503,190))=0,"",INDEX('Aides'!$U$4:$U$503,190))&amp;". "))</f>
        <v/>
      </c>
      <c r="I1193">
        <f>""</f>
        <v/>
      </c>
      <c r="J1193">
        <f>IF(LEN(INDEX('Aides'!$V$4:$V$503,190))=0,"",INDEX('Aides'!$V$4:$V$503,190))</f>
        <v/>
      </c>
    </row>
    <row r="1194">
      <c r="A1194">
        <f>IF(AND(LEN('Aides'!A194)&gt;0,ISNUMBER('Aides'!O194)),1,0)</f>
        <v/>
      </c>
      <c r="B1194">
        <f>B1193+A1194</f>
        <v/>
      </c>
      <c r="C1194">
        <f>IF(1191&gt;$B$1503,"",MATCH(1191-0.5,$B$3:$B$1503,1))</f>
        <v/>
      </c>
      <c r="D1194">
        <f>"In-service hours due – "&amp;IF(LEN(INDEX('Aides'!$A$4:$A$503,191))=0,"",INDEX('Aides'!$A$4:$A$503,191))</f>
        <v/>
      </c>
      <c r="E1194">
        <f>IF(ISNUMBER(INDEX('Aides'!$O$4:$O$503,191)),TEXT(INDEX('Aides'!$O$4:$O$503,191),"yyyy-mm-dd"),"")</f>
        <v/>
      </c>
      <c r="F1194">
        <f>"Training"</f>
        <v/>
      </c>
      <c r="G1194">
        <f>"Medium"</f>
        <v/>
      </c>
      <c r="H1194">
        <f>TRIM(IF(LEN(IF(LEN(INDEX('Aides'!$P$4:$P$503,191))=0,"",INDEX('Aides'!$P$4:$P$503,191)))=0,"","Hours done: "&amp;IF(LEN(INDEX('Aides'!$P$4:$P$503,191))=0,"",INDEX('Aides'!$P$4:$P$503,191))&amp;". ")&amp;IF(LEN(IF(LEN(INDEX('Aides'!$Q$4:$Q$503,191))=0,"",INDEX('Aides'!$Q$4:$Q$503,191)))=0,"","Target: "&amp;IF(LEN(INDEX('Aides'!$Q$4:$Q$503,191))=0,"",INDEX('Aides'!$Q$4:$Q$503,191))&amp;". ")&amp;IF(LEN(IF(LEN(INDEX('Aides'!$R$4:$R$503,191))=0,"",INDEX('Aides'!$R$4:$R$503,191)))=0,"","Hours still needed: "&amp;IF(LEN(INDEX('Aides'!$R$4:$R$503,191))=0,"",INDEX('Aides'!$R$4:$R$503,191))&amp;". ")&amp;IF(LEN(IF(LEN(INDEX('Aides'!$U$4:$U$503,191))=0,"",INDEX('Aides'!$U$4:$U$503,191)))=0,"","Owner: "&amp;IF(LEN(INDEX('Aides'!$U$4:$U$503,191))=0,"",INDEX('Aides'!$U$4:$U$503,191))&amp;". "))</f>
        <v/>
      </c>
      <c r="I1194">
        <f>""</f>
        <v/>
      </c>
      <c r="J1194">
        <f>IF(LEN(INDEX('Aides'!$V$4:$V$503,191))=0,"",INDEX('Aides'!$V$4:$V$503,191))</f>
        <v/>
      </c>
    </row>
    <row r="1195">
      <c r="A1195">
        <f>IF(AND(LEN('Aides'!A195)&gt;0,ISNUMBER('Aides'!O195)),1,0)</f>
        <v/>
      </c>
      <c r="B1195">
        <f>B1194+A1195</f>
        <v/>
      </c>
      <c r="C1195">
        <f>IF(1192&gt;$B$1503,"",MATCH(1192-0.5,$B$3:$B$1503,1))</f>
        <v/>
      </c>
      <c r="D1195">
        <f>"In-service hours due – "&amp;IF(LEN(INDEX('Aides'!$A$4:$A$503,192))=0,"",INDEX('Aides'!$A$4:$A$503,192))</f>
        <v/>
      </c>
      <c r="E1195">
        <f>IF(ISNUMBER(INDEX('Aides'!$O$4:$O$503,192)),TEXT(INDEX('Aides'!$O$4:$O$503,192),"yyyy-mm-dd"),"")</f>
        <v/>
      </c>
      <c r="F1195">
        <f>"Training"</f>
        <v/>
      </c>
      <c r="G1195">
        <f>"Medium"</f>
        <v/>
      </c>
      <c r="H1195">
        <f>TRIM(IF(LEN(IF(LEN(INDEX('Aides'!$P$4:$P$503,192))=0,"",INDEX('Aides'!$P$4:$P$503,192)))=0,"","Hours done: "&amp;IF(LEN(INDEX('Aides'!$P$4:$P$503,192))=0,"",INDEX('Aides'!$P$4:$P$503,192))&amp;". ")&amp;IF(LEN(IF(LEN(INDEX('Aides'!$Q$4:$Q$503,192))=0,"",INDEX('Aides'!$Q$4:$Q$503,192)))=0,"","Target: "&amp;IF(LEN(INDEX('Aides'!$Q$4:$Q$503,192))=0,"",INDEX('Aides'!$Q$4:$Q$503,192))&amp;". ")&amp;IF(LEN(IF(LEN(INDEX('Aides'!$R$4:$R$503,192))=0,"",INDEX('Aides'!$R$4:$R$503,192)))=0,"","Hours still needed: "&amp;IF(LEN(INDEX('Aides'!$R$4:$R$503,192))=0,"",INDEX('Aides'!$R$4:$R$503,192))&amp;". ")&amp;IF(LEN(IF(LEN(INDEX('Aides'!$U$4:$U$503,192))=0,"",INDEX('Aides'!$U$4:$U$503,192)))=0,"","Owner: "&amp;IF(LEN(INDEX('Aides'!$U$4:$U$503,192))=0,"",INDEX('Aides'!$U$4:$U$503,192))&amp;". "))</f>
        <v/>
      </c>
      <c r="I1195">
        <f>""</f>
        <v/>
      </c>
      <c r="J1195">
        <f>IF(LEN(INDEX('Aides'!$V$4:$V$503,192))=0,"",INDEX('Aides'!$V$4:$V$503,192))</f>
        <v/>
      </c>
    </row>
    <row r="1196">
      <c r="A1196">
        <f>IF(AND(LEN('Aides'!A196)&gt;0,ISNUMBER('Aides'!O196)),1,0)</f>
        <v/>
      </c>
      <c r="B1196">
        <f>B1195+A1196</f>
        <v/>
      </c>
      <c r="C1196">
        <f>IF(1193&gt;$B$1503,"",MATCH(1193-0.5,$B$3:$B$1503,1))</f>
        <v/>
      </c>
      <c r="D1196">
        <f>"In-service hours due – "&amp;IF(LEN(INDEX('Aides'!$A$4:$A$503,193))=0,"",INDEX('Aides'!$A$4:$A$503,193))</f>
        <v/>
      </c>
      <c r="E1196">
        <f>IF(ISNUMBER(INDEX('Aides'!$O$4:$O$503,193)),TEXT(INDEX('Aides'!$O$4:$O$503,193),"yyyy-mm-dd"),"")</f>
        <v/>
      </c>
      <c r="F1196">
        <f>"Training"</f>
        <v/>
      </c>
      <c r="G1196">
        <f>"Medium"</f>
        <v/>
      </c>
      <c r="H1196">
        <f>TRIM(IF(LEN(IF(LEN(INDEX('Aides'!$P$4:$P$503,193))=0,"",INDEX('Aides'!$P$4:$P$503,193)))=0,"","Hours done: "&amp;IF(LEN(INDEX('Aides'!$P$4:$P$503,193))=0,"",INDEX('Aides'!$P$4:$P$503,193))&amp;". ")&amp;IF(LEN(IF(LEN(INDEX('Aides'!$Q$4:$Q$503,193))=0,"",INDEX('Aides'!$Q$4:$Q$503,193)))=0,"","Target: "&amp;IF(LEN(INDEX('Aides'!$Q$4:$Q$503,193))=0,"",INDEX('Aides'!$Q$4:$Q$503,193))&amp;". ")&amp;IF(LEN(IF(LEN(INDEX('Aides'!$R$4:$R$503,193))=0,"",INDEX('Aides'!$R$4:$R$503,193)))=0,"","Hours still needed: "&amp;IF(LEN(INDEX('Aides'!$R$4:$R$503,193))=0,"",INDEX('Aides'!$R$4:$R$503,193))&amp;". ")&amp;IF(LEN(IF(LEN(INDEX('Aides'!$U$4:$U$503,193))=0,"",INDEX('Aides'!$U$4:$U$503,193)))=0,"","Owner: "&amp;IF(LEN(INDEX('Aides'!$U$4:$U$503,193))=0,"",INDEX('Aides'!$U$4:$U$503,193))&amp;". "))</f>
        <v/>
      </c>
      <c r="I1196">
        <f>""</f>
        <v/>
      </c>
      <c r="J1196">
        <f>IF(LEN(INDEX('Aides'!$V$4:$V$503,193))=0,"",INDEX('Aides'!$V$4:$V$503,193))</f>
        <v/>
      </c>
    </row>
    <row r="1197">
      <c r="A1197">
        <f>IF(AND(LEN('Aides'!A197)&gt;0,ISNUMBER('Aides'!O197)),1,0)</f>
        <v/>
      </c>
      <c r="B1197">
        <f>B1196+A1197</f>
        <v/>
      </c>
      <c r="C1197">
        <f>IF(1194&gt;$B$1503,"",MATCH(1194-0.5,$B$3:$B$1503,1))</f>
        <v/>
      </c>
      <c r="D1197">
        <f>"In-service hours due – "&amp;IF(LEN(INDEX('Aides'!$A$4:$A$503,194))=0,"",INDEX('Aides'!$A$4:$A$503,194))</f>
        <v/>
      </c>
      <c r="E1197">
        <f>IF(ISNUMBER(INDEX('Aides'!$O$4:$O$503,194)),TEXT(INDEX('Aides'!$O$4:$O$503,194),"yyyy-mm-dd"),"")</f>
        <v/>
      </c>
      <c r="F1197">
        <f>"Training"</f>
        <v/>
      </c>
      <c r="G1197">
        <f>"Medium"</f>
        <v/>
      </c>
      <c r="H1197">
        <f>TRIM(IF(LEN(IF(LEN(INDEX('Aides'!$P$4:$P$503,194))=0,"",INDEX('Aides'!$P$4:$P$503,194)))=0,"","Hours done: "&amp;IF(LEN(INDEX('Aides'!$P$4:$P$503,194))=0,"",INDEX('Aides'!$P$4:$P$503,194))&amp;". ")&amp;IF(LEN(IF(LEN(INDEX('Aides'!$Q$4:$Q$503,194))=0,"",INDEX('Aides'!$Q$4:$Q$503,194)))=0,"","Target: "&amp;IF(LEN(INDEX('Aides'!$Q$4:$Q$503,194))=0,"",INDEX('Aides'!$Q$4:$Q$503,194))&amp;". ")&amp;IF(LEN(IF(LEN(INDEX('Aides'!$R$4:$R$503,194))=0,"",INDEX('Aides'!$R$4:$R$503,194)))=0,"","Hours still needed: "&amp;IF(LEN(INDEX('Aides'!$R$4:$R$503,194))=0,"",INDEX('Aides'!$R$4:$R$503,194))&amp;". ")&amp;IF(LEN(IF(LEN(INDEX('Aides'!$U$4:$U$503,194))=0,"",INDEX('Aides'!$U$4:$U$503,194)))=0,"","Owner: "&amp;IF(LEN(INDEX('Aides'!$U$4:$U$503,194))=0,"",INDEX('Aides'!$U$4:$U$503,194))&amp;". "))</f>
        <v/>
      </c>
      <c r="I1197">
        <f>""</f>
        <v/>
      </c>
      <c r="J1197">
        <f>IF(LEN(INDEX('Aides'!$V$4:$V$503,194))=0,"",INDEX('Aides'!$V$4:$V$503,194))</f>
        <v/>
      </c>
    </row>
    <row r="1198">
      <c r="A1198">
        <f>IF(AND(LEN('Aides'!A198)&gt;0,ISNUMBER('Aides'!O198)),1,0)</f>
        <v/>
      </c>
      <c r="B1198">
        <f>B1197+A1198</f>
        <v/>
      </c>
      <c r="C1198">
        <f>IF(1195&gt;$B$1503,"",MATCH(1195-0.5,$B$3:$B$1503,1))</f>
        <v/>
      </c>
      <c r="D1198">
        <f>"In-service hours due – "&amp;IF(LEN(INDEX('Aides'!$A$4:$A$503,195))=0,"",INDEX('Aides'!$A$4:$A$503,195))</f>
        <v/>
      </c>
      <c r="E1198">
        <f>IF(ISNUMBER(INDEX('Aides'!$O$4:$O$503,195)),TEXT(INDEX('Aides'!$O$4:$O$503,195),"yyyy-mm-dd"),"")</f>
        <v/>
      </c>
      <c r="F1198">
        <f>"Training"</f>
        <v/>
      </c>
      <c r="G1198">
        <f>"Medium"</f>
        <v/>
      </c>
      <c r="H1198">
        <f>TRIM(IF(LEN(IF(LEN(INDEX('Aides'!$P$4:$P$503,195))=0,"",INDEX('Aides'!$P$4:$P$503,195)))=0,"","Hours done: "&amp;IF(LEN(INDEX('Aides'!$P$4:$P$503,195))=0,"",INDEX('Aides'!$P$4:$P$503,195))&amp;". ")&amp;IF(LEN(IF(LEN(INDEX('Aides'!$Q$4:$Q$503,195))=0,"",INDEX('Aides'!$Q$4:$Q$503,195)))=0,"","Target: "&amp;IF(LEN(INDEX('Aides'!$Q$4:$Q$503,195))=0,"",INDEX('Aides'!$Q$4:$Q$503,195))&amp;". ")&amp;IF(LEN(IF(LEN(INDEX('Aides'!$R$4:$R$503,195))=0,"",INDEX('Aides'!$R$4:$R$503,195)))=0,"","Hours still needed: "&amp;IF(LEN(INDEX('Aides'!$R$4:$R$503,195))=0,"",INDEX('Aides'!$R$4:$R$503,195))&amp;". ")&amp;IF(LEN(IF(LEN(INDEX('Aides'!$U$4:$U$503,195))=0,"",INDEX('Aides'!$U$4:$U$503,195)))=0,"","Owner: "&amp;IF(LEN(INDEX('Aides'!$U$4:$U$503,195))=0,"",INDEX('Aides'!$U$4:$U$503,195))&amp;". "))</f>
        <v/>
      </c>
      <c r="I1198">
        <f>""</f>
        <v/>
      </c>
      <c r="J1198">
        <f>IF(LEN(INDEX('Aides'!$V$4:$V$503,195))=0,"",INDEX('Aides'!$V$4:$V$503,195))</f>
        <v/>
      </c>
    </row>
    <row r="1199">
      <c r="A1199">
        <f>IF(AND(LEN('Aides'!A199)&gt;0,ISNUMBER('Aides'!O199)),1,0)</f>
        <v/>
      </c>
      <c r="B1199">
        <f>B1198+A1199</f>
        <v/>
      </c>
      <c r="C1199">
        <f>IF(1196&gt;$B$1503,"",MATCH(1196-0.5,$B$3:$B$1503,1))</f>
        <v/>
      </c>
      <c r="D1199">
        <f>"In-service hours due – "&amp;IF(LEN(INDEX('Aides'!$A$4:$A$503,196))=0,"",INDEX('Aides'!$A$4:$A$503,196))</f>
        <v/>
      </c>
      <c r="E1199">
        <f>IF(ISNUMBER(INDEX('Aides'!$O$4:$O$503,196)),TEXT(INDEX('Aides'!$O$4:$O$503,196),"yyyy-mm-dd"),"")</f>
        <v/>
      </c>
      <c r="F1199">
        <f>"Training"</f>
        <v/>
      </c>
      <c r="G1199">
        <f>"Medium"</f>
        <v/>
      </c>
      <c r="H1199">
        <f>TRIM(IF(LEN(IF(LEN(INDEX('Aides'!$P$4:$P$503,196))=0,"",INDEX('Aides'!$P$4:$P$503,196)))=0,"","Hours done: "&amp;IF(LEN(INDEX('Aides'!$P$4:$P$503,196))=0,"",INDEX('Aides'!$P$4:$P$503,196))&amp;". ")&amp;IF(LEN(IF(LEN(INDEX('Aides'!$Q$4:$Q$503,196))=0,"",INDEX('Aides'!$Q$4:$Q$503,196)))=0,"","Target: "&amp;IF(LEN(INDEX('Aides'!$Q$4:$Q$503,196))=0,"",INDEX('Aides'!$Q$4:$Q$503,196))&amp;". ")&amp;IF(LEN(IF(LEN(INDEX('Aides'!$R$4:$R$503,196))=0,"",INDEX('Aides'!$R$4:$R$503,196)))=0,"","Hours still needed: "&amp;IF(LEN(INDEX('Aides'!$R$4:$R$503,196))=0,"",INDEX('Aides'!$R$4:$R$503,196))&amp;". ")&amp;IF(LEN(IF(LEN(INDEX('Aides'!$U$4:$U$503,196))=0,"",INDEX('Aides'!$U$4:$U$503,196)))=0,"","Owner: "&amp;IF(LEN(INDEX('Aides'!$U$4:$U$503,196))=0,"",INDEX('Aides'!$U$4:$U$503,196))&amp;". "))</f>
        <v/>
      </c>
      <c r="I1199">
        <f>""</f>
        <v/>
      </c>
      <c r="J1199">
        <f>IF(LEN(INDEX('Aides'!$V$4:$V$503,196))=0,"",INDEX('Aides'!$V$4:$V$503,196))</f>
        <v/>
      </c>
    </row>
    <row r="1200">
      <c r="A1200">
        <f>IF(AND(LEN('Aides'!A200)&gt;0,ISNUMBER('Aides'!O200)),1,0)</f>
        <v/>
      </c>
      <c r="B1200">
        <f>B1199+A1200</f>
        <v/>
      </c>
      <c r="C1200">
        <f>IF(1197&gt;$B$1503,"",MATCH(1197-0.5,$B$3:$B$1503,1))</f>
        <v/>
      </c>
      <c r="D1200">
        <f>"In-service hours due – "&amp;IF(LEN(INDEX('Aides'!$A$4:$A$503,197))=0,"",INDEX('Aides'!$A$4:$A$503,197))</f>
        <v/>
      </c>
      <c r="E1200">
        <f>IF(ISNUMBER(INDEX('Aides'!$O$4:$O$503,197)),TEXT(INDEX('Aides'!$O$4:$O$503,197),"yyyy-mm-dd"),"")</f>
        <v/>
      </c>
      <c r="F1200">
        <f>"Training"</f>
        <v/>
      </c>
      <c r="G1200">
        <f>"Medium"</f>
        <v/>
      </c>
      <c r="H1200">
        <f>TRIM(IF(LEN(IF(LEN(INDEX('Aides'!$P$4:$P$503,197))=0,"",INDEX('Aides'!$P$4:$P$503,197)))=0,"","Hours done: "&amp;IF(LEN(INDEX('Aides'!$P$4:$P$503,197))=0,"",INDEX('Aides'!$P$4:$P$503,197))&amp;". ")&amp;IF(LEN(IF(LEN(INDEX('Aides'!$Q$4:$Q$503,197))=0,"",INDEX('Aides'!$Q$4:$Q$503,197)))=0,"","Target: "&amp;IF(LEN(INDEX('Aides'!$Q$4:$Q$503,197))=0,"",INDEX('Aides'!$Q$4:$Q$503,197))&amp;". ")&amp;IF(LEN(IF(LEN(INDEX('Aides'!$R$4:$R$503,197))=0,"",INDEX('Aides'!$R$4:$R$503,197)))=0,"","Hours still needed: "&amp;IF(LEN(INDEX('Aides'!$R$4:$R$503,197))=0,"",INDEX('Aides'!$R$4:$R$503,197))&amp;". ")&amp;IF(LEN(IF(LEN(INDEX('Aides'!$U$4:$U$503,197))=0,"",INDEX('Aides'!$U$4:$U$503,197)))=0,"","Owner: "&amp;IF(LEN(INDEX('Aides'!$U$4:$U$503,197))=0,"",INDEX('Aides'!$U$4:$U$503,197))&amp;". "))</f>
        <v/>
      </c>
      <c r="I1200">
        <f>""</f>
        <v/>
      </c>
      <c r="J1200">
        <f>IF(LEN(INDEX('Aides'!$V$4:$V$503,197))=0,"",INDEX('Aides'!$V$4:$V$503,197))</f>
        <v/>
      </c>
    </row>
    <row r="1201">
      <c r="A1201">
        <f>IF(AND(LEN('Aides'!A201)&gt;0,ISNUMBER('Aides'!O201)),1,0)</f>
        <v/>
      </c>
      <c r="B1201">
        <f>B1200+A1201</f>
        <v/>
      </c>
      <c r="C1201">
        <f>IF(1198&gt;$B$1503,"",MATCH(1198-0.5,$B$3:$B$1503,1))</f>
        <v/>
      </c>
      <c r="D1201">
        <f>"In-service hours due – "&amp;IF(LEN(INDEX('Aides'!$A$4:$A$503,198))=0,"",INDEX('Aides'!$A$4:$A$503,198))</f>
        <v/>
      </c>
      <c r="E1201">
        <f>IF(ISNUMBER(INDEX('Aides'!$O$4:$O$503,198)),TEXT(INDEX('Aides'!$O$4:$O$503,198),"yyyy-mm-dd"),"")</f>
        <v/>
      </c>
      <c r="F1201">
        <f>"Training"</f>
        <v/>
      </c>
      <c r="G1201">
        <f>"Medium"</f>
        <v/>
      </c>
      <c r="H1201">
        <f>TRIM(IF(LEN(IF(LEN(INDEX('Aides'!$P$4:$P$503,198))=0,"",INDEX('Aides'!$P$4:$P$503,198)))=0,"","Hours done: "&amp;IF(LEN(INDEX('Aides'!$P$4:$P$503,198))=0,"",INDEX('Aides'!$P$4:$P$503,198))&amp;". ")&amp;IF(LEN(IF(LEN(INDEX('Aides'!$Q$4:$Q$503,198))=0,"",INDEX('Aides'!$Q$4:$Q$503,198)))=0,"","Target: "&amp;IF(LEN(INDEX('Aides'!$Q$4:$Q$503,198))=0,"",INDEX('Aides'!$Q$4:$Q$503,198))&amp;". ")&amp;IF(LEN(IF(LEN(INDEX('Aides'!$R$4:$R$503,198))=0,"",INDEX('Aides'!$R$4:$R$503,198)))=0,"","Hours still needed: "&amp;IF(LEN(INDEX('Aides'!$R$4:$R$503,198))=0,"",INDEX('Aides'!$R$4:$R$503,198))&amp;". ")&amp;IF(LEN(IF(LEN(INDEX('Aides'!$U$4:$U$503,198))=0,"",INDEX('Aides'!$U$4:$U$503,198)))=0,"","Owner: "&amp;IF(LEN(INDEX('Aides'!$U$4:$U$503,198))=0,"",INDEX('Aides'!$U$4:$U$503,198))&amp;". "))</f>
        <v/>
      </c>
      <c r="I1201">
        <f>""</f>
        <v/>
      </c>
      <c r="J1201">
        <f>IF(LEN(INDEX('Aides'!$V$4:$V$503,198))=0,"",INDEX('Aides'!$V$4:$V$503,198))</f>
        <v/>
      </c>
    </row>
    <row r="1202">
      <c r="A1202">
        <f>IF(AND(LEN('Aides'!A202)&gt;0,ISNUMBER('Aides'!O202)),1,0)</f>
        <v/>
      </c>
      <c r="B1202">
        <f>B1201+A1202</f>
        <v/>
      </c>
      <c r="C1202">
        <f>IF(1199&gt;$B$1503,"",MATCH(1199-0.5,$B$3:$B$1503,1))</f>
        <v/>
      </c>
      <c r="D1202">
        <f>"In-service hours due – "&amp;IF(LEN(INDEX('Aides'!$A$4:$A$503,199))=0,"",INDEX('Aides'!$A$4:$A$503,199))</f>
        <v/>
      </c>
      <c r="E1202">
        <f>IF(ISNUMBER(INDEX('Aides'!$O$4:$O$503,199)),TEXT(INDEX('Aides'!$O$4:$O$503,199),"yyyy-mm-dd"),"")</f>
        <v/>
      </c>
      <c r="F1202">
        <f>"Training"</f>
        <v/>
      </c>
      <c r="G1202">
        <f>"Medium"</f>
        <v/>
      </c>
      <c r="H1202">
        <f>TRIM(IF(LEN(IF(LEN(INDEX('Aides'!$P$4:$P$503,199))=0,"",INDEX('Aides'!$P$4:$P$503,199)))=0,"","Hours done: "&amp;IF(LEN(INDEX('Aides'!$P$4:$P$503,199))=0,"",INDEX('Aides'!$P$4:$P$503,199))&amp;". ")&amp;IF(LEN(IF(LEN(INDEX('Aides'!$Q$4:$Q$503,199))=0,"",INDEX('Aides'!$Q$4:$Q$503,199)))=0,"","Target: "&amp;IF(LEN(INDEX('Aides'!$Q$4:$Q$503,199))=0,"",INDEX('Aides'!$Q$4:$Q$503,199))&amp;". ")&amp;IF(LEN(IF(LEN(INDEX('Aides'!$R$4:$R$503,199))=0,"",INDEX('Aides'!$R$4:$R$503,199)))=0,"","Hours still needed: "&amp;IF(LEN(INDEX('Aides'!$R$4:$R$503,199))=0,"",INDEX('Aides'!$R$4:$R$503,199))&amp;". ")&amp;IF(LEN(IF(LEN(INDEX('Aides'!$U$4:$U$503,199))=0,"",INDEX('Aides'!$U$4:$U$503,199)))=0,"","Owner: "&amp;IF(LEN(INDEX('Aides'!$U$4:$U$503,199))=0,"",INDEX('Aides'!$U$4:$U$503,199))&amp;". "))</f>
        <v/>
      </c>
      <c r="I1202">
        <f>""</f>
        <v/>
      </c>
      <c r="J1202">
        <f>IF(LEN(INDEX('Aides'!$V$4:$V$503,199))=0,"",INDEX('Aides'!$V$4:$V$503,199))</f>
        <v/>
      </c>
    </row>
    <row r="1203">
      <c r="A1203">
        <f>IF(AND(LEN('Aides'!A203)&gt;0,ISNUMBER('Aides'!O203)),1,0)</f>
        <v/>
      </c>
      <c r="B1203">
        <f>B1202+A1203</f>
        <v/>
      </c>
      <c r="C1203">
        <f>IF(1200&gt;$B$1503,"",MATCH(1200-0.5,$B$3:$B$1503,1))</f>
        <v/>
      </c>
      <c r="D1203">
        <f>"In-service hours due – "&amp;IF(LEN(INDEX('Aides'!$A$4:$A$503,200))=0,"",INDEX('Aides'!$A$4:$A$503,200))</f>
        <v/>
      </c>
      <c r="E1203">
        <f>IF(ISNUMBER(INDEX('Aides'!$O$4:$O$503,200)),TEXT(INDEX('Aides'!$O$4:$O$503,200),"yyyy-mm-dd"),"")</f>
        <v/>
      </c>
      <c r="F1203">
        <f>"Training"</f>
        <v/>
      </c>
      <c r="G1203">
        <f>"Medium"</f>
        <v/>
      </c>
      <c r="H1203">
        <f>TRIM(IF(LEN(IF(LEN(INDEX('Aides'!$P$4:$P$503,200))=0,"",INDEX('Aides'!$P$4:$P$503,200)))=0,"","Hours done: "&amp;IF(LEN(INDEX('Aides'!$P$4:$P$503,200))=0,"",INDEX('Aides'!$P$4:$P$503,200))&amp;". ")&amp;IF(LEN(IF(LEN(INDEX('Aides'!$Q$4:$Q$503,200))=0,"",INDEX('Aides'!$Q$4:$Q$503,200)))=0,"","Target: "&amp;IF(LEN(INDEX('Aides'!$Q$4:$Q$503,200))=0,"",INDEX('Aides'!$Q$4:$Q$503,200))&amp;". ")&amp;IF(LEN(IF(LEN(INDEX('Aides'!$R$4:$R$503,200))=0,"",INDEX('Aides'!$R$4:$R$503,200)))=0,"","Hours still needed: "&amp;IF(LEN(INDEX('Aides'!$R$4:$R$503,200))=0,"",INDEX('Aides'!$R$4:$R$503,200))&amp;". ")&amp;IF(LEN(IF(LEN(INDEX('Aides'!$U$4:$U$503,200))=0,"",INDEX('Aides'!$U$4:$U$503,200)))=0,"","Owner: "&amp;IF(LEN(INDEX('Aides'!$U$4:$U$503,200))=0,"",INDEX('Aides'!$U$4:$U$503,200))&amp;". "))</f>
        <v/>
      </c>
      <c r="I1203">
        <f>""</f>
        <v/>
      </c>
      <c r="J1203">
        <f>IF(LEN(INDEX('Aides'!$V$4:$V$503,200))=0,"",INDEX('Aides'!$V$4:$V$503,200))</f>
        <v/>
      </c>
    </row>
    <row r="1204">
      <c r="A1204">
        <f>IF(AND(LEN('Aides'!A204)&gt;0,ISNUMBER('Aides'!O204)),1,0)</f>
        <v/>
      </c>
      <c r="B1204">
        <f>B1203+A1204</f>
        <v/>
      </c>
      <c r="C1204">
        <f>IF(1201&gt;$B$1503,"",MATCH(1201-0.5,$B$3:$B$1503,1))</f>
        <v/>
      </c>
      <c r="D1204">
        <f>"In-service hours due – "&amp;IF(LEN(INDEX('Aides'!$A$4:$A$503,201))=0,"",INDEX('Aides'!$A$4:$A$503,201))</f>
        <v/>
      </c>
      <c r="E1204">
        <f>IF(ISNUMBER(INDEX('Aides'!$O$4:$O$503,201)),TEXT(INDEX('Aides'!$O$4:$O$503,201),"yyyy-mm-dd"),"")</f>
        <v/>
      </c>
      <c r="F1204">
        <f>"Training"</f>
        <v/>
      </c>
      <c r="G1204">
        <f>"Medium"</f>
        <v/>
      </c>
      <c r="H1204">
        <f>TRIM(IF(LEN(IF(LEN(INDEX('Aides'!$P$4:$P$503,201))=0,"",INDEX('Aides'!$P$4:$P$503,201)))=0,"","Hours done: "&amp;IF(LEN(INDEX('Aides'!$P$4:$P$503,201))=0,"",INDEX('Aides'!$P$4:$P$503,201))&amp;". ")&amp;IF(LEN(IF(LEN(INDEX('Aides'!$Q$4:$Q$503,201))=0,"",INDEX('Aides'!$Q$4:$Q$503,201)))=0,"","Target: "&amp;IF(LEN(INDEX('Aides'!$Q$4:$Q$503,201))=0,"",INDEX('Aides'!$Q$4:$Q$503,201))&amp;". ")&amp;IF(LEN(IF(LEN(INDEX('Aides'!$R$4:$R$503,201))=0,"",INDEX('Aides'!$R$4:$R$503,201)))=0,"","Hours still needed: "&amp;IF(LEN(INDEX('Aides'!$R$4:$R$503,201))=0,"",INDEX('Aides'!$R$4:$R$503,201))&amp;". ")&amp;IF(LEN(IF(LEN(INDEX('Aides'!$U$4:$U$503,201))=0,"",INDEX('Aides'!$U$4:$U$503,201)))=0,"","Owner: "&amp;IF(LEN(INDEX('Aides'!$U$4:$U$503,201))=0,"",INDEX('Aides'!$U$4:$U$503,201))&amp;". "))</f>
        <v/>
      </c>
      <c r="I1204">
        <f>""</f>
        <v/>
      </c>
      <c r="J1204">
        <f>IF(LEN(INDEX('Aides'!$V$4:$V$503,201))=0,"",INDEX('Aides'!$V$4:$V$503,201))</f>
        <v/>
      </c>
    </row>
    <row r="1205">
      <c r="A1205">
        <f>IF(AND(LEN('Aides'!A205)&gt;0,ISNUMBER('Aides'!O205)),1,0)</f>
        <v/>
      </c>
      <c r="B1205">
        <f>B1204+A1205</f>
        <v/>
      </c>
      <c r="C1205">
        <f>IF(1202&gt;$B$1503,"",MATCH(1202-0.5,$B$3:$B$1503,1))</f>
        <v/>
      </c>
      <c r="D1205">
        <f>"In-service hours due – "&amp;IF(LEN(INDEX('Aides'!$A$4:$A$503,202))=0,"",INDEX('Aides'!$A$4:$A$503,202))</f>
        <v/>
      </c>
      <c r="E1205">
        <f>IF(ISNUMBER(INDEX('Aides'!$O$4:$O$503,202)),TEXT(INDEX('Aides'!$O$4:$O$503,202),"yyyy-mm-dd"),"")</f>
        <v/>
      </c>
      <c r="F1205">
        <f>"Training"</f>
        <v/>
      </c>
      <c r="G1205">
        <f>"Medium"</f>
        <v/>
      </c>
      <c r="H1205">
        <f>TRIM(IF(LEN(IF(LEN(INDEX('Aides'!$P$4:$P$503,202))=0,"",INDEX('Aides'!$P$4:$P$503,202)))=0,"","Hours done: "&amp;IF(LEN(INDEX('Aides'!$P$4:$P$503,202))=0,"",INDEX('Aides'!$P$4:$P$503,202))&amp;". ")&amp;IF(LEN(IF(LEN(INDEX('Aides'!$Q$4:$Q$503,202))=0,"",INDEX('Aides'!$Q$4:$Q$503,202)))=0,"","Target: "&amp;IF(LEN(INDEX('Aides'!$Q$4:$Q$503,202))=0,"",INDEX('Aides'!$Q$4:$Q$503,202))&amp;". ")&amp;IF(LEN(IF(LEN(INDEX('Aides'!$R$4:$R$503,202))=0,"",INDEX('Aides'!$R$4:$R$503,202)))=0,"","Hours still needed: "&amp;IF(LEN(INDEX('Aides'!$R$4:$R$503,202))=0,"",INDEX('Aides'!$R$4:$R$503,202))&amp;". ")&amp;IF(LEN(IF(LEN(INDEX('Aides'!$U$4:$U$503,202))=0,"",INDEX('Aides'!$U$4:$U$503,202)))=0,"","Owner: "&amp;IF(LEN(INDEX('Aides'!$U$4:$U$503,202))=0,"",INDEX('Aides'!$U$4:$U$503,202))&amp;". "))</f>
        <v/>
      </c>
      <c r="I1205">
        <f>""</f>
        <v/>
      </c>
      <c r="J1205">
        <f>IF(LEN(INDEX('Aides'!$V$4:$V$503,202))=0,"",INDEX('Aides'!$V$4:$V$503,202))</f>
        <v/>
      </c>
    </row>
    <row r="1206">
      <c r="A1206">
        <f>IF(AND(LEN('Aides'!A206)&gt;0,ISNUMBER('Aides'!O206)),1,0)</f>
        <v/>
      </c>
      <c r="B1206">
        <f>B1205+A1206</f>
        <v/>
      </c>
      <c r="C1206">
        <f>IF(1203&gt;$B$1503,"",MATCH(1203-0.5,$B$3:$B$1503,1))</f>
        <v/>
      </c>
      <c r="D1206">
        <f>"In-service hours due – "&amp;IF(LEN(INDEX('Aides'!$A$4:$A$503,203))=0,"",INDEX('Aides'!$A$4:$A$503,203))</f>
        <v/>
      </c>
      <c r="E1206">
        <f>IF(ISNUMBER(INDEX('Aides'!$O$4:$O$503,203)),TEXT(INDEX('Aides'!$O$4:$O$503,203),"yyyy-mm-dd"),"")</f>
        <v/>
      </c>
      <c r="F1206">
        <f>"Training"</f>
        <v/>
      </c>
      <c r="G1206">
        <f>"Medium"</f>
        <v/>
      </c>
      <c r="H1206">
        <f>TRIM(IF(LEN(IF(LEN(INDEX('Aides'!$P$4:$P$503,203))=0,"",INDEX('Aides'!$P$4:$P$503,203)))=0,"","Hours done: "&amp;IF(LEN(INDEX('Aides'!$P$4:$P$503,203))=0,"",INDEX('Aides'!$P$4:$P$503,203))&amp;". ")&amp;IF(LEN(IF(LEN(INDEX('Aides'!$Q$4:$Q$503,203))=0,"",INDEX('Aides'!$Q$4:$Q$503,203)))=0,"","Target: "&amp;IF(LEN(INDEX('Aides'!$Q$4:$Q$503,203))=0,"",INDEX('Aides'!$Q$4:$Q$503,203))&amp;". ")&amp;IF(LEN(IF(LEN(INDEX('Aides'!$R$4:$R$503,203))=0,"",INDEX('Aides'!$R$4:$R$503,203)))=0,"","Hours still needed: "&amp;IF(LEN(INDEX('Aides'!$R$4:$R$503,203))=0,"",INDEX('Aides'!$R$4:$R$503,203))&amp;". ")&amp;IF(LEN(IF(LEN(INDEX('Aides'!$U$4:$U$503,203))=0,"",INDEX('Aides'!$U$4:$U$503,203)))=0,"","Owner: "&amp;IF(LEN(INDEX('Aides'!$U$4:$U$503,203))=0,"",INDEX('Aides'!$U$4:$U$503,203))&amp;". "))</f>
        <v/>
      </c>
      <c r="I1206">
        <f>""</f>
        <v/>
      </c>
      <c r="J1206">
        <f>IF(LEN(INDEX('Aides'!$V$4:$V$503,203))=0,"",INDEX('Aides'!$V$4:$V$503,203))</f>
        <v/>
      </c>
    </row>
    <row r="1207">
      <c r="A1207">
        <f>IF(AND(LEN('Aides'!A207)&gt;0,ISNUMBER('Aides'!O207)),1,0)</f>
        <v/>
      </c>
      <c r="B1207">
        <f>B1206+A1207</f>
        <v/>
      </c>
      <c r="C1207">
        <f>IF(1204&gt;$B$1503,"",MATCH(1204-0.5,$B$3:$B$1503,1))</f>
        <v/>
      </c>
      <c r="D1207">
        <f>"In-service hours due – "&amp;IF(LEN(INDEX('Aides'!$A$4:$A$503,204))=0,"",INDEX('Aides'!$A$4:$A$503,204))</f>
        <v/>
      </c>
      <c r="E1207">
        <f>IF(ISNUMBER(INDEX('Aides'!$O$4:$O$503,204)),TEXT(INDEX('Aides'!$O$4:$O$503,204),"yyyy-mm-dd"),"")</f>
        <v/>
      </c>
      <c r="F1207">
        <f>"Training"</f>
        <v/>
      </c>
      <c r="G1207">
        <f>"Medium"</f>
        <v/>
      </c>
      <c r="H1207">
        <f>TRIM(IF(LEN(IF(LEN(INDEX('Aides'!$P$4:$P$503,204))=0,"",INDEX('Aides'!$P$4:$P$503,204)))=0,"","Hours done: "&amp;IF(LEN(INDEX('Aides'!$P$4:$P$503,204))=0,"",INDEX('Aides'!$P$4:$P$503,204))&amp;". ")&amp;IF(LEN(IF(LEN(INDEX('Aides'!$Q$4:$Q$503,204))=0,"",INDEX('Aides'!$Q$4:$Q$503,204)))=0,"","Target: "&amp;IF(LEN(INDEX('Aides'!$Q$4:$Q$503,204))=0,"",INDEX('Aides'!$Q$4:$Q$503,204))&amp;". ")&amp;IF(LEN(IF(LEN(INDEX('Aides'!$R$4:$R$503,204))=0,"",INDEX('Aides'!$R$4:$R$503,204)))=0,"","Hours still needed: "&amp;IF(LEN(INDEX('Aides'!$R$4:$R$503,204))=0,"",INDEX('Aides'!$R$4:$R$503,204))&amp;". ")&amp;IF(LEN(IF(LEN(INDEX('Aides'!$U$4:$U$503,204))=0,"",INDEX('Aides'!$U$4:$U$503,204)))=0,"","Owner: "&amp;IF(LEN(INDEX('Aides'!$U$4:$U$503,204))=0,"",INDEX('Aides'!$U$4:$U$503,204))&amp;". "))</f>
        <v/>
      </c>
      <c r="I1207">
        <f>""</f>
        <v/>
      </c>
      <c r="J1207">
        <f>IF(LEN(INDEX('Aides'!$V$4:$V$503,204))=0,"",INDEX('Aides'!$V$4:$V$503,204))</f>
        <v/>
      </c>
    </row>
    <row r="1208">
      <c r="A1208">
        <f>IF(AND(LEN('Aides'!A208)&gt;0,ISNUMBER('Aides'!O208)),1,0)</f>
        <v/>
      </c>
      <c r="B1208">
        <f>B1207+A1208</f>
        <v/>
      </c>
      <c r="C1208">
        <f>IF(1205&gt;$B$1503,"",MATCH(1205-0.5,$B$3:$B$1503,1))</f>
        <v/>
      </c>
      <c r="D1208">
        <f>"In-service hours due – "&amp;IF(LEN(INDEX('Aides'!$A$4:$A$503,205))=0,"",INDEX('Aides'!$A$4:$A$503,205))</f>
        <v/>
      </c>
      <c r="E1208">
        <f>IF(ISNUMBER(INDEX('Aides'!$O$4:$O$503,205)),TEXT(INDEX('Aides'!$O$4:$O$503,205),"yyyy-mm-dd"),"")</f>
        <v/>
      </c>
      <c r="F1208">
        <f>"Training"</f>
        <v/>
      </c>
      <c r="G1208">
        <f>"Medium"</f>
        <v/>
      </c>
      <c r="H1208">
        <f>TRIM(IF(LEN(IF(LEN(INDEX('Aides'!$P$4:$P$503,205))=0,"",INDEX('Aides'!$P$4:$P$503,205)))=0,"","Hours done: "&amp;IF(LEN(INDEX('Aides'!$P$4:$P$503,205))=0,"",INDEX('Aides'!$P$4:$P$503,205))&amp;". ")&amp;IF(LEN(IF(LEN(INDEX('Aides'!$Q$4:$Q$503,205))=0,"",INDEX('Aides'!$Q$4:$Q$503,205)))=0,"","Target: "&amp;IF(LEN(INDEX('Aides'!$Q$4:$Q$503,205))=0,"",INDEX('Aides'!$Q$4:$Q$503,205))&amp;". ")&amp;IF(LEN(IF(LEN(INDEX('Aides'!$R$4:$R$503,205))=0,"",INDEX('Aides'!$R$4:$R$503,205)))=0,"","Hours still needed: "&amp;IF(LEN(INDEX('Aides'!$R$4:$R$503,205))=0,"",INDEX('Aides'!$R$4:$R$503,205))&amp;". ")&amp;IF(LEN(IF(LEN(INDEX('Aides'!$U$4:$U$503,205))=0,"",INDEX('Aides'!$U$4:$U$503,205)))=0,"","Owner: "&amp;IF(LEN(INDEX('Aides'!$U$4:$U$503,205))=0,"",INDEX('Aides'!$U$4:$U$503,205))&amp;". "))</f>
        <v/>
      </c>
      <c r="I1208">
        <f>""</f>
        <v/>
      </c>
      <c r="J1208">
        <f>IF(LEN(INDEX('Aides'!$V$4:$V$503,205))=0,"",INDEX('Aides'!$V$4:$V$503,205))</f>
        <v/>
      </c>
    </row>
    <row r="1209">
      <c r="A1209">
        <f>IF(AND(LEN('Aides'!A209)&gt;0,ISNUMBER('Aides'!O209)),1,0)</f>
        <v/>
      </c>
      <c r="B1209">
        <f>B1208+A1209</f>
        <v/>
      </c>
      <c r="C1209">
        <f>IF(1206&gt;$B$1503,"",MATCH(1206-0.5,$B$3:$B$1503,1))</f>
        <v/>
      </c>
      <c r="D1209">
        <f>"In-service hours due – "&amp;IF(LEN(INDEX('Aides'!$A$4:$A$503,206))=0,"",INDEX('Aides'!$A$4:$A$503,206))</f>
        <v/>
      </c>
      <c r="E1209">
        <f>IF(ISNUMBER(INDEX('Aides'!$O$4:$O$503,206)),TEXT(INDEX('Aides'!$O$4:$O$503,206),"yyyy-mm-dd"),"")</f>
        <v/>
      </c>
      <c r="F1209">
        <f>"Training"</f>
        <v/>
      </c>
      <c r="G1209">
        <f>"Medium"</f>
        <v/>
      </c>
      <c r="H1209">
        <f>TRIM(IF(LEN(IF(LEN(INDEX('Aides'!$P$4:$P$503,206))=0,"",INDEX('Aides'!$P$4:$P$503,206)))=0,"","Hours done: "&amp;IF(LEN(INDEX('Aides'!$P$4:$P$503,206))=0,"",INDEX('Aides'!$P$4:$P$503,206))&amp;". ")&amp;IF(LEN(IF(LEN(INDEX('Aides'!$Q$4:$Q$503,206))=0,"",INDEX('Aides'!$Q$4:$Q$503,206)))=0,"","Target: "&amp;IF(LEN(INDEX('Aides'!$Q$4:$Q$503,206))=0,"",INDEX('Aides'!$Q$4:$Q$503,206))&amp;". ")&amp;IF(LEN(IF(LEN(INDEX('Aides'!$R$4:$R$503,206))=0,"",INDEX('Aides'!$R$4:$R$503,206)))=0,"","Hours still needed: "&amp;IF(LEN(INDEX('Aides'!$R$4:$R$503,206))=0,"",INDEX('Aides'!$R$4:$R$503,206))&amp;". ")&amp;IF(LEN(IF(LEN(INDEX('Aides'!$U$4:$U$503,206))=0,"",INDEX('Aides'!$U$4:$U$503,206)))=0,"","Owner: "&amp;IF(LEN(INDEX('Aides'!$U$4:$U$503,206))=0,"",INDEX('Aides'!$U$4:$U$503,206))&amp;". "))</f>
        <v/>
      </c>
      <c r="I1209">
        <f>""</f>
        <v/>
      </c>
      <c r="J1209">
        <f>IF(LEN(INDEX('Aides'!$V$4:$V$503,206))=0,"",INDEX('Aides'!$V$4:$V$503,206))</f>
        <v/>
      </c>
    </row>
    <row r="1210">
      <c r="A1210">
        <f>IF(AND(LEN('Aides'!A210)&gt;0,ISNUMBER('Aides'!O210)),1,0)</f>
        <v/>
      </c>
      <c r="B1210">
        <f>B1209+A1210</f>
        <v/>
      </c>
      <c r="C1210">
        <f>IF(1207&gt;$B$1503,"",MATCH(1207-0.5,$B$3:$B$1503,1))</f>
        <v/>
      </c>
      <c r="D1210">
        <f>"In-service hours due – "&amp;IF(LEN(INDEX('Aides'!$A$4:$A$503,207))=0,"",INDEX('Aides'!$A$4:$A$503,207))</f>
        <v/>
      </c>
      <c r="E1210">
        <f>IF(ISNUMBER(INDEX('Aides'!$O$4:$O$503,207)),TEXT(INDEX('Aides'!$O$4:$O$503,207),"yyyy-mm-dd"),"")</f>
        <v/>
      </c>
      <c r="F1210">
        <f>"Training"</f>
        <v/>
      </c>
      <c r="G1210">
        <f>"Medium"</f>
        <v/>
      </c>
      <c r="H1210">
        <f>TRIM(IF(LEN(IF(LEN(INDEX('Aides'!$P$4:$P$503,207))=0,"",INDEX('Aides'!$P$4:$P$503,207)))=0,"","Hours done: "&amp;IF(LEN(INDEX('Aides'!$P$4:$P$503,207))=0,"",INDEX('Aides'!$P$4:$P$503,207))&amp;". ")&amp;IF(LEN(IF(LEN(INDEX('Aides'!$Q$4:$Q$503,207))=0,"",INDEX('Aides'!$Q$4:$Q$503,207)))=0,"","Target: "&amp;IF(LEN(INDEX('Aides'!$Q$4:$Q$503,207))=0,"",INDEX('Aides'!$Q$4:$Q$503,207))&amp;". ")&amp;IF(LEN(IF(LEN(INDEX('Aides'!$R$4:$R$503,207))=0,"",INDEX('Aides'!$R$4:$R$503,207)))=0,"","Hours still needed: "&amp;IF(LEN(INDEX('Aides'!$R$4:$R$503,207))=0,"",INDEX('Aides'!$R$4:$R$503,207))&amp;". ")&amp;IF(LEN(IF(LEN(INDEX('Aides'!$U$4:$U$503,207))=0,"",INDEX('Aides'!$U$4:$U$503,207)))=0,"","Owner: "&amp;IF(LEN(INDEX('Aides'!$U$4:$U$503,207))=0,"",INDEX('Aides'!$U$4:$U$503,207))&amp;". "))</f>
        <v/>
      </c>
      <c r="I1210">
        <f>""</f>
        <v/>
      </c>
      <c r="J1210">
        <f>IF(LEN(INDEX('Aides'!$V$4:$V$503,207))=0,"",INDEX('Aides'!$V$4:$V$503,207))</f>
        <v/>
      </c>
    </row>
    <row r="1211">
      <c r="A1211">
        <f>IF(AND(LEN('Aides'!A211)&gt;0,ISNUMBER('Aides'!O211)),1,0)</f>
        <v/>
      </c>
      <c r="B1211">
        <f>B1210+A1211</f>
        <v/>
      </c>
      <c r="C1211">
        <f>IF(1208&gt;$B$1503,"",MATCH(1208-0.5,$B$3:$B$1503,1))</f>
        <v/>
      </c>
      <c r="D1211">
        <f>"In-service hours due – "&amp;IF(LEN(INDEX('Aides'!$A$4:$A$503,208))=0,"",INDEX('Aides'!$A$4:$A$503,208))</f>
        <v/>
      </c>
      <c r="E1211">
        <f>IF(ISNUMBER(INDEX('Aides'!$O$4:$O$503,208)),TEXT(INDEX('Aides'!$O$4:$O$503,208),"yyyy-mm-dd"),"")</f>
        <v/>
      </c>
      <c r="F1211">
        <f>"Training"</f>
        <v/>
      </c>
      <c r="G1211">
        <f>"Medium"</f>
        <v/>
      </c>
      <c r="H1211">
        <f>TRIM(IF(LEN(IF(LEN(INDEX('Aides'!$P$4:$P$503,208))=0,"",INDEX('Aides'!$P$4:$P$503,208)))=0,"","Hours done: "&amp;IF(LEN(INDEX('Aides'!$P$4:$P$503,208))=0,"",INDEX('Aides'!$P$4:$P$503,208))&amp;". ")&amp;IF(LEN(IF(LEN(INDEX('Aides'!$Q$4:$Q$503,208))=0,"",INDEX('Aides'!$Q$4:$Q$503,208)))=0,"","Target: "&amp;IF(LEN(INDEX('Aides'!$Q$4:$Q$503,208))=0,"",INDEX('Aides'!$Q$4:$Q$503,208))&amp;". ")&amp;IF(LEN(IF(LEN(INDEX('Aides'!$R$4:$R$503,208))=0,"",INDEX('Aides'!$R$4:$R$503,208)))=0,"","Hours still needed: "&amp;IF(LEN(INDEX('Aides'!$R$4:$R$503,208))=0,"",INDEX('Aides'!$R$4:$R$503,208))&amp;". ")&amp;IF(LEN(IF(LEN(INDEX('Aides'!$U$4:$U$503,208))=0,"",INDEX('Aides'!$U$4:$U$503,208)))=0,"","Owner: "&amp;IF(LEN(INDEX('Aides'!$U$4:$U$503,208))=0,"",INDEX('Aides'!$U$4:$U$503,208))&amp;". "))</f>
        <v/>
      </c>
      <c r="I1211">
        <f>""</f>
        <v/>
      </c>
      <c r="J1211">
        <f>IF(LEN(INDEX('Aides'!$V$4:$V$503,208))=0,"",INDEX('Aides'!$V$4:$V$503,208))</f>
        <v/>
      </c>
    </row>
    <row r="1212">
      <c r="A1212">
        <f>IF(AND(LEN('Aides'!A212)&gt;0,ISNUMBER('Aides'!O212)),1,0)</f>
        <v/>
      </c>
      <c r="B1212">
        <f>B1211+A1212</f>
        <v/>
      </c>
      <c r="C1212">
        <f>IF(1209&gt;$B$1503,"",MATCH(1209-0.5,$B$3:$B$1503,1))</f>
        <v/>
      </c>
      <c r="D1212">
        <f>"In-service hours due – "&amp;IF(LEN(INDEX('Aides'!$A$4:$A$503,209))=0,"",INDEX('Aides'!$A$4:$A$503,209))</f>
        <v/>
      </c>
      <c r="E1212">
        <f>IF(ISNUMBER(INDEX('Aides'!$O$4:$O$503,209)),TEXT(INDEX('Aides'!$O$4:$O$503,209),"yyyy-mm-dd"),"")</f>
        <v/>
      </c>
      <c r="F1212">
        <f>"Training"</f>
        <v/>
      </c>
      <c r="G1212">
        <f>"Medium"</f>
        <v/>
      </c>
      <c r="H1212">
        <f>TRIM(IF(LEN(IF(LEN(INDEX('Aides'!$P$4:$P$503,209))=0,"",INDEX('Aides'!$P$4:$P$503,209)))=0,"","Hours done: "&amp;IF(LEN(INDEX('Aides'!$P$4:$P$503,209))=0,"",INDEX('Aides'!$P$4:$P$503,209))&amp;". ")&amp;IF(LEN(IF(LEN(INDEX('Aides'!$Q$4:$Q$503,209))=0,"",INDEX('Aides'!$Q$4:$Q$503,209)))=0,"","Target: "&amp;IF(LEN(INDEX('Aides'!$Q$4:$Q$503,209))=0,"",INDEX('Aides'!$Q$4:$Q$503,209))&amp;". ")&amp;IF(LEN(IF(LEN(INDEX('Aides'!$R$4:$R$503,209))=0,"",INDEX('Aides'!$R$4:$R$503,209)))=0,"","Hours still needed: "&amp;IF(LEN(INDEX('Aides'!$R$4:$R$503,209))=0,"",INDEX('Aides'!$R$4:$R$503,209))&amp;". ")&amp;IF(LEN(IF(LEN(INDEX('Aides'!$U$4:$U$503,209))=0,"",INDEX('Aides'!$U$4:$U$503,209)))=0,"","Owner: "&amp;IF(LEN(INDEX('Aides'!$U$4:$U$503,209))=0,"",INDEX('Aides'!$U$4:$U$503,209))&amp;". "))</f>
        <v/>
      </c>
      <c r="I1212">
        <f>""</f>
        <v/>
      </c>
      <c r="J1212">
        <f>IF(LEN(INDEX('Aides'!$V$4:$V$503,209))=0,"",INDEX('Aides'!$V$4:$V$503,209))</f>
        <v/>
      </c>
    </row>
    <row r="1213">
      <c r="A1213">
        <f>IF(AND(LEN('Aides'!A213)&gt;0,ISNUMBER('Aides'!O213)),1,0)</f>
        <v/>
      </c>
      <c r="B1213">
        <f>B1212+A1213</f>
        <v/>
      </c>
      <c r="C1213">
        <f>IF(1210&gt;$B$1503,"",MATCH(1210-0.5,$B$3:$B$1503,1))</f>
        <v/>
      </c>
      <c r="D1213">
        <f>"In-service hours due – "&amp;IF(LEN(INDEX('Aides'!$A$4:$A$503,210))=0,"",INDEX('Aides'!$A$4:$A$503,210))</f>
        <v/>
      </c>
      <c r="E1213">
        <f>IF(ISNUMBER(INDEX('Aides'!$O$4:$O$503,210)),TEXT(INDEX('Aides'!$O$4:$O$503,210),"yyyy-mm-dd"),"")</f>
        <v/>
      </c>
      <c r="F1213">
        <f>"Training"</f>
        <v/>
      </c>
      <c r="G1213">
        <f>"Medium"</f>
        <v/>
      </c>
      <c r="H1213">
        <f>TRIM(IF(LEN(IF(LEN(INDEX('Aides'!$P$4:$P$503,210))=0,"",INDEX('Aides'!$P$4:$P$503,210)))=0,"","Hours done: "&amp;IF(LEN(INDEX('Aides'!$P$4:$P$503,210))=0,"",INDEX('Aides'!$P$4:$P$503,210))&amp;". ")&amp;IF(LEN(IF(LEN(INDEX('Aides'!$Q$4:$Q$503,210))=0,"",INDEX('Aides'!$Q$4:$Q$503,210)))=0,"","Target: "&amp;IF(LEN(INDEX('Aides'!$Q$4:$Q$503,210))=0,"",INDEX('Aides'!$Q$4:$Q$503,210))&amp;". ")&amp;IF(LEN(IF(LEN(INDEX('Aides'!$R$4:$R$503,210))=0,"",INDEX('Aides'!$R$4:$R$503,210)))=0,"","Hours still needed: "&amp;IF(LEN(INDEX('Aides'!$R$4:$R$503,210))=0,"",INDEX('Aides'!$R$4:$R$503,210))&amp;". ")&amp;IF(LEN(IF(LEN(INDEX('Aides'!$U$4:$U$503,210))=0,"",INDEX('Aides'!$U$4:$U$503,210)))=0,"","Owner: "&amp;IF(LEN(INDEX('Aides'!$U$4:$U$503,210))=0,"",INDEX('Aides'!$U$4:$U$503,210))&amp;". "))</f>
        <v/>
      </c>
      <c r="I1213">
        <f>""</f>
        <v/>
      </c>
      <c r="J1213">
        <f>IF(LEN(INDEX('Aides'!$V$4:$V$503,210))=0,"",INDEX('Aides'!$V$4:$V$503,210))</f>
        <v/>
      </c>
    </row>
    <row r="1214">
      <c r="A1214">
        <f>IF(AND(LEN('Aides'!A214)&gt;0,ISNUMBER('Aides'!O214)),1,0)</f>
        <v/>
      </c>
      <c r="B1214">
        <f>B1213+A1214</f>
        <v/>
      </c>
      <c r="C1214">
        <f>IF(1211&gt;$B$1503,"",MATCH(1211-0.5,$B$3:$B$1503,1))</f>
        <v/>
      </c>
      <c r="D1214">
        <f>"In-service hours due – "&amp;IF(LEN(INDEX('Aides'!$A$4:$A$503,211))=0,"",INDEX('Aides'!$A$4:$A$503,211))</f>
        <v/>
      </c>
      <c r="E1214">
        <f>IF(ISNUMBER(INDEX('Aides'!$O$4:$O$503,211)),TEXT(INDEX('Aides'!$O$4:$O$503,211),"yyyy-mm-dd"),"")</f>
        <v/>
      </c>
      <c r="F1214">
        <f>"Training"</f>
        <v/>
      </c>
      <c r="G1214">
        <f>"Medium"</f>
        <v/>
      </c>
      <c r="H1214">
        <f>TRIM(IF(LEN(IF(LEN(INDEX('Aides'!$P$4:$P$503,211))=0,"",INDEX('Aides'!$P$4:$P$503,211)))=0,"","Hours done: "&amp;IF(LEN(INDEX('Aides'!$P$4:$P$503,211))=0,"",INDEX('Aides'!$P$4:$P$503,211))&amp;". ")&amp;IF(LEN(IF(LEN(INDEX('Aides'!$Q$4:$Q$503,211))=0,"",INDEX('Aides'!$Q$4:$Q$503,211)))=0,"","Target: "&amp;IF(LEN(INDEX('Aides'!$Q$4:$Q$503,211))=0,"",INDEX('Aides'!$Q$4:$Q$503,211))&amp;". ")&amp;IF(LEN(IF(LEN(INDEX('Aides'!$R$4:$R$503,211))=0,"",INDEX('Aides'!$R$4:$R$503,211)))=0,"","Hours still needed: "&amp;IF(LEN(INDEX('Aides'!$R$4:$R$503,211))=0,"",INDEX('Aides'!$R$4:$R$503,211))&amp;". ")&amp;IF(LEN(IF(LEN(INDEX('Aides'!$U$4:$U$503,211))=0,"",INDEX('Aides'!$U$4:$U$503,211)))=0,"","Owner: "&amp;IF(LEN(INDEX('Aides'!$U$4:$U$503,211))=0,"",INDEX('Aides'!$U$4:$U$503,211))&amp;". "))</f>
        <v/>
      </c>
      <c r="I1214">
        <f>""</f>
        <v/>
      </c>
      <c r="J1214">
        <f>IF(LEN(INDEX('Aides'!$V$4:$V$503,211))=0,"",INDEX('Aides'!$V$4:$V$503,211))</f>
        <v/>
      </c>
    </row>
    <row r="1215">
      <c r="A1215">
        <f>IF(AND(LEN('Aides'!A215)&gt;0,ISNUMBER('Aides'!O215)),1,0)</f>
        <v/>
      </c>
      <c r="B1215">
        <f>B1214+A1215</f>
        <v/>
      </c>
      <c r="C1215">
        <f>IF(1212&gt;$B$1503,"",MATCH(1212-0.5,$B$3:$B$1503,1))</f>
        <v/>
      </c>
      <c r="D1215">
        <f>"In-service hours due – "&amp;IF(LEN(INDEX('Aides'!$A$4:$A$503,212))=0,"",INDEX('Aides'!$A$4:$A$503,212))</f>
        <v/>
      </c>
      <c r="E1215">
        <f>IF(ISNUMBER(INDEX('Aides'!$O$4:$O$503,212)),TEXT(INDEX('Aides'!$O$4:$O$503,212),"yyyy-mm-dd"),"")</f>
        <v/>
      </c>
      <c r="F1215">
        <f>"Training"</f>
        <v/>
      </c>
      <c r="G1215">
        <f>"Medium"</f>
        <v/>
      </c>
      <c r="H1215">
        <f>TRIM(IF(LEN(IF(LEN(INDEX('Aides'!$P$4:$P$503,212))=0,"",INDEX('Aides'!$P$4:$P$503,212)))=0,"","Hours done: "&amp;IF(LEN(INDEX('Aides'!$P$4:$P$503,212))=0,"",INDEX('Aides'!$P$4:$P$503,212))&amp;". ")&amp;IF(LEN(IF(LEN(INDEX('Aides'!$Q$4:$Q$503,212))=0,"",INDEX('Aides'!$Q$4:$Q$503,212)))=0,"","Target: "&amp;IF(LEN(INDEX('Aides'!$Q$4:$Q$503,212))=0,"",INDEX('Aides'!$Q$4:$Q$503,212))&amp;". ")&amp;IF(LEN(IF(LEN(INDEX('Aides'!$R$4:$R$503,212))=0,"",INDEX('Aides'!$R$4:$R$503,212)))=0,"","Hours still needed: "&amp;IF(LEN(INDEX('Aides'!$R$4:$R$503,212))=0,"",INDEX('Aides'!$R$4:$R$503,212))&amp;". ")&amp;IF(LEN(IF(LEN(INDEX('Aides'!$U$4:$U$503,212))=0,"",INDEX('Aides'!$U$4:$U$503,212)))=0,"","Owner: "&amp;IF(LEN(INDEX('Aides'!$U$4:$U$503,212))=0,"",INDEX('Aides'!$U$4:$U$503,212))&amp;". "))</f>
        <v/>
      </c>
      <c r="I1215">
        <f>""</f>
        <v/>
      </c>
      <c r="J1215">
        <f>IF(LEN(INDEX('Aides'!$V$4:$V$503,212))=0,"",INDEX('Aides'!$V$4:$V$503,212))</f>
        <v/>
      </c>
    </row>
    <row r="1216">
      <c r="A1216">
        <f>IF(AND(LEN('Aides'!A216)&gt;0,ISNUMBER('Aides'!O216)),1,0)</f>
        <v/>
      </c>
      <c r="B1216">
        <f>B1215+A1216</f>
        <v/>
      </c>
      <c r="C1216">
        <f>IF(1213&gt;$B$1503,"",MATCH(1213-0.5,$B$3:$B$1503,1))</f>
        <v/>
      </c>
      <c r="D1216">
        <f>"In-service hours due – "&amp;IF(LEN(INDEX('Aides'!$A$4:$A$503,213))=0,"",INDEX('Aides'!$A$4:$A$503,213))</f>
        <v/>
      </c>
      <c r="E1216">
        <f>IF(ISNUMBER(INDEX('Aides'!$O$4:$O$503,213)),TEXT(INDEX('Aides'!$O$4:$O$503,213),"yyyy-mm-dd"),"")</f>
        <v/>
      </c>
      <c r="F1216">
        <f>"Training"</f>
        <v/>
      </c>
      <c r="G1216">
        <f>"Medium"</f>
        <v/>
      </c>
      <c r="H1216">
        <f>TRIM(IF(LEN(IF(LEN(INDEX('Aides'!$P$4:$P$503,213))=0,"",INDEX('Aides'!$P$4:$P$503,213)))=0,"","Hours done: "&amp;IF(LEN(INDEX('Aides'!$P$4:$P$503,213))=0,"",INDEX('Aides'!$P$4:$P$503,213))&amp;". ")&amp;IF(LEN(IF(LEN(INDEX('Aides'!$Q$4:$Q$503,213))=0,"",INDEX('Aides'!$Q$4:$Q$503,213)))=0,"","Target: "&amp;IF(LEN(INDEX('Aides'!$Q$4:$Q$503,213))=0,"",INDEX('Aides'!$Q$4:$Q$503,213))&amp;". ")&amp;IF(LEN(IF(LEN(INDEX('Aides'!$R$4:$R$503,213))=0,"",INDEX('Aides'!$R$4:$R$503,213)))=0,"","Hours still needed: "&amp;IF(LEN(INDEX('Aides'!$R$4:$R$503,213))=0,"",INDEX('Aides'!$R$4:$R$503,213))&amp;". ")&amp;IF(LEN(IF(LEN(INDEX('Aides'!$U$4:$U$503,213))=0,"",INDEX('Aides'!$U$4:$U$503,213)))=0,"","Owner: "&amp;IF(LEN(INDEX('Aides'!$U$4:$U$503,213))=0,"",INDEX('Aides'!$U$4:$U$503,213))&amp;". "))</f>
        <v/>
      </c>
      <c r="I1216">
        <f>""</f>
        <v/>
      </c>
      <c r="J1216">
        <f>IF(LEN(INDEX('Aides'!$V$4:$V$503,213))=0,"",INDEX('Aides'!$V$4:$V$503,213))</f>
        <v/>
      </c>
    </row>
    <row r="1217">
      <c r="A1217">
        <f>IF(AND(LEN('Aides'!A217)&gt;0,ISNUMBER('Aides'!O217)),1,0)</f>
        <v/>
      </c>
      <c r="B1217">
        <f>B1216+A1217</f>
        <v/>
      </c>
      <c r="C1217">
        <f>IF(1214&gt;$B$1503,"",MATCH(1214-0.5,$B$3:$B$1503,1))</f>
        <v/>
      </c>
      <c r="D1217">
        <f>"In-service hours due – "&amp;IF(LEN(INDEX('Aides'!$A$4:$A$503,214))=0,"",INDEX('Aides'!$A$4:$A$503,214))</f>
        <v/>
      </c>
      <c r="E1217">
        <f>IF(ISNUMBER(INDEX('Aides'!$O$4:$O$503,214)),TEXT(INDEX('Aides'!$O$4:$O$503,214),"yyyy-mm-dd"),"")</f>
        <v/>
      </c>
      <c r="F1217">
        <f>"Training"</f>
        <v/>
      </c>
      <c r="G1217">
        <f>"Medium"</f>
        <v/>
      </c>
      <c r="H1217">
        <f>TRIM(IF(LEN(IF(LEN(INDEX('Aides'!$P$4:$P$503,214))=0,"",INDEX('Aides'!$P$4:$P$503,214)))=0,"","Hours done: "&amp;IF(LEN(INDEX('Aides'!$P$4:$P$503,214))=0,"",INDEX('Aides'!$P$4:$P$503,214))&amp;". ")&amp;IF(LEN(IF(LEN(INDEX('Aides'!$Q$4:$Q$503,214))=0,"",INDEX('Aides'!$Q$4:$Q$503,214)))=0,"","Target: "&amp;IF(LEN(INDEX('Aides'!$Q$4:$Q$503,214))=0,"",INDEX('Aides'!$Q$4:$Q$503,214))&amp;". ")&amp;IF(LEN(IF(LEN(INDEX('Aides'!$R$4:$R$503,214))=0,"",INDEX('Aides'!$R$4:$R$503,214)))=0,"","Hours still needed: "&amp;IF(LEN(INDEX('Aides'!$R$4:$R$503,214))=0,"",INDEX('Aides'!$R$4:$R$503,214))&amp;". ")&amp;IF(LEN(IF(LEN(INDEX('Aides'!$U$4:$U$503,214))=0,"",INDEX('Aides'!$U$4:$U$503,214)))=0,"","Owner: "&amp;IF(LEN(INDEX('Aides'!$U$4:$U$503,214))=0,"",INDEX('Aides'!$U$4:$U$503,214))&amp;". "))</f>
        <v/>
      </c>
      <c r="I1217">
        <f>""</f>
        <v/>
      </c>
      <c r="J1217">
        <f>IF(LEN(INDEX('Aides'!$V$4:$V$503,214))=0,"",INDEX('Aides'!$V$4:$V$503,214))</f>
        <v/>
      </c>
    </row>
    <row r="1218">
      <c r="A1218">
        <f>IF(AND(LEN('Aides'!A218)&gt;0,ISNUMBER('Aides'!O218)),1,0)</f>
        <v/>
      </c>
      <c r="B1218">
        <f>B1217+A1218</f>
        <v/>
      </c>
      <c r="C1218">
        <f>IF(1215&gt;$B$1503,"",MATCH(1215-0.5,$B$3:$B$1503,1))</f>
        <v/>
      </c>
      <c r="D1218">
        <f>"In-service hours due – "&amp;IF(LEN(INDEX('Aides'!$A$4:$A$503,215))=0,"",INDEX('Aides'!$A$4:$A$503,215))</f>
        <v/>
      </c>
      <c r="E1218">
        <f>IF(ISNUMBER(INDEX('Aides'!$O$4:$O$503,215)),TEXT(INDEX('Aides'!$O$4:$O$503,215),"yyyy-mm-dd"),"")</f>
        <v/>
      </c>
      <c r="F1218">
        <f>"Training"</f>
        <v/>
      </c>
      <c r="G1218">
        <f>"Medium"</f>
        <v/>
      </c>
      <c r="H1218">
        <f>TRIM(IF(LEN(IF(LEN(INDEX('Aides'!$P$4:$P$503,215))=0,"",INDEX('Aides'!$P$4:$P$503,215)))=0,"","Hours done: "&amp;IF(LEN(INDEX('Aides'!$P$4:$P$503,215))=0,"",INDEX('Aides'!$P$4:$P$503,215))&amp;". ")&amp;IF(LEN(IF(LEN(INDEX('Aides'!$Q$4:$Q$503,215))=0,"",INDEX('Aides'!$Q$4:$Q$503,215)))=0,"","Target: "&amp;IF(LEN(INDEX('Aides'!$Q$4:$Q$503,215))=0,"",INDEX('Aides'!$Q$4:$Q$503,215))&amp;". ")&amp;IF(LEN(IF(LEN(INDEX('Aides'!$R$4:$R$503,215))=0,"",INDEX('Aides'!$R$4:$R$503,215)))=0,"","Hours still needed: "&amp;IF(LEN(INDEX('Aides'!$R$4:$R$503,215))=0,"",INDEX('Aides'!$R$4:$R$503,215))&amp;". ")&amp;IF(LEN(IF(LEN(INDEX('Aides'!$U$4:$U$503,215))=0,"",INDEX('Aides'!$U$4:$U$503,215)))=0,"","Owner: "&amp;IF(LEN(INDEX('Aides'!$U$4:$U$503,215))=0,"",INDEX('Aides'!$U$4:$U$503,215))&amp;". "))</f>
        <v/>
      </c>
      <c r="I1218">
        <f>""</f>
        <v/>
      </c>
      <c r="J1218">
        <f>IF(LEN(INDEX('Aides'!$V$4:$V$503,215))=0,"",INDEX('Aides'!$V$4:$V$503,215))</f>
        <v/>
      </c>
    </row>
    <row r="1219">
      <c r="A1219">
        <f>IF(AND(LEN('Aides'!A219)&gt;0,ISNUMBER('Aides'!O219)),1,0)</f>
        <v/>
      </c>
      <c r="B1219">
        <f>B1218+A1219</f>
        <v/>
      </c>
      <c r="C1219">
        <f>IF(1216&gt;$B$1503,"",MATCH(1216-0.5,$B$3:$B$1503,1))</f>
        <v/>
      </c>
      <c r="D1219">
        <f>"In-service hours due – "&amp;IF(LEN(INDEX('Aides'!$A$4:$A$503,216))=0,"",INDEX('Aides'!$A$4:$A$503,216))</f>
        <v/>
      </c>
      <c r="E1219">
        <f>IF(ISNUMBER(INDEX('Aides'!$O$4:$O$503,216)),TEXT(INDEX('Aides'!$O$4:$O$503,216),"yyyy-mm-dd"),"")</f>
        <v/>
      </c>
      <c r="F1219">
        <f>"Training"</f>
        <v/>
      </c>
      <c r="G1219">
        <f>"Medium"</f>
        <v/>
      </c>
      <c r="H1219">
        <f>TRIM(IF(LEN(IF(LEN(INDEX('Aides'!$P$4:$P$503,216))=0,"",INDEX('Aides'!$P$4:$P$503,216)))=0,"","Hours done: "&amp;IF(LEN(INDEX('Aides'!$P$4:$P$503,216))=0,"",INDEX('Aides'!$P$4:$P$503,216))&amp;". ")&amp;IF(LEN(IF(LEN(INDEX('Aides'!$Q$4:$Q$503,216))=0,"",INDEX('Aides'!$Q$4:$Q$503,216)))=0,"","Target: "&amp;IF(LEN(INDEX('Aides'!$Q$4:$Q$503,216))=0,"",INDEX('Aides'!$Q$4:$Q$503,216))&amp;". ")&amp;IF(LEN(IF(LEN(INDEX('Aides'!$R$4:$R$503,216))=0,"",INDEX('Aides'!$R$4:$R$503,216)))=0,"","Hours still needed: "&amp;IF(LEN(INDEX('Aides'!$R$4:$R$503,216))=0,"",INDEX('Aides'!$R$4:$R$503,216))&amp;". ")&amp;IF(LEN(IF(LEN(INDEX('Aides'!$U$4:$U$503,216))=0,"",INDEX('Aides'!$U$4:$U$503,216)))=0,"","Owner: "&amp;IF(LEN(INDEX('Aides'!$U$4:$U$503,216))=0,"",INDEX('Aides'!$U$4:$U$503,216))&amp;". "))</f>
        <v/>
      </c>
      <c r="I1219">
        <f>""</f>
        <v/>
      </c>
      <c r="J1219">
        <f>IF(LEN(INDEX('Aides'!$V$4:$V$503,216))=0,"",INDEX('Aides'!$V$4:$V$503,216))</f>
        <v/>
      </c>
    </row>
    <row r="1220">
      <c r="A1220">
        <f>IF(AND(LEN('Aides'!A220)&gt;0,ISNUMBER('Aides'!O220)),1,0)</f>
        <v/>
      </c>
      <c r="B1220">
        <f>B1219+A1220</f>
        <v/>
      </c>
      <c r="C1220">
        <f>IF(1217&gt;$B$1503,"",MATCH(1217-0.5,$B$3:$B$1503,1))</f>
        <v/>
      </c>
      <c r="D1220">
        <f>"In-service hours due – "&amp;IF(LEN(INDEX('Aides'!$A$4:$A$503,217))=0,"",INDEX('Aides'!$A$4:$A$503,217))</f>
        <v/>
      </c>
      <c r="E1220">
        <f>IF(ISNUMBER(INDEX('Aides'!$O$4:$O$503,217)),TEXT(INDEX('Aides'!$O$4:$O$503,217),"yyyy-mm-dd"),"")</f>
        <v/>
      </c>
      <c r="F1220">
        <f>"Training"</f>
        <v/>
      </c>
      <c r="G1220">
        <f>"Medium"</f>
        <v/>
      </c>
      <c r="H1220">
        <f>TRIM(IF(LEN(IF(LEN(INDEX('Aides'!$P$4:$P$503,217))=0,"",INDEX('Aides'!$P$4:$P$503,217)))=0,"","Hours done: "&amp;IF(LEN(INDEX('Aides'!$P$4:$P$503,217))=0,"",INDEX('Aides'!$P$4:$P$503,217))&amp;". ")&amp;IF(LEN(IF(LEN(INDEX('Aides'!$Q$4:$Q$503,217))=0,"",INDEX('Aides'!$Q$4:$Q$503,217)))=0,"","Target: "&amp;IF(LEN(INDEX('Aides'!$Q$4:$Q$503,217))=0,"",INDEX('Aides'!$Q$4:$Q$503,217))&amp;". ")&amp;IF(LEN(IF(LEN(INDEX('Aides'!$R$4:$R$503,217))=0,"",INDEX('Aides'!$R$4:$R$503,217)))=0,"","Hours still needed: "&amp;IF(LEN(INDEX('Aides'!$R$4:$R$503,217))=0,"",INDEX('Aides'!$R$4:$R$503,217))&amp;". ")&amp;IF(LEN(IF(LEN(INDEX('Aides'!$U$4:$U$503,217))=0,"",INDEX('Aides'!$U$4:$U$503,217)))=0,"","Owner: "&amp;IF(LEN(INDEX('Aides'!$U$4:$U$503,217))=0,"",INDEX('Aides'!$U$4:$U$503,217))&amp;". "))</f>
        <v/>
      </c>
      <c r="I1220">
        <f>""</f>
        <v/>
      </c>
      <c r="J1220">
        <f>IF(LEN(INDEX('Aides'!$V$4:$V$503,217))=0,"",INDEX('Aides'!$V$4:$V$503,217))</f>
        <v/>
      </c>
    </row>
    <row r="1221">
      <c r="A1221">
        <f>IF(AND(LEN('Aides'!A221)&gt;0,ISNUMBER('Aides'!O221)),1,0)</f>
        <v/>
      </c>
      <c r="B1221">
        <f>B1220+A1221</f>
        <v/>
      </c>
      <c r="C1221">
        <f>IF(1218&gt;$B$1503,"",MATCH(1218-0.5,$B$3:$B$1503,1))</f>
        <v/>
      </c>
      <c r="D1221">
        <f>"In-service hours due – "&amp;IF(LEN(INDEX('Aides'!$A$4:$A$503,218))=0,"",INDEX('Aides'!$A$4:$A$503,218))</f>
        <v/>
      </c>
      <c r="E1221">
        <f>IF(ISNUMBER(INDEX('Aides'!$O$4:$O$503,218)),TEXT(INDEX('Aides'!$O$4:$O$503,218),"yyyy-mm-dd"),"")</f>
        <v/>
      </c>
      <c r="F1221">
        <f>"Training"</f>
        <v/>
      </c>
      <c r="G1221">
        <f>"Medium"</f>
        <v/>
      </c>
      <c r="H1221">
        <f>TRIM(IF(LEN(IF(LEN(INDEX('Aides'!$P$4:$P$503,218))=0,"",INDEX('Aides'!$P$4:$P$503,218)))=0,"","Hours done: "&amp;IF(LEN(INDEX('Aides'!$P$4:$P$503,218))=0,"",INDEX('Aides'!$P$4:$P$503,218))&amp;". ")&amp;IF(LEN(IF(LEN(INDEX('Aides'!$Q$4:$Q$503,218))=0,"",INDEX('Aides'!$Q$4:$Q$503,218)))=0,"","Target: "&amp;IF(LEN(INDEX('Aides'!$Q$4:$Q$503,218))=0,"",INDEX('Aides'!$Q$4:$Q$503,218))&amp;". ")&amp;IF(LEN(IF(LEN(INDEX('Aides'!$R$4:$R$503,218))=0,"",INDEX('Aides'!$R$4:$R$503,218)))=0,"","Hours still needed: "&amp;IF(LEN(INDEX('Aides'!$R$4:$R$503,218))=0,"",INDEX('Aides'!$R$4:$R$503,218))&amp;". ")&amp;IF(LEN(IF(LEN(INDEX('Aides'!$U$4:$U$503,218))=0,"",INDEX('Aides'!$U$4:$U$503,218)))=0,"","Owner: "&amp;IF(LEN(INDEX('Aides'!$U$4:$U$503,218))=0,"",INDEX('Aides'!$U$4:$U$503,218))&amp;". "))</f>
        <v/>
      </c>
      <c r="I1221">
        <f>""</f>
        <v/>
      </c>
      <c r="J1221">
        <f>IF(LEN(INDEX('Aides'!$V$4:$V$503,218))=0,"",INDEX('Aides'!$V$4:$V$503,218))</f>
        <v/>
      </c>
    </row>
    <row r="1222">
      <c r="A1222">
        <f>IF(AND(LEN('Aides'!A222)&gt;0,ISNUMBER('Aides'!O222)),1,0)</f>
        <v/>
      </c>
      <c r="B1222">
        <f>B1221+A1222</f>
        <v/>
      </c>
      <c r="C1222">
        <f>IF(1219&gt;$B$1503,"",MATCH(1219-0.5,$B$3:$B$1503,1))</f>
        <v/>
      </c>
      <c r="D1222">
        <f>"In-service hours due – "&amp;IF(LEN(INDEX('Aides'!$A$4:$A$503,219))=0,"",INDEX('Aides'!$A$4:$A$503,219))</f>
        <v/>
      </c>
      <c r="E1222">
        <f>IF(ISNUMBER(INDEX('Aides'!$O$4:$O$503,219)),TEXT(INDEX('Aides'!$O$4:$O$503,219),"yyyy-mm-dd"),"")</f>
        <v/>
      </c>
      <c r="F1222">
        <f>"Training"</f>
        <v/>
      </c>
      <c r="G1222">
        <f>"Medium"</f>
        <v/>
      </c>
      <c r="H1222">
        <f>TRIM(IF(LEN(IF(LEN(INDEX('Aides'!$P$4:$P$503,219))=0,"",INDEX('Aides'!$P$4:$P$503,219)))=0,"","Hours done: "&amp;IF(LEN(INDEX('Aides'!$P$4:$P$503,219))=0,"",INDEX('Aides'!$P$4:$P$503,219))&amp;". ")&amp;IF(LEN(IF(LEN(INDEX('Aides'!$Q$4:$Q$503,219))=0,"",INDEX('Aides'!$Q$4:$Q$503,219)))=0,"","Target: "&amp;IF(LEN(INDEX('Aides'!$Q$4:$Q$503,219))=0,"",INDEX('Aides'!$Q$4:$Q$503,219))&amp;". ")&amp;IF(LEN(IF(LEN(INDEX('Aides'!$R$4:$R$503,219))=0,"",INDEX('Aides'!$R$4:$R$503,219)))=0,"","Hours still needed: "&amp;IF(LEN(INDEX('Aides'!$R$4:$R$503,219))=0,"",INDEX('Aides'!$R$4:$R$503,219))&amp;". ")&amp;IF(LEN(IF(LEN(INDEX('Aides'!$U$4:$U$503,219))=0,"",INDEX('Aides'!$U$4:$U$503,219)))=0,"","Owner: "&amp;IF(LEN(INDEX('Aides'!$U$4:$U$503,219))=0,"",INDEX('Aides'!$U$4:$U$503,219))&amp;". "))</f>
        <v/>
      </c>
      <c r="I1222">
        <f>""</f>
        <v/>
      </c>
      <c r="J1222">
        <f>IF(LEN(INDEX('Aides'!$V$4:$V$503,219))=0,"",INDEX('Aides'!$V$4:$V$503,219))</f>
        <v/>
      </c>
    </row>
    <row r="1223">
      <c r="A1223">
        <f>IF(AND(LEN('Aides'!A223)&gt;0,ISNUMBER('Aides'!O223)),1,0)</f>
        <v/>
      </c>
      <c r="B1223">
        <f>B1222+A1223</f>
        <v/>
      </c>
      <c r="C1223">
        <f>IF(1220&gt;$B$1503,"",MATCH(1220-0.5,$B$3:$B$1503,1))</f>
        <v/>
      </c>
      <c r="D1223">
        <f>"In-service hours due – "&amp;IF(LEN(INDEX('Aides'!$A$4:$A$503,220))=0,"",INDEX('Aides'!$A$4:$A$503,220))</f>
        <v/>
      </c>
      <c r="E1223">
        <f>IF(ISNUMBER(INDEX('Aides'!$O$4:$O$503,220)),TEXT(INDEX('Aides'!$O$4:$O$503,220),"yyyy-mm-dd"),"")</f>
        <v/>
      </c>
      <c r="F1223">
        <f>"Training"</f>
        <v/>
      </c>
      <c r="G1223">
        <f>"Medium"</f>
        <v/>
      </c>
      <c r="H1223">
        <f>TRIM(IF(LEN(IF(LEN(INDEX('Aides'!$P$4:$P$503,220))=0,"",INDEX('Aides'!$P$4:$P$503,220)))=0,"","Hours done: "&amp;IF(LEN(INDEX('Aides'!$P$4:$P$503,220))=0,"",INDEX('Aides'!$P$4:$P$503,220))&amp;". ")&amp;IF(LEN(IF(LEN(INDEX('Aides'!$Q$4:$Q$503,220))=0,"",INDEX('Aides'!$Q$4:$Q$503,220)))=0,"","Target: "&amp;IF(LEN(INDEX('Aides'!$Q$4:$Q$503,220))=0,"",INDEX('Aides'!$Q$4:$Q$503,220))&amp;". ")&amp;IF(LEN(IF(LEN(INDEX('Aides'!$R$4:$R$503,220))=0,"",INDEX('Aides'!$R$4:$R$503,220)))=0,"","Hours still needed: "&amp;IF(LEN(INDEX('Aides'!$R$4:$R$503,220))=0,"",INDEX('Aides'!$R$4:$R$503,220))&amp;". ")&amp;IF(LEN(IF(LEN(INDEX('Aides'!$U$4:$U$503,220))=0,"",INDEX('Aides'!$U$4:$U$503,220)))=0,"","Owner: "&amp;IF(LEN(INDEX('Aides'!$U$4:$U$503,220))=0,"",INDEX('Aides'!$U$4:$U$503,220))&amp;". "))</f>
        <v/>
      </c>
      <c r="I1223">
        <f>""</f>
        <v/>
      </c>
      <c r="J1223">
        <f>IF(LEN(INDEX('Aides'!$V$4:$V$503,220))=0,"",INDEX('Aides'!$V$4:$V$503,220))</f>
        <v/>
      </c>
    </row>
    <row r="1224">
      <c r="A1224">
        <f>IF(AND(LEN('Aides'!A224)&gt;0,ISNUMBER('Aides'!O224)),1,0)</f>
        <v/>
      </c>
      <c r="B1224">
        <f>B1223+A1224</f>
        <v/>
      </c>
      <c r="C1224">
        <f>IF(1221&gt;$B$1503,"",MATCH(1221-0.5,$B$3:$B$1503,1))</f>
        <v/>
      </c>
      <c r="D1224">
        <f>"In-service hours due – "&amp;IF(LEN(INDEX('Aides'!$A$4:$A$503,221))=0,"",INDEX('Aides'!$A$4:$A$503,221))</f>
        <v/>
      </c>
      <c r="E1224">
        <f>IF(ISNUMBER(INDEX('Aides'!$O$4:$O$503,221)),TEXT(INDEX('Aides'!$O$4:$O$503,221),"yyyy-mm-dd"),"")</f>
        <v/>
      </c>
      <c r="F1224">
        <f>"Training"</f>
        <v/>
      </c>
      <c r="G1224">
        <f>"Medium"</f>
        <v/>
      </c>
      <c r="H1224">
        <f>TRIM(IF(LEN(IF(LEN(INDEX('Aides'!$P$4:$P$503,221))=0,"",INDEX('Aides'!$P$4:$P$503,221)))=0,"","Hours done: "&amp;IF(LEN(INDEX('Aides'!$P$4:$P$503,221))=0,"",INDEX('Aides'!$P$4:$P$503,221))&amp;". ")&amp;IF(LEN(IF(LEN(INDEX('Aides'!$Q$4:$Q$503,221))=0,"",INDEX('Aides'!$Q$4:$Q$503,221)))=0,"","Target: "&amp;IF(LEN(INDEX('Aides'!$Q$4:$Q$503,221))=0,"",INDEX('Aides'!$Q$4:$Q$503,221))&amp;". ")&amp;IF(LEN(IF(LEN(INDEX('Aides'!$R$4:$R$503,221))=0,"",INDEX('Aides'!$R$4:$R$503,221)))=0,"","Hours still needed: "&amp;IF(LEN(INDEX('Aides'!$R$4:$R$503,221))=0,"",INDEX('Aides'!$R$4:$R$503,221))&amp;". ")&amp;IF(LEN(IF(LEN(INDEX('Aides'!$U$4:$U$503,221))=0,"",INDEX('Aides'!$U$4:$U$503,221)))=0,"","Owner: "&amp;IF(LEN(INDEX('Aides'!$U$4:$U$503,221))=0,"",INDEX('Aides'!$U$4:$U$503,221))&amp;". "))</f>
        <v/>
      </c>
      <c r="I1224">
        <f>""</f>
        <v/>
      </c>
      <c r="J1224">
        <f>IF(LEN(INDEX('Aides'!$V$4:$V$503,221))=0,"",INDEX('Aides'!$V$4:$V$503,221))</f>
        <v/>
      </c>
    </row>
    <row r="1225">
      <c r="A1225">
        <f>IF(AND(LEN('Aides'!A225)&gt;0,ISNUMBER('Aides'!O225)),1,0)</f>
        <v/>
      </c>
      <c r="B1225">
        <f>B1224+A1225</f>
        <v/>
      </c>
      <c r="C1225">
        <f>IF(1222&gt;$B$1503,"",MATCH(1222-0.5,$B$3:$B$1503,1))</f>
        <v/>
      </c>
      <c r="D1225">
        <f>"In-service hours due – "&amp;IF(LEN(INDEX('Aides'!$A$4:$A$503,222))=0,"",INDEX('Aides'!$A$4:$A$503,222))</f>
        <v/>
      </c>
      <c r="E1225">
        <f>IF(ISNUMBER(INDEX('Aides'!$O$4:$O$503,222)),TEXT(INDEX('Aides'!$O$4:$O$503,222),"yyyy-mm-dd"),"")</f>
        <v/>
      </c>
      <c r="F1225">
        <f>"Training"</f>
        <v/>
      </c>
      <c r="G1225">
        <f>"Medium"</f>
        <v/>
      </c>
      <c r="H1225">
        <f>TRIM(IF(LEN(IF(LEN(INDEX('Aides'!$P$4:$P$503,222))=0,"",INDEX('Aides'!$P$4:$P$503,222)))=0,"","Hours done: "&amp;IF(LEN(INDEX('Aides'!$P$4:$P$503,222))=0,"",INDEX('Aides'!$P$4:$P$503,222))&amp;". ")&amp;IF(LEN(IF(LEN(INDEX('Aides'!$Q$4:$Q$503,222))=0,"",INDEX('Aides'!$Q$4:$Q$503,222)))=0,"","Target: "&amp;IF(LEN(INDEX('Aides'!$Q$4:$Q$503,222))=0,"",INDEX('Aides'!$Q$4:$Q$503,222))&amp;". ")&amp;IF(LEN(IF(LEN(INDEX('Aides'!$R$4:$R$503,222))=0,"",INDEX('Aides'!$R$4:$R$503,222)))=0,"","Hours still needed: "&amp;IF(LEN(INDEX('Aides'!$R$4:$R$503,222))=0,"",INDEX('Aides'!$R$4:$R$503,222))&amp;". ")&amp;IF(LEN(IF(LEN(INDEX('Aides'!$U$4:$U$503,222))=0,"",INDEX('Aides'!$U$4:$U$503,222)))=0,"","Owner: "&amp;IF(LEN(INDEX('Aides'!$U$4:$U$503,222))=0,"",INDEX('Aides'!$U$4:$U$503,222))&amp;". "))</f>
        <v/>
      </c>
      <c r="I1225">
        <f>""</f>
        <v/>
      </c>
      <c r="J1225">
        <f>IF(LEN(INDEX('Aides'!$V$4:$V$503,222))=0,"",INDEX('Aides'!$V$4:$V$503,222))</f>
        <v/>
      </c>
    </row>
    <row r="1226">
      <c r="A1226">
        <f>IF(AND(LEN('Aides'!A226)&gt;0,ISNUMBER('Aides'!O226)),1,0)</f>
        <v/>
      </c>
      <c r="B1226">
        <f>B1225+A1226</f>
        <v/>
      </c>
      <c r="C1226">
        <f>IF(1223&gt;$B$1503,"",MATCH(1223-0.5,$B$3:$B$1503,1))</f>
        <v/>
      </c>
      <c r="D1226">
        <f>"In-service hours due – "&amp;IF(LEN(INDEX('Aides'!$A$4:$A$503,223))=0,"",INDEX('Aides'!$A$4:$A$503,223))</f>
        <v/>
      </c>
      <c r="E1226">
        <f>IF(ISNUMBER(INDEX('Aides'!$O$4:$O$503,223)),TEXT(INDEX('Aides'!$O$4:$O$503,223),"yyyy-mm-dd"),"")</f>
        <v/>
      </c>
      <c r="F1226">
        <f>"Training"</f>
        <v/>
      </c>
      <c r="G1226">
        <f>"Medium"</f>
        <v/>
      </c>
      <c r="H1226">
        <f>TRIM(IF(LEN(IF(LEN(INDEX('Aides'!$P$4:$P$503,223))=0,"",INDEX('Aides'!$P$4:$P$503,223)))=0,"","Hours done: "&amp;IF(LEN(INDEX('Aides'!$P$4:$P$503,223))=0,"",INDEX('Aides'!$P$4:$P$503,223))&amp;". ")&amp;IF(LEN(IF(LEN(INDEX('Aides'!$Q$4:$Q$503,223))=0,"",INDEX('Aides'!$Q$4:$Q$503,223)))=0,"","Target: "&amp;IF(LEN(INDEX('Aides'!$Q$4:$Q$503,223))=0,"",INDEX('Aides'!$Q$4:$Q$503,223))&amp;". ")&amp;IF(LEN(IF(LEN(INDEX('Aides'!$R$4:$R$503,223))=0,"",INDEX('Aides'!$R$4:$R$503,223)))=0,"","Hours still needed: "&amp;IF(LEN(INDEX('Aides'!$R$4:$R$503,223))=0,"",INDEX('Aides'!$R$4:$R$503,223))&amp;". ")&amp;IF(LEN(IF(LEN(INDEX('Aides'!$U$4:$U$503,223))=0,"",INDEX('Aides'!$U$4:$U$503,223)))=0,"","Owner: "&amp;IF(LEN(INDEX('Aides'!$U$4:$U$503,223))=0,"",INDEX('Aides'!$U$4:$U$503,223))&amp;". "))</f>
        <v/>
      </c>
      <c r="I1226">
        <f>""</f>
        <v/>
      </c>
      <c r="J1226">
        <f>IF(LEN(INDEX('Aides'!$V$4:$V$503,223))=0,"",INDEX('Aides'!$V$4:$V$503,223))</f>
        <v/>
      </c>
    </row>
    <row r="1227">
      <c r="A1227">
        <f>IF(AND(LEN('Aides'!A227)&gt;0,ISNUMBER('Aides'!O227)),1,0)</f>
        <v/>
      </c>
      <c r="B1227">
        <f>B1226+A1227</f>
        <v/>
      </c>
      <c r="C1227">
        <f>IF(1224&gt;$B$1503,"",MATCH(1224-0.5,$B$3:$B$1503,1))</f>
        <v/>
      </c>
      <c r="D1227">
        <f>"In-service hours due – "&amp;IF(LEN(INDEX('Aides'!$A$4:$A$503,224))=0,"",INDEX('Aides'!$A$4:$A$503,224))</f>
        <v/>
      </c>
      <c r="E1227">
        <f>IF(ISNUMBER(INDEX('Aides'!$O$4:$O$503,224)),TEXT(INDEX('Aides'!$O$4:$O$503,224),"yyyy-mm-dd"),"")</f>
        <v/>
      </c>
      <c r="F1227">
        <f>"Training"</f>
        <v/>
      </c>
      <c r="G1227">
        <f>"Medium"</f>
        <v/>
      </c>
      <c r="H1227">
        <f>TRIM(IF(LEN(IF(LEN(INDEX('Aides'!$P$4:$P$503,224))=0,"",INDEX('Aides'!$P$4:$P$503,224)))=0,"","Hours done: "&amp;IF(LEN(INDEX('Aides'!$P$4:$P$503,224))=0,"",INDEX('Aides'!$P$4:$P$503,224))&amp;". ")&amp;IF(LEN(IF(LEN(INDEX('Aides'!$Q$4:$Q$503,224))=0,"",INDEX('Aides'!$Q$4:$Q$503,224)))=0,"","Target: "&amp;IF(LEN(INDEX('Aides'!$Q$4:$Q$503,224))=0,"",INDEX('Aides'!$Q$4:$Q$503,224))&amp;". ")&amp;IF(LEN(IF(LEN(INDEX('Aides'!$R$4:$R$503,224))=0,"",INDEX('Aides'!$R$4:$R$503,224)))=0,"","Hours still needed: "&amp;IF(LEN(INDEX('Aides'!$R$4:$R$503,224))=0,"",INDEX('Aides'!$R$4:$R$503,224))&amp;". ")&amp;IF(LEN(IF(LEN(INDEX('Aides'!$U$4:$U$503,224))=0,"",INDEX('Aides'!$U$4:$U$503,224)))=0,"","Owner: "&amp;IF(LEN(INDEX('Aides'!$U$4:$U$503,224))=0,"",INDEX('Aides'!$U$4:$U$503,224))&amp;". "))</f>
        <v/>
      </c>
      <c r="I1227">
        <f>""</f>
        <v/>
      </c>
      <c r="J1227">
        <f>IF(LEN(INDEX('Aides'!$V$4:$V$503,224))=0,"",INDEX('Aides'!$V$4:$V$503,224))</f>
        <v/>
      </c>
    </row>
    <row r="1228">
      <c r="A1228">
        <f>IF(AND(LEN('Aides'!A228)&gt;0,ISNUMBER('Aides'!O228)),1,0)</f>
        <v/>
      </c>
      <c r="B1228">
        <f>B1227+A1228</f>
        <v/>
      </c>
      <c r="C1228">
        <f>IF(1225&gt;$B$1503,"",MATCH(1225-0.5,$B$3:$B$1503,1))</f>
        <v/>
      </c>
      <c r="D1228">
        <f>"In-service hours due – "&amp;IF(LEN(INDEX('Aides'!$A$4:$A$503,225))=0,"",INDEX('Aides'!$A$4:$A$503,225))</f>
        <v/>
      </c>
      <c r="E1228">
        <f>IF(ISNUMBER(INDEX('Aides'!$O$4:$O$503,225)),TEXT(INDEX('Aides'!$O$4:$O$503,225),"yyyy-mm-dd"),"")</f>
        <v/>
      </c>
      <c r="F1228">
        <f>"Training"</f>
        <v/>
      </c>
      <c r="G1228">
        <f>"Medium"</f>
        <v/>
      </c>
      <c r="H1228">
        <f>TRIM(IF(LEN(IF(LEN(INDEX('Aides'!$P$4:$P$503,225))=0,"",INDEX('Aides'!$P$4:$P$503,225)))=0,"","Hours done: "&amp;IF(LEN(INDEX('Aides'!$P$4:$P$503,225))=0,"",INDEX('Aides'!$P$4:$P$503,225))&amp;". ")&amp;IF(LEN(IF(LEN(INDEX('Aides'!$Q$4:$Q$503,225))=0,"",INDEX('Aides'!$Q$4:$Q$503,225)))=0,"","Target: "&amp;IF(LEN(INDEX('Aides'!$Q$4:$Q$503,225))=0,"",INDEX('Aides'!$Q$4:$Q$503,225))&amp;". ")&amp;IF(LEN(IF(LEN(INDEX('Aides'!$R$4:$R$503,225))=0,"",INDEX('Aides'!$R$4:$R$503,225)))=0,"","Hours still needed: "&amp;IF(LEN(INDEX('Aides'!$R$4:$R$503,225))=0,"",INDEX('Aides'!$R$4:$R$503,225))&amp;". ")&amp;IF(LEN(IF(LEN(INDEX('Aides'!$U$4:$U$503,225))=0,"",INDEX('Aides'!$U$4:$U$503,225)))=0,"","Owner: "&amp;IF(LEN(INDEX('Aides'!$U$4:$U$503,225))=0,"",INDEX('Aides'!$U$4:$U$503,225))&amp;". "))</f>
        <v/>
      </c>
      <c r="I1228">
        <f>""</f>
        <v/>
      </c>
      <c r="J1228">
        <f>IF(LEN(INDEX('Aides'!$V$4:$V$503,225))=0,"",INDEX('Aides'!$V$4:$V$503,225))</f>
        <v/>
      </c>
    </row>
    <row r="1229">
      <c r="A1229">
        <f>IF(AND(LEN('Aides'!A229)&gt;0,ISNUMBER('Aides'!O229)),1,0)</f>
        <v/>
      </c>
      <c r="B1229">
        <f>B1228+A1229</f>
        <v/>
      </c>
      <c r="C1229">
        <f>IF(1226&gt;$B$1503,"",MATCH(1226-0.5,$B$3:$B$1503,1))</f>
        <v/>
      </c>
      <c r="D1229">
        <f>"In-service hours due – "&amp;IF(LEN(INDEX('Aides'!$A$4:$A$503,226))=0,"",INDEX('Aides'!$A$4:$A$503,226))</f>
        <v/>
      </c>
      <c r="E1229">
        <f>IF(ISNUMBER(INDEX('Aides'!$O$4:$O$503,226)),TEXT(INDEX('Aides'!$O$4:$O$503,226),"yyyy-mm-dd"),"")</f>
        <v/>
      </c>
      <c r="F1229">
        <f>"Training"</f>
        <v/>
      </c>
      <c r="G1229">
        <f>"Medium"</f>
        <v/>
      </c>
      <c r="H1229">
        <f>TRIM(IF(LEN(IF(LEN(INDEX('Aides'!$P$4:$P$503,226))=0,"",INDEX('Aides'!$P$4:$P$503,226)))=0,"","Hours done: "&amp;IF(LEN(INDEX('Aides'!$P$4:$P$503,226))=0,"",INDEX('Aides'!$P$4:$P$503,226))&amp;". ")&amp;IF(LEN(IF(LEN(INDEX('Aides'!$Q$4:$Q$503,226))=0,"",INDEX('Aides'!$Q$4:$Q$503,226)))=0,"","Target: "&amp;IF(LEN(INDEX('Aides'!$Q$4:$Q$503,226))=0,"",INDEX('Aides'!$Q$4:$Q$503,226))&amp;". ")&amp;IF(LEN(IF(LEN(INDEX('Aides'!$R$4:$R$503,226))=0,"",INDEX('Aides'!$R$4:$R$503,226)))=0,"","Hours still needed: "&amp;IF(LEN(INDEX('Aides'!$R$4:$R$503,226))=0,"",INDEX('Aides'!$R$4:$R$503,226))&amp;". ")&amp;IF(LEN(IF(LEN(INDEX('Aides'!$U$4:$U$503,226))=0,"",INDEX('Aides'!$U$4:$U$503,226)))=0,"","Owner: "&amp;IF(LEN(INDEX('Aides'!$U$4:$U$503,226))=0,"",INDEX('Aides'!$U$4:$U$503,226))&amp;". "))</f>
        <v/>
      </c>
      <c r="I1229">
        <f>""</f>
        <v/>
      </c>
      <c r="J1229">
        <f>IF(LEN(INDEX('Aides'!$V$4:$V$503,226))=0,"",INDEX('Aides'!$V$4:$V$503,226))</f>
        <v/>
      </c>
    </row>
    <row r="1230">
      <c r="A1230">
        <f>IF(AND(LEN('Aides'!A230)&gt;0,ISNUMBER('Aides'!O230)),1,0)</f>
        <v/>
      </c>
      <c r="B1230">
        <f>B1229+A1230</f>
        <v/>
      </c>
      <c r="C1230">
        <f>IF(1227&gt;$B$1503,"",MATCH(1227-0.5,$B$3:$B$1503,1))</f>
        <v/>
      </c>
      <c r="D1230">
        <f>"In-service hours due – "&amp;IF(LEN(INDEX('Aides'!$A$4:$A$503,227))=0,"",INDEX('Aides'!$A$4:$A$503,227))</f>
        <v/>
      </c>
      <c r="E1230">
        <f>IF(ISNUMBER(INDEX('Aides'!$O$4:$O$503,227)),TEXT(INDEX('Aides'!$O$4:$O$503,227),"yyyy-mm-dd"),"")</f>
        <v/>
      </c>
      <c r="F1230">
        <f>"Training"</f>
        <v/>
      </c>
      <c r="G1230">
        <f>"Medium"</f>
        <v/>
      </c>
      <c r="H1230">
        <f>TRIM(IF(LEN(IF(LEN(INDEX('Aides'!$P$4:$P$503,227))=0,"",INDEX('Aides'!$P$4:$P$503,227)))=0,"","Hours done: "&amp;IF(LEN(INDEX('Aides'!$P$4:$P$503,227))=0,"",INDEX('Aides'!$P$4:$P$503,227))&amp;". ")&amp;IF(LEN(IF(LEN(INDEX('Aides'!$Q$4:$Q$503,227))=0,"",INDEX('Aides'!$Q$4:$Q$503,227)))=0,"","Target: "&amp;IF(LEN(INDEX('Aides'!$Q$4:$Q$503,227))=0,"",INDEX('Aides'!$Q$4:$Q$503,227))&amp;". ")&amp;IF(LEN(IF(LEN(INDEX('Aides'!$R$4:$R$503,227))=0,"",INDEX('Aides'!$R$4:$R$503,227)))=0,"","Hours still needed: "&amp;IF(LEN(INDEX('Aides'!$R$4:$R$503,227))=0,"",INDEX('Aides'!$R$4:$R$503,227))&amp;". ")&amp;IF(LEN(IF(LEN(INDEX('Aides'!$U$4:$U$503,227))=0,"",INDEX('Aides'!$U$4:$U$503,227)))=0,"","Owner: "&amp;IF(LEN(INDEX('Aides'!$U$4:$U$503,227))=0,"",INDEX('Aides'!$U$4:$U$503,227))&amp;". "))</f>
        <v/>
      </c>
      <c r="I1230">
        <f>""</f>
        <v/>
      </c>
      <c r="J1230">
        <f>IF(LEN(INDEX('Aides'!$V$4:$V$503,227))=0,"",INDEX('Aides'!$V$4:$V$503,227))</f>
        <v/>
      </c>
    </row>
    <row r="1231">
      <c r="A1231">
        <f>IF(AND(LEN('Aides'!A231)&gt;0,ISNUMBER('Aides'!O231)),1,0)</f>
        <v/>
      </c>
      <c r="B1231">
        <f>B1230+A1231</f>
        <v/>
      </c>
      <c r="C1231">
        <f>IF(1228&gt;$B$1503,"",MATCH(1228-0.5,$B$3:$B$1503,1))</f>
        <v/>
      </c>
      <c r="D1231">
        <f>"In-service hours due – "&amp;IF(LEN(INDEX('Aides'!$A$4:$A$503,228))=0,"",INDEX('Aides'!$A$4:$A$503,228))</f>
        <v/>
      </c>
      <c r="E1231">
        <f>IF(ISNUMBER(INDEX('Aides'!$O$4:$O$503,228)),TEXT(INDEX('Aides'!$O$4:$O$503,228),"yyyy-mm-dd"),"")</f>
        <v/>
      </c>
      <c r="F1231">
        <f>"Training"</f>
        <v/>
      </c>
      <c r="G1231">
        <f>"Medium"</f>
        <v/>
      </c>
      <c r="H1231">
        <f>TRIM(IF(LEN(IF(LEN(INDEX('Aides'!$P$4:$P$503,228))=0,"",INDEX('Aides'!$P$4:$P$503,228)))=0,"","Hours done: "&amp;IF(LEN(INDEX('Aides'!$P$4:$P$503,228))=0,"",INDEX('Aides'!$P$4:$P$503,228))&amp;". ")&amp;IF(LEN(IF(LEN(INDEX('Aides'!$Q$4:$Q$503,228))=0,"",INDEX('Aides'!$Q$4:$Q$503,228)))=0,"","Target: "&amp;IF(LEN(INDEX('Aides'!$Q$4:$Q$503,228))=0,"",INDEX('Aides'!$Q$4:$Q$503,228))&amp;". ")&amp;IF(LEN(IF(LEN(INDEX('Aides'!$R$4:$R$503,228))=0,"",INDEX('Aides'!$R$4:$R$503,228)))=0,"","Hours still needed: "&amp;IF(LEN(INDEX('Aides'!$R$4:$R$503,228))=0,"",INDEX('Aides'!$R$4:$R$503,228))&amp;". ")&amp;IF(LEN(IF(LEN(INDEX('Aides'!$U$4:$U$503,228))=0,"",INDEX('Aides'!$U$4:$U$503,228)))=0,"","Owner: "&amp;IF(LEN(INDEX('Aides'!$U$4:$U$503,228))=0,"",INDEX('Aides'!$U$4:$U$503,228))&amp;". "))</f>
        <v/>
      </c>
      <c r="I1231">
        <f>""</f>
        <v/>
      </c>
      <c r="J1231">
        <f>IF(LEN(INDEX('Aides'!$V$4:$V$503,228))=0,"",INDEX('Aides'!$V$4:$V$503,228))</f>
        <v/>
      </c>
    </row>
    <row r="1232">
      <c r="A1232">
        <f>IF(AND(LEN('Aides'!A232)&gt;0,ISNUMBER('Aides'!O232)),1,0)</f>
        <v/>
      </c>
      <c r="B1232">
        <f>B1231+A1232</f>
        <v/>
      </c>
      <c r="C1232">
        <f>IF(1229&gt;$B$1503,"",MATCH(1229-0.5,$B$3:$B$1503,1))</f>
        <v/>
      </c>
      <c r="D1232">
        <f>"In-service hours due – "&amp;IF(LEN(INDEX('Aides'!$A$4:$A$503,229))=0,"",INDEX('Aides'!$A$4:$A$503,229))</f>
        <v/>
      </c>
      <c r="E1232">
        <f>IF(ISNUMBER(INDEX('Aides'!$O$4:$O$503,229)),TEXT(INDEX('Aides'!$O$4:$O$503,229),"yyyy-mm-dd"),"")</f>
        <v/>
      </c>
      <c r="F1232">
        <f>"Training"</f>
        <v/>
      </c>
      <c r="G1232">
        <f>"Medium"</f>
        <v/>
      </c>
      <c r="H1232">
        <f>TRIM(IF(LEN(IF(LEN(INDEX('Aides'!$P$4:$P$503,229))=0,"",INDEX('Aides'!$P$4:$P$503,229)))=0,"","Hours done: "&amp;IF(LEN(INDEX('Aides'!$P$4:$P$503,229))=0,"",INDEX('Aides'!$P$4:$P$503,229))&amp;". ")&amp;IF(LEN(IF(LEN(INDEX('Aides'!$Q$4:$Q$503,229))=0,"",INDEX('Aides'!$Q$4:$Q$503,229)))=0,"","Target: "&amp;IF(LEN(INDEX('Aides'!$Q$4:$Q$503,229))=0,"",INDEX('Aides'!$Q$4:$Q$503,229))&amp;". ")&amp;IF(LEN(IF(LEN(INDEX('Aides'!$R$4:$R$503,229))=0,"",INDEX('Aides'!$R$4:$R$503,229)))=0,"","Hours still needed: "&amp;IF(LEN(INDEX('Aides'!$R$4:$R$503,229))=0,"",INDEX('Aides'!$R$4:$R$503,229))&amp;". ")&amp;IF(LEN(IF(LEN(INDEX('Aides'!$U$4:$U$503,229))=0,"",INDEX('Aides'!$U$4:$U$503,229)))=0,"","Owner: "&amp;IF(LEN(INDEX('Aides'!$U$4:$U$503,229))=0,"",INDEX('Aides'!$U$4:$U$503,229))&amp;". "))</f>
        <v/>
      </c>
      <c r="I1232">
        <f>""</f>
        <v/>
      </c>
      <c r="J1232">
        <f>IF(LEN(INDEX('Aides'!$V$4:$V$503,229))=0,"",INDEX('Aides'!$V$4:$V$503,229))</f>
        <v/>
      </c>
    </row>
    <row r="1233">
      <c r="A1233">
        <f>IF(AND(LEN('Aides'!A233)&gt;0,ISNUMBER('Aides'!O233)),1,0)</f>
        <v/>
      </c>
      <c r="B1233">
        <f>B1232+A1233</f>
        <v/>
      </c>
      <c r="C1233">
        <f>IF(1230&gt;$B$1503,"",MATCH(1230-0.5,$B$3:$B$1503,1))</f>
        <v/>
      </c>
      <c r="D1233">
        <f>"In-service hours due – "&amp;IF(LEN(INDEX('Aides'!$A$4:$A$503,230))=0,"",INDEX('Aides'!$A$4:$A$503,230))</f>
        <v/>
      </c>
      <c r="E1233">
        <f>IF(ISNUMBER(INDEX('Aides'!$O$4:$O$503,230)),TEXT(INDEX('Aides'!$O$4:$O$503,230),"yyyy-mm-dd"),"")</f>
        <v/>
      </c>
      <c r="F1233">
        <f>"Training"</f>
        <v/>
      </c>
      <c r="G1233">
        <f>"Medium"</f>
        <v/>
      </c>
      <c r="H1233">
        <f>TRIM(IF(LEN(IF(LEN(INDEX('Aides'!$P$4:$P$503,230))=0,"",INDEX('Aides'!$P$4:$P$503,230)))=0,"","Hours done: "&amp;IF(LEN(INDEX('Aides'!$P$4:$P$503,230))=0,"",INDEX('Aides'!$P$4:$P$503,230))&amp;". ")&amp;IF(LEN(IF(LEN(INDEX('Aides'!$Q$4:$Q$503,230))=0,"",INDEX('Aides'!$Q$4:$Q$503,230)))=0,"","Target: "&amp;IF(LEN(INDEX('Aides'!$Q$4:$Q$503,230))=0,"",INDEX('Aides'!$Q$4:$Q$503,230))&amp;". ")&amp;IF(LEN(IF(LEN(INDEX('Aides'!$R$4:$R$503,230))=0,"",INDEX('Aides'!$R$4:$R$503,230)))=0,"","Hours still needed: "&amp;IF(LEN(INDEX('Aides'!$R$4:$R$503,230))=0,"",INDEX('Aides'!$R$4:$R$503,230))&amp;". ")&amp;IF(LEN(IF(LEN(INDEX('Aides'!$U$4:$U$503,230))=0,"",INDEX('Aides'!$U$4:$U$503,230)))=0,"","Owner: "&amp;IF(LEN(INDEX('Aides'!$U$4:$U$503,230))=0,"",INDEX('Aides'!$U$4:$U$503,230))&amp;". "))</f>
        <v/>
      </c>
      <c r="I1233">
        <f>""</f>
        <v/>
      </c>
      <c r="J1233">
        <f>IF(LEN(INDEX('Aides'!$V$4:$V$503,230))=0,"",INDEX('Aides'!$V$4:$V$503,230))</f>
        <v/>
      </c>
    </row>
    <row r="1234">
      <c r="A1234">
        <f>IF(AND(LEN('Aides'!A234)&gt;0,ISNUMBER('Aides'!O234)),1,0)</f>
        <v/>
      </c>
      <c r="B1234">
        <f>B1233+A1234</f>
        <v/>
      </c>
      <c r="C1234">
        <f>IF(1231&gt;$B$1503,"",MATCH(1231-0.5,$B$3:$B$1503,1))</f>
        <v/>
      </c>
      <c r="D1234">
        <f>"In-service hours due – "&amp;IF(LEN(INDEX('Aides'!$A$4:$A$503,231))=0,"",INDEX('Aides'!$A$4:$A$503,231))</f>
        <v/>
      </c>
      <c r="E1234">
        <f>IF(ISNUMBER(INDEX('Aides'!$O$4:$O$503,231)),TEXT(INDEX('Aides'!$O$4:$O$503,231),"yyyy-mm-dd"),"")</f>
        <v/>
      </c>
      <c r="F1234">
        <f>"Training"</f>
        <v/>
      </c>
      <c r="G1234">
        <f>"Medium"</f>
        <v/>
      </c>
      <c r="H1234">
        <f>TRIM(IF(LEN(IF(LEN(INDEX('Aides'!$P$4:$P$503,231))=0,"",INDEX('Aides'!$P$4:$P$503,231)))=0,"","Hours done: "&amp;IF(LEN(INDEX('Aides'!$P$4:$P$503,231))=0,"",INDEX('Aides'!$P$4:$P$503,231))&amp;". ")&amp;IF(LEN(IF(LEN(INDEX('Aides'!$Q$4:$Q$503,231))=0,"",INDEX('Aides'!$Q$4:$Q$503,231)))=0,"","Target: "&amp;IF(LEN(INDEX('Aides'!$Q$4:$Q$503,231))=0,"",INDEX('Aides'!$Q$4:$Q$503,231))&amp;". ")&amp;IF(LEN(IF(LEN(INDEX('Aides'!$R$4:$R$503,231))=0,"",INDEX('Aides'!$R$4:$R$503,231)))=0,"","Hours still needed: "&amp;IF(LEN(INDEX('Aides'!$R$4:$R$503,231))=0,"",INDEX('Aides'!$R$4:$R$503,231))&amp;". ")&amp;IF(LEN(IF(LEN(INDEX('Aides'!$U$4:$U$503,231))=0,"",INDEX('Aides'!$U$4:$U$503,231)))=0,"","Owner: "&amp;IF(LEN(INDEX('Aides'!$U$4:$U$503,231))=0,"",INDEX('Aides'!$U$4:$U$503,231))&amp;". "))</f>
        <v/>
      </c>
      <c r="I1234">
        <f>""</f>
        <v/>
      </c>
      <c r="J1234">
        <f>IF(LEN(INDEX('Aides'!$V$4:$V$503,231))=0,"",INDEX('Aides'!$V$4:$V$503,231))</f>
        <v/>
      </c>
    </row>
    <row r="1235">
      <c r="A1235">
        <f>IF(AND(LEN('Aides'!A235)&gt;0,ISNUMBER('Aides'!O235)),1,0)</f>
        <v/>
      </c>
      <c r="B1235">
        <f>B1234+A1235</f>
        <v/>
      </c>
      <c r="C1235">
        <f>IF(1232&gt;$B$1503,"",MATCH(1232-0.5,$B$3:$B$1503,1))</f>
        <v/>
      </c>
      <c r="D1235">
        <f>"In-service hours due – "&amp;IF(LEN(INDEX('Aides'!$A$4:$A$503,232))=0,"",INDEX('Aides'!$A$4:$A$503,232))</f>
        <v/>
      </c>
      <c r="E1235">
        <f>IF(ISNUMBER(INDEX('Aides'!$O$4:$O$503,232)),TEXT(INDEX('Aides'!$O$4:$O$503,232),"yyyy-mm-dd"),"")</f>
        <v/>
      </c>
      <c r="F1235">
        <f>"Training"</f>
        <v/>
      </c>
      <c r="G1235">
        <f>"Medium"</f>
        <v/>
      </c>
      <c r="H1235">
        <f>TRIM(IF(LEN(IF(LEN(INDEX('Aides'!$P$4:$P$503,232))=0,"",INDEX('Aides'!$P$4:$P$503,232)))=0,"","Hours done: "&amp;IF(LEN(INDEX('Aides'!$P$4:$P$503,232))=0,"",INDEX('Aides'!$P$4:$P$503,232))&amp;". ")&amp;IF(LEN(IF(LEN(INDEX('Aides'!$Q$4:$Q$503,232))=0,"",INDEX('Aides'!$Q$4:$Q$503,232)))=0,"","Target: "&amp;IF(LEN(INDEX('Aides'!$Q$4:$Q$503,232))=0,"",INDEX('Aides'!$Q$4:$Q$503,232))&amp;". ")&amp;IF(LEN(IF(LEN(INDEX('Aides'!$R$4:$R$503,232))=0,"",INDEX('Aides'!$R$4:$R$503,232)))=0,"","Hours still needed: "&amp;IF(LEN(INDEX('Aides'!$R$4:$R$503,232))=0,"",INDEX('Aides'!$R$4:$R$503,232))&amp;". ")&amp;IF(LEN(IF(LEN(INDEX('Aides'!$U$4:$U$503,232))=0,"",INDEX('Aides'!$U$4:$U$503,232)))=0,"","Owner: "&amp;IF(LEN(INDEX('Aides'!$U$4:$U$503,232))=0,"",INDEX('Aides'!$U$4:$U$503,232))&amp;". "))</f>
        <v/>
      </c>
      <c r="I1235">
        <f>""</f>
        <v/>
      </c>
      <c r="J1235">
        <f>IF(LEN(INDEX('Aides'!$V$4:$V$503,232))=0,"",INDEX('Aides'!$V$4:$V$503,232))</f>
        <v/>
      </c>
    </row>
    <row r="1236">
      <c r="A1236">
        <f>IF(AND(LEN('Aides'!A236)&gt;0,ISNUMBER('Aides'!O236)),1,0)</f>
        <v/>
      </c>
      <c r="B1236">
        <f>B1235+A1236</f>
        <v/>
      </c>
      <c r="C1236">
        <f>IF(1233&gt;$B$1503,"",MATCH(1233-0.5,$B$3:$B$1503,1))</f>
        <v/>
      </c>
      <c r="D1236">
        <f>"In-service hours due – "&amp;IF(LEN(INDEX('Aides'!$A$4:$A$503,233))=0,"",INDEX('Aides'!$A$4:$A$503,233))</f>
        <v/>
      </c>
      <c r="E1236">
        <f>IF(ISNUMBER(INDEX('Aides'!$O$4:$O$503,233)),TEXT(INDEX('Aides'!$O$4:$O$503,233),"yyyy-mm-dd"),"")</f>
        <v/>
      </c>
      <c r="F1236">
        <f>"Training"</f>
        <v/>
      </c>
      <c r="G1236">
        <f>"Medium"</f>
        <v/>
      </c>
      <c r="H1236">
        <f>TRIM(IF(LEN(IF(LEN(INDEX('Aides'!$P$4:$P$503,233))=0,"",INDEX('Aides'!$P$4:$P$503,233)))=0,"","Hours done: "&amp;IF(LEN(INDEX('Aides'!$P$4:$P$503,233))=0,"",INDEX('Aides'!$P$4:$P$503,233))&amp;". ")&amp;IF(LEN(IF(LEN(INDEX('Aides'!$Q$4:$Q$503,233))=0,"",INDEX('Aides'!$Q$4:$Q$503,233)))=0,"","Target: "&amp;IF(LEN(INDEX('Aides'!$Q$4:$Q$503,233))=0,"",INDEX('Aides'!$Q$4:$Q$503,233))&amp;". ")&amp;IF(LEN(IF(LEN(INDEX('Aides'!$R$4:$R$503,233))=0,"",INDEX('Aides'!$R$4:$R$503,233)))=0,"","Hours still needed: "&amp;IF(LEN(INDEX('Aides'!$R$4:$R$503,233))=0,"",INDEX('Aides'!$R$4:$R$503,233))&amp;". ")&amp;IF(LEN(IF(LEN(INDEX('Aides'!$U$4:$U$503,233))=0,"",INDEX('Aides'!$U$4:$U$503,233)))=0,"","Owner: "&amp;IF(LEN(INDEX('Aides'!$U$4:$U$503,233))=0,"",INDEX('Aides'!$U$4:$U$503,233))&amp;". "))</f>
        <v/>
      </c>
      <c r="I1236">
        <f>""</f>
        <v/>
      </c>
      <c r="J1236">
        <f>IF(LEN(INDEX('Aides'!$V$4:$V$503,233))=0,"",INDEX('Aides'!$V$4:$V$503,233))</f>
        <v/>
      </c>
    </row>
    <row r="1237">
      <c r="A1237">
        <f>IF(AND(LEN('Aides'!A237)&gt;0,ISNUMBER('Aides'!O237)),1,0)</f>
        <v/>
      </c>
      <c r="B1237">
        <f>B1236+A1237</f>
        <v/>
      </c>
      <c r="C1237">
        <f>IF(1234&gt;$B$1503,"",MATCH(1234-0.5,$B$3:$B$1503,1))</f>
        <v/>
      </c>
      <c r="D1237">
        <f>"In-service hours due – "&amp;IF(LEN(INDEX('Aides'!$A$4:$A$503,234))=0,"",INDEX('Aides'!$A$4:$A$503,234))</f>
        <v/>
      </c>
      <c r="E1237">
        <f>IF(ISNUMBER(INDEX('Aides'!$O$4:$O$503,234)),TEXT(INDEX('Aides'!$O$4:$O$503,234),"yyyy-mm-dd"),"")</f>
        <v/>
      </c>
      <c r="F1237">
        <f>"Training"</f>
        <v/>
      </c>
      <c r="G1237">
        <f>"Medium"</f>
        <v/>
      </c>
      <c r="H1237">
        <f>TRIM(IF(LEN(IF(LEN(INDEX('Aides'!$P$4:$P$503,234))=0,"",INDEX('Aides'!$P$4:$P$503,234)))=0,"","Hours done: "&amp;IF(LEN(INDEX('Aides'!$P$4:$P$503,234))=0,"",INDEX('Aides'!$P$4:$P$503,234))&amp;". ")&amp;IF(LEN(IF(LEN(INDEX('Aides'!$Q$4:$Q$503,234))=0,"",INDEX('Aides'!$Q$4:$Q$503,234)))=0,"","Target: "&amp;IF(LEN(INDEX('Aides'!$Q$4:$Q$503,234))=0,"",INDEX('Aides'!$Q$4:$Q$503,234))&amp;". ")&amp;IF(LEN(IF(LEN(INDEX('Aides'!$R$4:$R$503,234))=0,"",INDEX('Aides'!$R$4:$R$503,234)))=0,"","Hours still needed: "&amp;IF(LEN(INDEX('Aides'!$R$4:$R$503,234))=0,"",INDEX('Aides'!$R$4:$R$503,234))&amp;". ")&amp;IF(LEN(IF(LEN(INDEX('Aides'!$U$4:$U$503,234))=0,"",INDEX('Aides'!$U$4:$U$503,234)))=0,"","Owner: "&amp;IF(LEN(INDEX('Aides'!$U$4:$U$503,234))=0,"",INDEX('Aides'!$U$4:$U$503,234))&amp;". "))</f>
        <v/>
      </c>
      <c r="I1237">
        <f>""</f>
        <v/>
      </c>
      <c r="J1237">
        <f>IF(LEN(INDEX('Aides'!$V$4:$V$503,234))=0,"",INDEX('Aides'!$V$4:$V$503,234))</f>
        <v/>
      </c>
    </row>
    <row r="1238">
      <c r="A1238">
        <f>IF(AND(LEN('Aides'!A238)&gt;0,ISNUMBER('Aides'!O238)),1,0)</f>
        <v/>
      </c>
      <c r="B1238">
        <f>B1237+A1238</f>
        <v/>
      </c>
      <c r="C1238">
        <f>IF(1235&gt;$B$1503,"",MATCH(1235-0.5,$B$3:$B$1503,1))</f>
        <v/>
      </c>
      <c r="D1238">
        <f>"In-service hours due – "&amp;IF(LEN(INDEX('Aides'!$A$4:$A$503,235))=0,"",INDEX('Aides'!$A$4:$A$503,235))</f>
        <v/>
      </c>
      <c r="E1238">
        <f>IF(ISNUMBER(INDEX('Aides'!$O$4:$O$503,235)),TEXT(INDEX('Aides'!$O$4:$O$503,235),"yyyy-mm-dd"),"")</f>
        <v/>
      </c>
      <c r="F1238">
        <f>"Training"</f>
        <v/>
      </c>
      <c r="G1238">
        <f>"Medium"</f>
        <v/>
      </c>
      <c r="H1238">
        <f>TRIM(IF(LEN(IF(LEN(INDEX('Aides'!$P$4:$P$503,235))=0,"",INDEX('Aides'!$P$4:$P$503,235)))=0,"","Hours done: "&amp;IF(LEN(INDEX('Aides'!$P$4:$P$503,235))=0,"",INDEX('Aides'!$P$4:$P$503,235))&amp;". ")&amp;IF(LEN(IF(LEN(INDEX('Aides'!$Q$4:$Q$503,235))=0,"",INDEX('Aides'!$Q$4:$Q$503,235)))=0,"","Target: "&amp;IF(LEN(INDEX('Aides'!$Q$4:$Q$503,235))=0,"",INDEX('Aides'!$Q$4:$Q$503,235))&amp;". ")&amp;IF(LEN(IF(LEN(INDEX('Aides'!$R$4:$R$503,235))=0,"",INDEX('Aides'!$R$4:$R$503,235)))=0,"","Hours still needed: "&amp;IF(LEN(INDEX('Aides'!$R$4:$R$503,235))=0,"",INDEX('Aides'!$R$4:$R$503,235))&amp;". ")&amp;IF(LEN(IF(LEN(INDEX('Aides'!$U$4:$U$503,235))=0,"",INDEX('Aides'!$U$4:$U$503,235)))=0,"","Owner: "&amp;IF(LEN(INDEX('Aides'!$U$4:$U$503,235))=0,"",INDEX('Aides'!$U$4:$U$503,235))&amp;". "))</f>
        <v/>
      </c>
      <c r="I1238">
        <f>""</f>
        <v/>
      </c>
      <c r="J1238">
        <f>IF(LEN(INDEX('Aides'!$V$4:$V$503,235))=0,"",INDEX('Aides'!$V$4:$V$503,235))</f>
        <v/>
      </c>
    </row>
    <row r="1239">
      <c r="A1239">
        <f>IF(AND(LEN('Aides'!A239)&gt;0,ISNUMBER('Aides'!O239)),1,0)</f>
        <v/>
      </c>
      <c r="B1239">
        <f>B1238+A1239</f>
        <v/>
      </c>
      <c r="C1239">
        <f>IF(1236&gt;$B$1503,"",MATCH(1236-0.5,$B$3:$B$1503,1))</f>
        <v/>
      </c>
      <c r="D1239">
        <f>"In-service hours due – "&amp;IF(LEN(INDEX('Aides'!$A$4:$A$503,236))=0,"",INDEX('Aides'!$A$4:$A$503,236))</f>
        <v/>
      </c>
      <c r="E1239">
        <f>IF(ISNUMBER(INDEX('Aides'!$O$4:$O$503,236)),TEXT(INDEX('Aides'!$O$4:$O$503,236),"yyyy-mm-dd"),"")</f>
        <v/>
      </c>
      <c r="F1239">
        <f>"Training"</f>
        <v/>
      </c>
      <c r="G1239">
        <f>"Medium"</f>
        <v/>
      </c>
      <c r="H1239">
        <f>TRIM(IF(LEN(IF(LEN(INDEX('Aides'!$P$4:$P$503,236))=0,"",INDEX('Aides'!$P$4:$P$503,236)))=0,"","Hours done: "&amp;IF(LEN(INDEX('Aides'!$P$4:$P$503,236))=0,"",INDEX('Aides'!$P$4:$P$503,236))&amp;". ")&amp;IF(LEN(IF(LEN(INDEX('Aides'!$Q$4:$Q$503,236))=0,"",INDEX('Aides'!$Q$4:$Q$503,236)))=0,"","Target: "&amp;IF(LEN(INDEX('Aides'!$Q$4:$Q$503,236))=0,"",INDEX('Aides'!$Q$4:$Q$503,236))&amp;". ")&amp;IF(LEN(IF(LEN(INDEX('Aides'!$R$4:$R$503,236))=0,"",INDEX('Aides'!$R$4:$R$503,236)))=0,"","Hours still needed: "&amp;IF(LEN(INDEX('Aides'!$R$4:$R$503,236))=0,"",INDEX('Aides'!$R$4:$R$503,236))&amp;". ")&amp;IF(LEN(IF(LEN(INDEX('Aides'!$U$4:$U$503,236))=0,"",INDEX('Aides'!$U$4:$U$503,236)))=0,"","Owner: "&amp;IF(LEN(INDEX('Aides'!$U$4:$U$503,236))=0,"",INDEX('Aides'!$U$4:$U$503,236))&amp;". "))</f>
        <v/>
      </c>
      <c r="I1239">
        <f>""</f>
        <v/>
      </c>
      <c r="J1239">
        <f>IF(LEN(INDEX('Aides'!$V$4:$V$503,236))=0,"",INDEX('Aides'!$V$4:$V$503,236))</f>
        <v/>
      </c>
    </row>
    <row r="1240">
      <c r="A1240">
        <f>IF(AND(LEN('Aides'!A240)&gt;0,ISNUMBER('Aides'!O240)),1,0)</f>
        <v/>
      </c>
      <c r="B1240">
        <f>B1239+A1240</f>
        <v/>
      </c>
      <c r="C1240">
        <f>IF(1237&gt;$B$1503,"",MATCH(1237-0.5,$B$3:$B$1503,1))</f>
        <v/>
      </c>
      <c r="D1240">
        <f>"In-service hours due – "&amp;IF(LEN(INDEX('Aides'!$A$4:$A$503,237))=0,"",INDEX('Aides'!$A$4:$A$503,237))</f>
        <v/>
      </c>
      <c r="E1240">
        <f>IF(ISNUMBER(INDEX('Aides'!$O$4:$O$503,237)),TEXT(INDEX('Aides'!$O$4:$O$503,237),"yyyy-mm-dd"),"")</f>
        <v/>
      </c>
      <c r="F1240">
        <f>"Training"</f>
        <v/>
      </c>
      <c r="G1240">
        <f>"Medium"</f>
        <v/>
      </c>
      <c r="H1240">
        <f>TRIM(IF(LEN(IF(LEN(INDEX('Aides'!$P$4:$P$503,237))=0,"",INDEX('Aides'!$P$4:$P$503,237)))=0,"","Hours done: "&amp;IF(LEN(INDEX('Aides'!$P$4:$P$503,237))=0,"",INDEX('Aides'!$P$4:$P$503,237))&amp;". ")&amp;IF(LEN(IF(LEN(INDEX('Aides'!$Q$4:$Q$503,237))=0,"",INDEX('Aides'!$Q$4:$Q$503,237)))=0,"","Target: "&amp;IF(LEN(INDEX('Aides'!$Q$4:$Q$503,237))=0,"",INDEX('Aides'!$Q$4:$Q$503,237))&amp;". ")&amp;IF(LEN(IF(LEN(INDEX('Aides'!$R$4:$R$503,237))=0,"",INDEX('Aides'!$R$4:$R$503,237)))=0,"","Hours still needed: "&amp;IF(LEN(INDEX('Aides'!$R$4:$R$503,237))=0,"",INDEX('Aides'!$R$4:$R$503,237))&amp;". ")&amp;IF(LEN(IF(LEN(INDEX('Aides'!$U$4:$U$503,237))=0,"",INDEX('Aides'!$U$4:$U$503,237)))=0,"","Owner: "&amp;IF(LEN(INDEX('Aides'!$U$4:$U$503,237))=0,"",INDEX('Aides'!$U$4:$U$503,237))&amp;". "))</f>
        <v/>
      </c>
      <c r="I1240">
        <f>""</f>
        <v/>
      </c>
      <c r="J1240">
        <f>IF(LEN(INDEX('Aides'!$V$4:$V$503,237))=0,"",INDEX('Aides'!$V$4:$V$503,237))</f>
        <v/>
      </c>
    </row>
    <row r="1241">
      <c r="A1241">
        <f>IF(AND(LEN('Aides'!A241)&gt;0,ISNUMBER('Aides'!O241)),1,0)</f>
        <v/>
      </c>
      <c r="B1241">
        <f>B1240+A1241</f>
        <v/>
      </c>
      <c r="C1241">
        <f>IF(1238&gt;$B$1503,"",MATCH(1238-0.5,$B$3:$B$1503,1))</f>
        <v/>
      </c>
      <c r="D1241">
        <f>"In-service hours due – "&amp;IF(LEN(INDEX('Aides'!$A$4:$A$503,238))=0,"",INDEX('Aides'!$A$4:$A$503,238))</f>
        <v/>
      </c>
      <c r="E1241">
        <f>IF(ISNUMBER(INDEX('Aides'!$O$4:$O$503,238)),TEXT(INDEX('Aides'!$O$4:$O$503,238),"yyyy-mm-dd"),"")</f>
        <v/>
      </c>
      <c r="F1241">
        <f>"Training"</f>
        <v/>
      </c>
      <c r="G1241">
        <f>"Medium"</f>
        <v/>
      </c>
      <c r="H1241">
        <f>TRIM(IF(LEN(IF(LEN(INDEX('Aides'!$P$4:$P$503,238))=0,"",INDEX('Aides'!$P$4:$P$503,238)))=0,"","Hours done: "&amp;IF(LEN(INDEX('Aides'!$P$4:$P$503,238))=0,"",INDEX('Aides'!$P$4:$P$503,238))&amp;". ")&amp;IF(LEN(IF(LEN(INDEX('Aides'!$Q$4:$Q$503,238))=0,"",INDEX('Aides'!$Q$4:$Q$503,238)))=0,"","Target: "&amp;IF(LEN(INDEX('Aides'!$Q$4:$Q$503,238))=0,"",INDEX('Aides'!$Q$4:$Q$503,238))&amp;". ")&amp;IF(LEN(IF(LEN(INDEX('Aides'!$R$4:$R$503,238))=0,"",INDEX('Aides'!$R$4:$R$503,238)))=0,"","Hours still needed: "&amp;IF(LEN(INDEX('Aides'!$R$4:$R$503,238))=0,"",INDEX('Aides'!$R$4:$R$503,238))&amp;". ")&amp;IF(LEN(IF(LEN(INDEX('Aides'!$U$4:$U$503,238))=0,"",INDEX('Aides'!$U$4:$U$503,238)))=0,"","Owner: "&amp;IF(LEN(INDEX('Aides'!$U$4:$U$503,238))=0,"",INDEX('Aides'!$U$4:$U$503,238))&amp;". "))</f>
        <v/>
      </c>
      <c r="I1241">
        <f>""</f>
        <v/>
      </c>
      <c r="J1241">
        <f>IF(LEN(INDEX('Aides'!$V$4:$V$503,238))=0,"",INDEX('Aides'!$V$4:$V$503,238))</f>
        <v/>
      </c>
    </row>
    <row r="1242">
      <c r="A1242">
        <f>IF(AND(LEN('Aides'!A242)&gt;0,ISNUMBER('Aides'!O242)),1,0)</f>
        <v/>
      </c>
      <c r="B1242">
        <f>B1241+A1242</f>
        <v/>
      </c>
      <c r="C1242">
        <f>IF(1239&gt;$B$1503,"",MATCH(1239-0.5,$B$3:$B$1503,1))</f>
        <v/>
      </c>
      <c r="D1242">
        <f>"In-service hours due – "&amp;IF(LEN(INDEX('Aides'!$A$4:$A$503,239))=0,"",INDEX('Aides'!$A$4:$A$503,239))</f>
        <v/>
      </c>
      <c r="E1242">
        <f>IF(ISNUMBER(INDEX('Aides'!$O$4:$O$503,239)),TEXT(INDEX('Aides'!$O$4:$O$503,239),"yyyy-mm-dd"),"")</f>
        <v/>
      </c>
      <c r="F1242">
        <f>"Training"</f>
        <v/>
      </c>
      <c r="G1242">
        <f>"Medium"</f>
        <v/>
      </c>
      <c r="H1242">
        <f>TRIM(IF(LEN(IF(LEN(INDEX('Aides'!$P$4:$P$503,239))=0,"",INDEX('Aides'!$P$4:$P$503,239)))=0,"","Hours done: "&amp;IF(LEN(INDEX('Aides'!$P$4:$P$503,239))=0,"",INDEX('Aides'!$P$4:$P$503,239))&amp;". ")&amp;IF(LEN(IF(LEN(INDEX('Aides'!$Q$4:$Q$503,239))=0,"",INDEX('Aides'!$Q$4:$Q$503,239)))=0,"","Target: "&amp;IF(LEN(INDEX('Aides'!$Q$4:$Q$503,239))=0,"",INDEX('Aides'!$Q$4:$Q$503,239))&amp;". ")&amp;IF(LEN(IF(LEN(INDEX('Aides'!$R$4:$R$503,239))=0,"",INDEX('Aides'!$R$4:$R$503,239)))=0,"","Hours still needed: "&amp;IF(LEN(INDEX('Aides'!$R$4:$R$503,239))=0,"",INDEX('Aides'!$R$4:$R$503,239))&amp;". ")&amp;IF(LEN(IF(LEN(INDEX('Aides'!$U$4:$U$503,239))=0,"",INDEX('Aides'!$U$4:$U$503,239)))=0,"","Owner: "&amp;IF(LEN(INDEX('Aides'!$U$4:$U$503,239))=0,"",INDEX('Aides'!$U$4:$U$503,239))&amp;". "))</f>
        <v/>
      </c>
      <c r="I1242">
        <f>""</f>
        <v/>
      </c>
      <c r="J1242">
        <f>IF(LEN(INDEX('Aides'!$V$4:$V$503,239))=0,"",INDEX('Aides'!$V$4:$V$503,239))</f>
        <v/>
      </c>
    </row>
    <row r="1243">
      <c r="A1243">
        <f>IF(AND(LEN('Aides'!A243)&gt;0,ISNUMBER('Aides'!O243)),1,0)</f>
        <v/>
      </c>
      <c r="B1243">
        <f>B1242+A1243</f>
        <v/>
      </c>
      <c r="C1243">
        <f>IF(1240&gt;$B$1503,"",MATCH(1240-0.5,$B$3:$B$1503,1))</f>
        <v/>
      </c>
      <c r="D1243">
        <f>"In-service hours due – "&amp;IF(LEN(INDEX('Aides'!$A$4:$A$503,240))=0,"",INDEX('Aides'!$A$4:$A$503,240))</f>
        <v/>
      </c>
      <c r="E1243">
        <f>IF(ISNUMBER(INDEX('Aides'!$O$4:$O$503,240)),TEXT(INDEX('Aides'!$O$4:$O$503,240),"yyyy-mm-dd"),"")</f>
        <v/>
      </c>
      <c r="F1243">
        <f>"Training"</f>
        <v/>
      </c>
      <c r="G1243">
        <f>"Medium"</f>
        <v/>
      </c>
      <c r="H1243">
        <f>TRIM(IF(LEN(IF(LEN(INDEX('Aides'!$P$4:$P$503,240))=0,"",INDEX('Aides'!$P$4:$P$503,240)))=0,"","Hours done: "&amp;IF(LEN(INDEX('Aides'!$P$4:$P$503,240))=0,"",INDEX('Aides'!$P$4:$P$503,240))&amp;". ")&amp;IF(LEN(IF(LEN(INDEX('Aides'!$Q$4:$Q$503,240))=0,"",INDEX('Aides'!$Q$4:$Q$503,240)))=0,"","Target: "&amp;IF(LEN(INDEX('Aides'!$Q$4:$Q$503,240))=0,"",INDEX('Aides'!$Q$4:$Q$503,240))&amp;". ")&amp;IF(LEN(IF(LEN(INDEX('Aides'!$R$4:$R$503,240))=0,"",INDEX('Aides'!$R$4:$R$503,240)))=0,"","Hours still needed: "&amp;IF(LEN(INDEX('Aides'!$R$4:$R$503,240))=0,"",INDEX('Aides'!$R$4:$R$503,240))&amp;". ")&amp;IF(LEN(IF(LEN(INDEX('Aides'!$U$4:$U$503,240))=0,"",INDEX('Aides'!$U$4:$U$503,240)))=0,"","Owner: "&amp;IF(LEN(INDEX('Aides'!$U$4:$U$503,240))=0,"",INDEX('Aides'!$U$4:$U$503,240))&amp;". "))</f>
        <v/>
      </c>
      <c r="I1243">
        <f>""</f>
        <v/>
      </c>
      <c r="J1243">
        <f>IF(LEN(INDEX('Aides'!$V$4:$V$503,240))=0,"",INDEX('Aides'!$V$4:$V$503,240))</f>
        <v/>
      </c>
    </row>
    <row r="1244">
      <c r="A1244">
        <f>IF(AND(LEN('Aides'!A244)&gt;0,ISNUMBER('Aides'!O244)),1,0)</f>
        <v/>
      </c>
      <c r="B1244">
        <f>B1243+A1244</f>
        <v/>
      </c>
      <c r="C1244">
        <f>IF(1241&gt;$B$1503,"",MATCH(1241-0.5,$B$3:$B$1503,1))</f>
        <v/>
      </c>
      <c r="D1244">
        <f>"In-service hours due – "&amp;IF(LEN(INDEX('Aides'!$A$4:$A$503,241))=0,"",INDEX('Aides'!$A$4:$A$503,241))</f>
        <v/>
      </c>
      <c r="E1244">
        <f>IF(ISNUMBER(INDEX('Aides'!$O$4:$O$503,241)),TEXT(INDEX('Aides'!$O$4:$O$503,241),"yyyy-mm-dd"),"")</f>
        <v/>
      </c>
      <c r="F1244">
        <f>"Training"</f>
        <v/>
      </c>
      <c r="G1244">
        <f>"Medium"</f>
        <v/>
      </c>
      <c r="H1244">
        <f>TRIM(IF(LEN(IF(LEN(INDEX('Aides'!$P$4:$P$503,241))=0,"",INDEX('Aides'!$P$4:$P$503,241)))=0,"","Hours done: "&amp;IF(LEN(INDEX('Aides'!$P$4:$P$503,241))=0,"",INDEX('Aides'!$P$4:$P$503,241))&amp;". ")&amp;IF(LEN(IF(LEN(INDEX('Aides'!$Q$4:$Q$503,241))=0,"",INDEX('Aides'!$Q$4:$Q$503,241)))=0,"","Target: "&amp;IF(LEN(INDEX('Aides'!$Q$4:$Q$503,241))=0,"",INDEX('Aides'!$Q$4:$Q$503,241))&amp;". ")&amp;IF(LEN(IF(LEN(INDEX('Aides'!$R$4:$R$503,241))=0,"",INDEX('Aides'!$R$4:$R$503,241)))=0,"","Hours still needed: "&amp;IF(LEN(INDEX('Aides'!$R$4:$R$503,241))=0,"",INDEX('Aides'!$R$4:$R$503,241))&amp;". ")&amp;IF(LEN(IF(LEN(INDEX('Aides'!$U$4:$U$503,241))=0,"",INDEX('Aides'!$U$4:$U$503,241)))=0,"","Owner: "&amp;IF(LEN(INDEX('Aides'!$U$4:$U$503,241))=0,"",INDEX('Aides'!$U$4:$U$503,241))&amp;". "))</f>
        <v/>
      </c>
      <c r="I1244">
        <f>""</f>
        <v/>
      </c>
      <c r="J1244">
        <f>IF(LEN(INDEX('Aides'!$V$4:$V$503,241))=0,"",INDEX('Aides'!$V$4:$V$503,241))</f>
        <v/>
      </c>
    </row>
    <row r="1245">
      <c r="A1245">
        <f>IF(AND(LEN('Aides'!A245)&gt;0,ISNUMBER('Aides'!O245)),1,0)</f>
        <v/>
      </c>
      <c r="B1245">
        <f>B1244+A1245</f>
        <v/>
      </c>
      <c r="C1245">
        <f>IF(1242&gt;$B$1503,"",MATCH(1242-0.5,$B$3:$B$1503,1))</f>
        <v/>
      </c>
      <c r="D1245">
        <f>"In-service hours due – "&amp;IF(LEN(INDEX('Aides'!$A$4:$A$503,242))=0,"",INDEX('Aides'!$A$4:$A$503,242))</f>
        <v/>
      </c>
      <c r="E1245">
        <f>IF(ISNUMBER(INDEX('Aides'!$O$4:$O$503,242)),TEXT(INDEX('Aides'!$O$4:$O$503,242),"yyyy-mm-dd"),"")</f>
        <v/>
      </c>
      <c r="F1245">
        <f>"Training"</f>
        <v/>
      </c>
      <c r="G1245">
        <f>"Medium"</f>
        <v/>
      </c>
      <c r="H1245">
        <f>TRIM(IF(LEN(IF(LEN(INDEX('Aides'!$P$4:$P$503,242))=0,"",INDEX('Aides'!$P$4:$P$503,242)))=0,"","Hours done: "&amp;IF(LEN(INDEX('Aides'!$P$4:$P$503,242))=0,"",INDEX('Aides'!$P$4:$P$503,242))&amp;". ")&amp;IF(LEN(IF(LEN(INDEX('Aides'!$Q$4:$Q$503,242))=0,"",INDEX('Aides'!$Q$4:$Q$503,242)))=0,"","Target: "&amp;IF(LEN(INDEX('Aides'!$Q$4:$Q$503,242))=0,"",INDEX('Aides'!$Q$4:$Q$503,242))&amp;". ")&amp;IF(LEN(IF(LEN(INDEX('Aides'!$R$4:$R$503,242))=0,"",INDEX('Aides'!$R$4:$R$503,242)))=0,"","Hours still needed: "&amp;IF(LEN(INDEX('Aides'!$R$4:$R$503,242))=0,"",INDEX('Aides'!$R$4:$R$503,242))&amp;". ")&amp;IF(LEN(IF(LEN(INDEX('Aides'!$U$4:$U$503,242))=0,"",INDEX('Aides'!$U$4:$U$503,242)))=0,"","Owner: "&amp;IF(LEN(INDEX('Aides'!$U$4:$U$503,242))=0,"",INDEX('Aides'!$U$4:$U$503,242))&amp;". "))</f>
        <v/>
      </c>
      <c r="I1245">
        <f>""</f>
        <v/>
      </c>
      <c r="J1245">
        <f>IF(LEN(INDEX('Aides'!$V$4:$V$503,242))=0,"",INDEX('Aides'!$V$4:$V$503,242))</f>
        <v/>
      </c>
    </row>
    <row r="1246">
      <c r="A1246">
        <f>IF(AND(LEN('Aides'!A246)&gt;0,ISNUMBER('Aides'!O246)),1,0)</f>
        <v/>
      </c>
      <c r="B1246">
        <f>B1245+A1246</f>
        <v/>
      </c>
      <c r="C1246">
        <f>IF(1243&gt;$B$1503,"",MATCH(1243-0.5,$B$3:$B$1503,1))</f>
        <v/>
      </c>
      <c r="D1246">
        <f>"In-service hours due – "&amp;IF(LEN(INDEX('Aides'!$A$4:$A$503,243))=0,"",INDEX('Aides'!$A$4:$A$503,243))</f>
        <v/>
      </c>
      <c r="E1246">
        <f>IF(ISNUMBER(INDEX('Aides'!$O$4:$O$503,243)),TEXT(INDEX('Aides'!$O$4:$O$503,243),"yyyy-mm-dd"),"")</f>
        <v/>
      </c>
      <c r="F1246">
        <f>"Training"</f>
        <v/>
      </c>
      <c r="G1246">
        <f>"Medium"</f>
        <v/>
      </c>
      <c r="H1246">
        <f>TRIM(IF(LEN(IF(LEN(INDEX('Aides'!$P$4:$P$503,243))=0,"",INDEX('Aides'!$P$4:$P$503,243)))=0,"","Hours done: "&amp;IF(LEN(INDEX('Aides'!$P$4:$P$503,243))=0,"",INDEX('Aides'!$P$4:$P$503,243))&amp;". ")&amp;IF(LEN(IF(LEN(INDEX('Aides'!$Q$4:$Q$503,243))=0,"",INDEX('Aides'!$Q$4:$Q$503,243)))=0,"","Target: "&amp;IF(LEN(INDEX('Aides'!$Q$4:$Q$503,243))=0,"",INDEX('Aides'!$Q$4:$Q$503,243))&amp;". ")&amp;IF(LEN(IF(LEN(INDEX('Aides'!$R$4:$R$503,243))=0,"",INDEX('Aides'!$R$4:$R$503,243)))=0,"","Hours still needed: "&amp;IF(LEN(INDEX('Aides'!$R$4:$R$503,243))=0,"",INDEX('Aides'!$R$4:$R$503,243))&amp;". ")&amp;IF(LEN(IF(LEN(INDEX('Aides'!$U$4:$U$503,243))=0,"",INDEX('Aides'!$U$4:$U$503,243)))=0,"","Owner: "&amp;IF(LEN(INDEX('Aides'!$U$4:$U$503,243))=0,"",INDEX('Aides'!$U$4:$U$503,243))&amp;". "))</f>
        <v/>
      </c>
      <c r="I1246">
        <f>""</f>
        <v/>
      </c>
      <c r="J1246">
        <f>IF(LEN(INDEX('Aides'!$V$4:$V$503,243))=0,"",INDEX('Aides'!$V$4:$V$503,243))</f>
        <v/>
      </c>
    </row>
    <row r="1247">
      <c r="A1247">
        <f>IF(AND(LEN('Aides'!A247)&gt;0,ISNUMBER('Aides'!O247)),1,0)</f>
        <v/>
      </c>
      <c r="B1247">
        <f>B1246+A1247</f>
        <v/>
      </c>
      <c r="C1247">
        <f>IF(1244&gt;$B$1503,"",MATCH(1244-0.5,$B$3:$B$1503,1))</f>
        <v/>
      </c>
      <c r="D1247">
        <f>"In-service hours due – "&amp;IF(LEN(INDEX('Aides'!$A$4:$A$503,244))=0,"",INDEX('Aides'!$A$4:$A$503,244))</f>
        <v/>
      </c>
      <c r="E1247">
        <f>IF(ISNUMBER(INDEX('Aides'!$O$4:$O$503,244)),TEXT(INDEX('Aides'!$O$4:$O$503,244),"yyyy-mm-dd"),"")</f>
        <v/>
      </c>
      <c r="F1247">
        <f>"Training"</f>
        <v/>
      </c>
      <c r="G1247">
        <f>"Medium"</f>
        <v/>
      </c>
      <c r="H1247">
        <f>TRIM(IF(LEN(IF(LEN(INDEX('Aides'!$P$4:$P$503,244))=0,"",INDEX('Aides'!$P$4:$P$503,244)))=0,"","Hours done: "&amp;IF(LEN(INDEX('Aides'!$P$4:$P$503,244))=0,"",INDEX('Aides'!$P$4:$P$503,244))&amp;". ")&amp;IF(LEN(IF(LEN(INDEX('Aides'!$Q$4:$Q$503,244))=0,"",INDEX('Aides'!$Q$4:$Q$503,244)))=0,"","Target: "&amp;IF(LEN(INDEX('Aides'!$Q$4:$Q$503,244))=0,"",INDEX('Aides'!$Q$4:$Q$503,244))&amp;". ")&amp;IF(LEN(IF(LEN(INDEX('Aides'!$R$4:$R$503,244))=0,"",INDEX('Aides'!$R$4:$R$503,244)))=0,"","Hours still needed: "&amp;IF(LEN(INDEX('Aides'!$R$4:$R$503,244))=0,"",INDEX('Aides'!$R$4:$R$503,244))&amp;". ")&amp;IF(LEN(IF(LEN(INDEX('Aides'!$U$4:$U$503,244))=0,"",INDEX('Aides'!$U$4:$U$503,244)))=0,"","Owner: "&amp;IF(LEN(INDEX('Aides'!$U$4:$U$503,244))=0,"",INDEX('Aides'!$U$4:$U$503,244))&amp;". "))</f>
        <v/>
      </c>
      <c r="I1247">
        <f>""</f>
        <v/>
      </c>
      <c r="J1247">
        <f>IF(LEN(INDEX('Aides'!$V$4:$V$503,244))=0,"",INDEX('Aides'!$V$4:$V$503,244))</f>
        <v/>
      </c>
    </row>
    <row r="1248">
      <c r="A1248">
        <f>IF(AND(LEN('Aides'!A248)&gt;0,ISNUMBER('Aides'!O248)),1,0)</f>
        <v/>
      </c>
      <c r="B1248">
        <f>B1247+A1248</f>
        <v/>
      </c>
      <c r="C1248">
        <f>IF(1245&gt;$B$1503,"",MATCH(1245-0.5,$B$3:$B$1503,1))</f>
        <v/>
      </c>
      <c r="D1248">
        <f>"In-service hours due – "&amp;IF(LEN(INDEX('Aides'!$A$4:$A$503,245))=0,"",INDEX('Aides'!$A$4:$A$503,245))</f>
        <v/>
      </c>
      <c r="E1248">
        <f>IF(ISNUMBER(INDEX('Aides'!$O$4:$O$503,245)),TEXT(INDEX('Aides'!$O$4:$O$503,245),"yyyy-mm-dd"),"")</f>
        <v/>
      </c>
      <c r="F1248">
        <f>"Training"</f>
        <v/>
      </c>
      <c r="G1248">
        <f>"Medium"</f>
        <v/>
      </c>
      <c r="H1248">
        <f>TRIM(IF(LEN(IF(LEN(INDEX('Aides'!$P$4:$P$503,245))=0,"",INDEX('Aides'!$P$4:$P$503,245)))=0,"","Hours done: "&amp;IF(LEN(INDEX('Aides'!$P$4:$P$503,245))=0,"",INDEX('Aides'!$P$4:$P$503,245))&amp;". ")&amp;IF(LEN(IF(LEN(INDEX('Aides'!$Q$4:$Q$503,245))=0,"",INDEX('Aides'!$Q$4:$Q$503,245)))=0,"","Target: "&amp;IF(LEN(INDEX('Aides'!$Q$4:$Q$503,245))=0,"",INDEX('Aides'!$Q$4:$Q$503,245))&amp;". ")&amp;IF(LEN(IF(LEN(INDEX('Aides'!$R$4:$R$503,245))=0,"",INDEX('Aides'!$R$4:$R$503,245)))=0,"","Hours still needed: "&amp;IF(LEN(INDEX('Aides'!$R$4:$R$503,245))=0,"",INDEX('Aides'!$R$4:$R$503,245))&amp;". ")&amp;IF(LEN(IF(LEN(INDEX('Aides'!$U$4:$U$503,245))=0,"",INDEX('Aides'!$U$4:$U$503,245)))=0,"","Owner: "&amp;IF(LEN(INDEX('Aides'!$U$4:$U$503,245))=0,"",INDEX('Aides'!$U$4:$U$503,245))&amp;". "))</f>
        <v/>
      </c>
      <c r="I1248">
        <f>""</f>
        <v/>
      </c>
      <c r="J1248">
        <f>IF(LEN(INDEX('Aides'!$V$4:$V$503,245))=0,"",INDEX('Aides'!$V$4:$V$503,245))</f>
        <v/>
      </c>
    </row>
    <row r="1249">
      <c r="A1249">
        <f>IF(AND(LEN('Aides'!A249)&gt;0,ISNUMBER('Aides'!O249)),1,0)</f>
        <v/>
      </c>
      <c r="B1249">
        <f>B1248+A1249</f>
        <v/>
      </c>
      <c r="C1249">
        <f>IF(1246&gt;$B$1503,"",MATCH(1246-0.5,$B$3:$B$1503,1))</f>
        <v/>
      </c>
      <c r="D1249">
        <f>"In-service hours due – "&amp;IF(LEN(INDEX('Aides'!$A$4:$A$503,246))=0,"",INDEX('Aides'!$A$4:$A$503,246))</f>
        <v/>
      </c>
      <c r="E1249">
        <f>IF(ISNUMBER(INDEX('Aides'!$O$4:$O$503,246)),TEXT(INDEX('Aides'!$O$4:$O$503,246),"yyyy-mm-dd"),"")</f>
        <v/>
      </c>
      <c r="F1249">
        <f>"Training"</f>
        <v/>
      </c>
      <c r="G1249">
        <f>"Medium"</f>
        <v/>
      </c>
      <c r="H1249">
        <f>TRIM(IF(LEN(IF(LEN(INDEX('Aides'!$P$4:$P$503,246))=0,"",INDEX('Aides'!$P$4:$P$503,246)))=0,"","Hours done: "&amp;IF(LEN(INDEX('Aides'!$P$4:$P$503,246))=0,"",INDEX('Aides'!$P$4:$P$503,246))&amp;". ")&amp;IF(LEN(IF(LEN(INDEX('Aides'!$Q$4:$Q$503,246))=0,"",INDEX('Aides'!$Q$4:$Q$503,246)))=0,"","Target: "&amp;IF(LEN(INDEX('Aides'!$Q$4:$Q$503,246))=0,"",INDEX('Aides'!$Q$4:$Q$503,246))&amp;". ")&amp;IF(LEN(IF(LEN(INDEX('Aides'!$R$4:$R$503,246))=0,"",INDEX('Aides'!$R$4:$R$503,246)))=0,"","Hours still needed: "&amp;IF(LEN(INDEX('Aides'!$R$4:$R$503,246))=0,"",INDEX('Aides'!$R$4:$R$503,246))&amp;". ")&amp;IF(LEN(IF(LEN(INDEX('Aides'!$U$4:$U$503,246))=0,"",INDEX('Aides'!$U$4:$U$503,246)))=0,"","Owner: "&amp;IF(LEN(INDEX('Aides'!$U$4:$U$503,246))=0,"",INDEX('Aides'!$U$4:$U$503,246))&amp;". "))</f>
        <v/>
      </c>
      <c r="I1249">
        <f>""</f>
        <v/>
      </c>
      <c r="J1249">
        <f>IF(LEN(INDEX('Aides'!$V$4:$V$503,246))=0,"",INDEX('Aides'!$V$4:$V$503,246))</f>
        <v/>
      </c>
    </row>
    <row r="1250">
      <c r="A1250">
        <f>IF(AND(LEN('Aides'!A250)&gt;0,ISNUMBER('Aides'!O250)),1,0)</f>
        <v/>
      </c>
      <c r="B1250">
        <f>B1249+A1250</f>
        <v/>
      </c>
      <c r="C1250">
        <f>IF(1247&gt;$B$1503,"",MATCH(1247-0.5,$B$3:$B$1503,1))</f>
        <v/>
      </c>
      <c r="D1250">
        <f>"In-service hours due – "&amp;IF(LEN(INDEX('Aides'!$A$4:$A$503,247))=0,"",INDEX('Aides'!$A$4:$A$503,247))</f>
        <v/>
      </c>
      <c r="E1250">
        <f>IF(ISNUMBER(INDEX('Aides'!$O$4:$O$503,247)),TEXT(INDEX('Aides'!$O$4:$O$503,247),"yyyy-mm-dd"),"")</f>
        <v/>
      </c>
      <c r="F1250">
        <f>"Training"</f>
        <v/>
      </c>
      <c r="G1250">
        <f>"Medium"</f>
        <v/>
      </c>
      <c r="H1250">
        <f>TRIM(IF(LEN(IF(LEN(INDEX('Aides'!$P$4:$P$503,247))=0,"",INDEX('Aides'!$P$4:$P$503,247)))=0,"","Hours done: "&amp;IF(LEN(INDEX('Aides'!$P$4:$P$503,247))=0,"",INDEX('Aides'!$P$4:$P$503,247))&amp;". ")&amp;IF(LEN(IF(LEN(INDEX('Aides'!$Q$4:$Q$503,247))=0,"",INDEX('Aides'!$Q$4:$Q$503,247)))=0,"","Target: "&amp;IF(LEN(INDEX('Aides'!$Q$4:$Q$503,247))=0,"",INDEX('Aides'!$Q$4:$Q$503,247))&amp;". ")&amp;IF(LEN(IF(LEN(INDEX('Aides'!$R$4:$R$503,247))=0,"",INDEX('Aides'!$R$4:$R$503,247)))=0,"","Hours still needed: "&amp;IF(LEN(INDEX('Aides'!$R$4:$R$503,247))=0,"",INDEX('Aides'!$R$4:$R$503,247))&amp;". ")&amp;IF(LEN(IF(LEN(INDEX('Aides'!$U$4:$U$503,247))=0,"",INDEX('Aides'!$U$4:$U$503,247)))=0,"","Owner: "&amp;IF(LEN(INDEX('Aides'!$U$4:$U$503,247))=0,"",INDEX('Aides'!$U$4:$U$503,247))&amp;". "))</f>
        <v/>
      </c>
      <c r="I1250">
        <f>""</f>
        <v/>
      </c>
      <c r="J1250">
        <f>IF(LEN(INDEX('Aides'!$V$4:$V$503,247))=0,"",INDEX('Aides'!$V$4:$V$503,247))</f>
        <v/>
      </c>
    </row>
    <row r="1251">
      <c r="A1251">
        <f>IF(AND(LEN('Aides'!A251)&gt;0,ISNUMBER('Aides'!O251)),1,0)</f>
        <v/>
      </c>
      <c r="B1251">
        <f>B1250+A1251</f>
        <v/>
      </c>
      <c r="C1251">
        <f>IF(1248&gt;$B$1503,"",MATCH(1248-0.5,$B$3:$B$1503,1))</f>
        <v/>
      </c>
      <c r="D1251">
        <f>"In-service hours due – "&amp;IF(LEN(INDEX('Aides'!$A$4:$A$503,248))=0,"",INDEX('Aides'!$A$4:$A$503,248))</f>
        <v/>
      </c>
      <c r="E1251">
        <f>IF(ISNUMBER(INDEX('Aides'!$O$4:$O$503,248)),TEXT(INDEX('Aides'!$O$4:$O$503,248),"yyyy-mm-dd"),"")</f>
        <v/>
      </c>
      <c r="F1251">
        <f>"Training"</f>
        <v/>
      </c>
      <c r="G1251">
        <f>"Medium"</f>
        <v/>
      </c>
      <c r="H1251">
        <f>TRIM(IF(LEN(IF(LEN(INDEX('Aides'!$P$4:$P$503,248))=0,"",INDEX('Aides'!$P$4:$P$503,248)))=0,"","Hours done: "&amp;IF(LEN(INDEX('Aides'!$P$4:$P$503,248))=0,"",INDEX('Aides'!$P$4:$P$503,248))&amp;". ")&amp;IF(LEN(IF(LEN(INDEX('Aides'!$Q$4:$Q$503,248))=0,"",INDEX('Aides'!$Q$4:$Q$503,248)))=0,"","Target: "&amp;IF(LEN(INDEX('Aides'!$Q$4:$Q$503,248))=0,"",INDEX('Aides'!$Q$4:$Q$503,248))&amp;". ")&amp;IF(LEN(IF(LEN(INDEX('Aides'!$R$4:$R$503,248))=0,"",INDEX('Aides'!$R$4:$R$503,248)))=0,"","Hours still needed: "&amp;IF(LEN(INDEX('Aides'!$R$4:$R$503,248))=0,"",INDEX('Aides'!$R$4:$R$503,248))&amp;". ")&amp;IF(LEN(IF(LEN(INDEX('Aides'!$U$4:$U$503,248))=0,"",INDEX('Aides'!$U$4:$U$503,248)))=0,"","Owner: "&amp;IF(LEN(INDEX('Aides'!$U$4:$U$503,248))=0,"",INDEX('Aides'!$U$4:$U$503,248))&amp;". "))</f>
        <v/>
      </c>
      <c r="I1251">
        <f>""</f>
        <v/>
      </c>
      <c r="J1251">
        <f>IF(LEN(INDEX('Aides'!$V$4:$V$503,248))=0,"",INDEX('Aides'!$V$4:$V$503,248))</f>
        <v/>
      </c>
    </row>
    <row r="1252">
      <c r="A1252">
        <f>IF(AND(LEN('Aides'!A252)&gt;0,ISNUMBER('Aides'!O252)),1,0)</f>
        <v/>
      </c>
      <c r="B1252">
        <f>B1251+A1252</f>
        <v/>
      </c>
      <c r="C1252">
        <f>IF(1249&gt;$B$1503,"",MATCH(1249-0.5,$B$3:$B$1503,1))</f>
        <v/>
      </c>
      <c r="D1252">
        <f>"In-service hours due – "&amp;IF(LEN(INDEX('Aides'!$A$4:$A$503,249))=0,"",INDEX('Aides'!$A$4:$A$503,249))</f>
        <v/>
      </c>
      <c r="E1252">
        <f>IF(ISNUMBER(INDEX('Aides'!$O$4:$O$503,249)),TEXT(INDEX('Aides'!$O$4:$O$503,249),"yyyy-mm-dd"),"")</f>
        <v/>
      </c>
      <c r="F1252">
        <f>"Training"</f>
        <v/>
      </c>
      <c r="G1252">
        <f>"Medium"</f>
        <v/>
      </c>
      <c r="H1252">
        <f>TRIM(IF(LEN(IF(LEN(INDEX('Aides'!$P$4:$P$503,249))=0,"",INDEX('Aides'!$P$4:$P$503,249)))=0,"","Hours done: "&amp;IF(LEN(INDEX('Aides'!$P$4:$P$503,249))=0,"",INDEX('Aides'!$P$4:$P$503,249))&amp;". ")&amp;IF(LEN(IF(LEN(INDEX('Aides'!$Q$4:$Q$503,249))=0,"",INDEX('Aides'!$Q$4:$Q$503,249)))=0,"","Target: "&amp;IF(LEN(INDEX('Aides'!$Q$4:$Q$503,249))=0,"",INDEX('Aides'!$Q$4:$Q$503,249))&amp;". ")&amp;IF(LEN(IF(LEN(INDEX('Aides'!$R$4:$R$503,249))=0,"",INDEX('Aides'!$R$4:$R$503,249)))=0,"","Hours still needed: "&amp;IF(LEN(INDEX('Aides'!$R$4:$R$503,249))=0,"",INDEX('Aides'!$R$4:$R$503,249))&amp;". ")&amp;IF(LEN(IF(LEN(INDEX('Aides'!$U$4:$U$503,249))=0,"",INDEX('Aides'!$U$4:$U$503,249)))=0,"","Owner: "&amp;IF(LEN(INDEX('Aides'!$U$4:$U$503,249))=0,"",INDEX('Aides'!$U$4:$U$503,249))&amp;". "))</f>
        <v/>
      </c>
      <c r="I1252">
        <f>""</f>
        <v/>
      </c>
      <c r="J1252">
        <f>IF(LEN(INDEX('Aides'!$V$4:$V$503,249))=0,"",INDEX('Aides'!$V$4:$V$503,249))</f>
        <v/>
      </c>
    </row>
    <row r="1253">
      <c r="A1253">
        <f>IF(AND(LEN('Aides'!A253)&gt;0,ISNUMBER('Aides'!O253)),1,0)</f>
        <v/>
      </c>
      <c r="B1253">
        <f>B1252+A1253</f>
        <v/>
      </c>
      <c r="C1253">
        <f>IF(1250&gt;$B$1503,"",MATCH(1250-0.5,$B$3:$B$1503,1))</f>
        <v/>
      </c>
      <c r="D1253">
        <f>"In-service hours due – "&amp;IF(LEN(INDEX('Aides'!$A$4:$A$503,250))=0,"",INDEX('Aides'!$A$4:$A$503,250))</f>
        <v/>
      </c>
      <c r="E1253">
        <f>IF(ISNUMBER(INDEX('Aides'!$O$4:$O$503,250)),TEXT(INDEX('Aides'!$O$4:$O$503,250),"yyyy-mm-dd"),"")</f>
        <v/>
      </c>
      <c r="F1253">
        <f>"Training"</f>
        <v/>
      </c>
      <c r="G1253">
        <f>"Medium"</f>
        <v/>
      </c>
      <c r="H1253">
        <f>TRIM(IF(LEN(IF(LEN(INDEX('Aides'!$P$4:$P$503,250))=0,"",INDEX('Aides'!$P$4:$P$503,250)))=0,"","Hours done: "&amp;IF(LEN(INDEX('Aides'!$P$4:$P$503,250))=0,"",INDEX('Aides'!$P$4:$P$503,250))&amp;". ")&amp;IF(LEN(IF(LEN(INDEX('Aides'!$Q$4:$Q$503,250))=0,"",INDEX('Aides'!$Q$4:$Q$503,250)))=0,"","Target: "&amp;IF(LEN(INDEX('Aides'!$Q$4:$Q$503,250))=0,"",INDEX('Aides'!$Q$4:$Q$503,250))&amp;". ")&amp;IF(LEN(IF(LEN(INDEX('Aides'!$R$4:$R$503,250))=0,"",INDEX('Aides'!$R$4:$R$503,250)))=0,"","Hours still needed: "&amp;IF(LEN(INDEX('Aides'!$R$4:$R$503,250))=0,"",INDEX('Aides'!$R$4:$R$503,250))&amp;". ")&amp;IF(LEN(IF(LEN(INDEX('Aides'!$U$4:$U$503,250))=0,"",INDEX('Aides'!$U$4:$U$503,250)))=0,"","Owner: "&amp;IF(LEN(INDEX('Aides'!$U$4:$U$503,250))=0,"",INDEX('Aides'!$U$4:$U$503,250))&amp;". "))</f>
        <v/>
      </c>
      <c r="I1253">
        <f>""</f>
        <v/>
      </c>
      <c r="J1253">
        <f>IF(LEN(INDEX('Aides'!$V$4:$V$503,250))=0,"",INDEX('Aides'!$V$4:$V$503,250))</f>
        <v/>
      </c>
    </row>
    <row r="1254">
      <c r="A1254">
        <f>IF(AND(LEN('Aides'!A254)&gt;0,ISNUMBER('Aides'!O254)),1,0)</f>
        <v/>
      </c>
      <c r="B1254">
        <f>B1253+A1254</f>
        <v/>
      </c>
      <c r="C1254">
        <f>IF(1251&gt;$B$1503,"",MATCH(1251-0.5,$B$3:$B$1503,1))</f>
        <v/>
      </c>
      <c r="D1254">
        <f>"In-service hours due – "&amp;IF(LEN(INDEX('Aides'!$A$4:$A$503,251))=0,"",INDEX('Aides'!$A$4:$A$503,251))</f>
        <v/>
      </c>
      <c r="E1254">
        <f>IF(ISNUMBER(INDEX('Aides'!$O$4:$O$503,251)),TEXT(INDEX('Aides'!$O$4:$O$503,251),"yyyy-mm-dd"),"")</f>
        <v/>
      </c>
      <c r="F1254">
        <f>"Training"</f>
        <v/>
      </c>
      <c r="G1254">
        <f>"Medium"</f>
        <v/>
      </c>
      <c r="H1254">
        <f>TRIM(IF(LEN(IF(LEN(INDEX('Aides'!$P$4:$P$503,251))=0,"",INDEX('Aides'!$P$4:$P$503,251)))=0,"","Hours done: "&amp;IF(LEN(INDEX('Aides'!$P$4:$P$503,251))=0,"",INDEX('Aides'!$P$4:$P$503,251))&amp;". ")&amp;IF(LEN(IF(LEN(INDEX('Aides'!$Q$4:$Q$503,251))=0,"",INDEX('Aides'!$Q$4:$Q$503,251)))=0,"","Target: "&amp;IF(LEN(INDEX('Aides'!$Q$4:$Q$503,251))=0,"",INDEX('Aides'!$Q$4:$Q$503,251))&amp;". ")&amp;IF(LEN(IF(LEN(INDEX('Aides'!$R$4:$R$503,251))=0,"",INDEX('Aides'!$R$4:$R$503,251)))=0,"","Hours still needed: "&amp;IF(LEN(INDEX('Aides'!$R$4:$R$503,251))=0,"",INDEX('Aides'!$R$4:$R$503,251))&amp;". ")&amp;IF(LEN(IF(LEN(INDEX('Aides'!$U$4:$U$503,251))=0,"",INDEX('Aides'!$U$4:$U$503,251)))=0,"","Owner: "&amp;IF(LEN(INDEX('Aides'!$U$4:$U$503,251))=0,"",INDEX('Aides'!$U$4:$U$503,251))&amp;". "))</f>
        <v/>
      </c>
      <c r="I1254">
        <f>""</f>
        <v/>
      </c>
      <c r="J1254">
        <f>IF(LEN(INDEX('Aides'!$V$4:$V$503,251))=0,"",INDEX('Aides'!$V$4:$V$503,251))</f>
        <v/>
      </c>
    </row>
    <row r="1255">
      <c r="A1255">
        <f>IF(AND(LEN('Aides'!A255)&gt;0,ISNUMBER('Aides'!O255)),1,0)</f>
        <v/>
      </c>
      <c r="B1255">
        <f>B1254+A1255</f>
        <v/>
      </c>
      <c r="C1255">
        <f>IF(1252&gt;$B$1503,"",MATCH(1252-0.5,$B$3:$B$1503,1))</f>
        <v/>
      </c>
      <c r="D1255">
        <f>"In-service hours due – "&amp;IF(LEN(INDEX('Aides'!$A$4:$A$503,252))=0,"",INDEX('Aides'!$A$4:$A$503,252))</f>
        <v/>
      </c>
      <c r="E1255">
        <f>IF(ISNUMBER(INDEX('Aides'!$O$4:$O$503,252)),TEXT(INDEX('Aides'!$O$4:$O$503,252),"yyyy-mm-dd"),"")</f>
        <v/>
      </c>
      <c r="F1255">
        <f>"Training"</f>
        <v/>
      </c>
      <c r="G1255">
        <f>"Medium"</f>
        <v/>
      </c>
      <c r="H1255">
        <f>TRIM(IF(LEN(IF(LEN(INDEX('Aides'!$P$4:$P$503,252))=0,"",INDEX('Aides'!$P$4:$P$503,252)))=0,"","Hours done: "&amp;IF(LEN(INDEX('Aides'!$P$4:$P$503,252))=0,"",INDEX('Aides'!$P$4:$P$503,252))&amp;". ")&amp;IF(LEN(IF(LEN(INDEX('Aides'!$Q$4:$Q$503,252))=0,"",INDEX('Aides'!$Q$4:$Q$503,252)))=0,"","Target: "&amp;IF(LEN(INDEX('Aides'!$Q$4:$Q$503,252))=0,"",INDEX('Aides'!$Q$4:$Q$503,252))&amp;". ")&amp;IF(LEN(IF(LEN(INDEX('Aides'!$R$4:$R$503,252))=0,"",INDEX('Aides'!$R$4:$R$503,252)))=0,"","Hours still needed: "&amp;IF(LEN(INDEX('Aides'!$R$4:$R$503,252))=0,"",INDEX('Aides'!$R$4:$R$503,252))&amp;". ")&amp;IF(LEN(IF(LEN(INDEX('Aides'!$U$4:$U$503,252))=0,"",INDEX('Aides'!$U$4:$U$503,252)))=0,"","Owner: "&amp;IF(LEN(INDEX('Aides'!$U$4:$U$503,252))=0,"",INDEX('Aides'!$U$4:$U$503,252))&amp;". "))</f>
        <v/>
      </c>
      <c r="I1255">
        <f>""</f>
        <v/>
      </c>
      <c r="J1255">
        <f>IF(LEN(INDEX('Aides'!$V$4:$V$503,252))=0,"",INDEX('Aides'!$V$4:$V$503,252))</f>
        <v/>
      </c>
    </row>
    <row r="1256">
      <c r="A1256">
        <f>IF(AND(LEN('Aides'!A256)&gt;0,ISNUMBER('Aides'!O256)),1,0)</f>
        <v/>
      </c>
      <c r="B1256">
        <f>B1255+A1256</f>
        <v/>
      </c>
      <c r="C1256">
        <f>IF(1253&gt;$B$1503,"",MATCH(1253-0.5,$B$3:$B$1503,1))</f>
        <v/>
      </c>
      <c r="D1256">
        <f>"In-service hours due – "&amp;IF(LEN(INDEX('Aides'!$A$4:$A$503,253))=0,"",INDEX('Aides'!$A$4:$A$503,253))</f>
        <v/>
      </c>
      <c r="E1256">
        <f>IF(ISNUMBER(INDEX('Aides'!$O$4:$O$503,253)),TEXT(INDEX('Aides'!$O$4:$O$503,253),"yyyy-mm-dd"),"")</f>
        <v/>
      </c>
      <c r="F1256">
        <f>"Training"</f>
        <v/>
      </c>
      <c r="G1256">
        <f>"Medium"</f>
        <v/>
      </c>
      <c r="H1256">
        <f>TRIM(IF(LEN(IF(LEN(INDEX('Aides'!$P$4:$P$503,253))=0,"",INDEX('Aides'!$P$4:$P$503,253)))=0,"","Hours done: "&amp;IF(LEN(INDEX('Aides'!$P$4:$P$503,253))=0,"",INDEX('Aides'!$P$4:$P$503,253))&amp;". ")&amp;IF(LEN(IF(LEN(INDEX('Aides'!$Q$4:$Q$503,253))=0,"",INDEX('Aides'!$Q$4:$Q$503,253)))=0,"","Target: "&amp;IF(LEN(INDEX('Aides'!$Q$4:$Q$503,253))=0,"",INDEX('Aides'!$Q$4:$Q$503,253))&amp;". ")&amp;IF(LEN(IF(LEN(INDEX('Aides'!$R$4:$R$503,253))=0,"",INDEX('Aides'!$R$4:$R$503,253)))=0,"","Hours still needed: "&amp;IF(LEN(INDEX('Aides'!$R$4:$R$503,253))=0,"",INDEX('Aides'!$R$4:$R$503,253))&amp;". ")&amp;IF(LEN(IF(LEN(INDEX('Aides'!$U$4:$U$503,253))=0,"",INDEX('Aides'!$U$4:$U$503,253)))=0,"","Owner: "&amp;IF(LEN(INDEX('Aides'!$U$4:$U$503,253))=0,"",INDEX('Aides'!$U$4:$U$503,253))&amp;". "))</f>
        <v/>
      </c>
      <c r="I1256">
        <f>""</f>
        <v/>
      </c>
      <c r="J1256">
        <f>IF(LEN(INDEX('Aides'!$V$4:$V$503,253))=0,"",INDEX('Aides'!$V$4:$V$503,253))</f>
        <v/>
      </c>
    </row>
    <row r="1257">
      <c r="A1257">
        <f>IF(AND(LEN('Aides'!A257)&gt;0,ISNUMBER('Aides'!O257)),1,0)</f>
        <v/>
      </c>
      <c r="B1257">
        <f>B1256+A1257</f>
        <v/>
      </c>
      <c r="C1257">
        <f>IF(1254&gt;$B$1503,"",MATCH(1254-0.5,$B$3:$B$1503,1))</f>
        <v/>
      </c>
      <c r="D1257">
        <f>"In-service hours due – "&amp;IF(LEN(INDEX('Aides'!$A$4:$A$503,254))=0,"",INDEX('Aides'!$A$4:$A$503,254))</f>
        <v/>
      </c>
      <c r="E1257">
        <f>IF(ISNUMBER(INDEX('Aides'!$O$4:$O$503,254)),TEXT(INDEX('Aides'!$O$4:$O$503,254),"yyyy-mm-dd"),"")</f>
        <v/>
      </c>
      <c r="F1257">
        <f>"Training"</f>
        <v/>
      </c>
      <c r="G1257">
        <f>"Medium"</f>
        <v/>
      </c>
      <c r="H1257">
        <f>TRIM(IF(LEN(IF(LEN(INDEX('Aides'!$P$4:$P$503,254))=0,"",INDEX('Aides'!$P$4:$P$503,254)))=0,"","Hours done: "&amp;IF(LEN(INDEX('Aides'!$P$4:$P$503,254))=0,"",INDEX('Aides'!$P$4:$P$503,254))&amp;". ")&amp;IF(LEN(IF(LEN(INDEX('Aides'!$Q$4:$Q$503,254))=0,"",INDEX('Aides'!$Q$4:$Q$503,254)))=0,"","Target: "&amp;IF(LEN(INDEX('Aides'!$Q$4:$Q$503,254))=0,"",INDEX('Aides'!$Q$4:$Q$503,254))&amp;". ")&amp;IF(LEN(IF(LEN(INDEX('Aides'!$R$4:$R$503,254))=0,"",INDEX('Aides'!$R$4:$R$503,254)))=0,"","Hours still needed: "&amp;IF(LEN(INDEX('Aides'!$R$4:$R$503,254))=0,"",INDEX('Aides'!$R$4:$R$503,254))&amp;". ")&amp;IF(LEN(IF(LEN(INDEX('Aides'!$U$4:$U$503,254))=0,"",INDEX('Aides'!$U$4:$U$503,254)))=0,"","Owner: "&amp;IF(LEN(INDEX('Aides'!$U$4:$U$503,254))=0,"",INDEX('Aides'!$U$4:$U$503,254))&amp;". "))</f>
        <v/>
      </c>
      <c r="I1257">
        <f>""</f>
        <v/>
      </c>
      <c r="J1257">
        <f>IF(LEN(INDEX('Aides'!$V$4:$V$503,254))=0,"",INDEX('Aides'!$V$4:$V$503,254))</f>
        <v/>
      </c>
    </row>
    <row r="1258">
      <c r="A1258">
        <f>IF(AND(LEN('Aides'!A258)&gt;0,ISNUMBER('Aides'!O258)),1,0)</f>
        <v/>
      </c>
      <c r="B1258">
        <f>B1257+A1258</f>
        <v/>
      </c>
      <c r="C1258">
        <f>IF(1255&gt;$B$1503,"",MATCH(1255-0.5,$B$3:$B$1503,1))</f>
        <v/>
      </c>
      <c r="D1258">
        <f>"In-service hours due – "&amp;IF(LEN(INDEX('Aides'!$A$4:$A$503,255))=0,"",INDEX('Aides'!$A$4:$A$503,255))</f>
        <v/>
      </c>
      <c r="E1258">
        <f>IF(ISNUMBER(INDEX('Aides'!$O$4:$O$503,255)),TEXT(INDEX('Aides'!$O$4:$O$503,255),"yyyy-mm-dd"),"")</f>
        <v/>
      </c>
      <c r="F1258">
        <f>"Training"</f>
        <v/>
      </c>
      <c r="G1258">
        <f>"Medium"</f>
        <v/>
      </c>
      <c r="H1258">
        <f>TRIM(IF(LEN(IF(LEN(INDEX('Aides'!$P$4:$P$503,255))=0,"",INDEX('Aides'!$P$4:$P$503,255)))=0,"","Hours done: "&amp;IF(LEN(INDEX('Aides'!$P$4:$P$503,255))=0,"",INDEX('Aides'!$P$4:$P$503,255))&amp;". ")&amp;IF(LEN(IF(LEN(INDEX('Aides'!$Q$4:$Q$503,255))=0,"",INDEX('Aides'!$Q$4:$Q$503,255)))=0,"","Target: "&amp;IF(LEN(INDEX('Aides'!$Q$4:$Q$503,255))=0,"",INDEX('Aides'!$Q$4:$Q$503,255))&amp;". ")&amp;IF(LEN(IF(LEN(INDEX('Aides'!$R$4:$R$503,255))=0,"",INDEX('Aides'!$R$4:$R$503,255)))=0,"","Hours still needed: "&amp;IF(LEN(INDEX('Aides'!$R$4:$R$503,255))=0,"",INDEX('Aides'!$R$4:$R$503,255))&amp;". ")&amp;IF(LEN(IF(LEN(INDEX('Aides'!$U$4:$U$503,255))=0,"",INDEX('Aides'!$U$4:$U$503,255)))=0,"","Owner: "&amp;IF(LEN(INDEX('Aides'!$U$4:$U$503,255))=0,"",INDEX('Aides'!$U$4:$U$503,255))&amp;". "))</f>
        <v/>
      </c>
      <c r="I1258">
        <f>""</f>
        <v/>
      </c>
      <c r="J1258">
        <f>IF(LEN(INDEX('Aides'!$V$4:$V$503,255))=0,"",INDEX('Aides'!$V$4:$V$503,255))</f>
        <v/>
      </c>
    </row>
    <row r="1259">
      <c r="A1259">
        <f>IF(AND(LEN('Aides'!A259)&gt;0,ISNUMBER('Aides'!O259)),1,0)</f>
        <v/>
      </c>
      <c r="B1259">
        <f>B1258+A1259</f>
        <v/>
      </c>
      <c r="C1259">
        <f>IF(1256&gt;$B$1503,"",MATCH(1256-0.5,$B$3:$B$1503,1))</f>
        <v/>
      </c>
      <c r="D1259">
        <f>"In-service hours due – "&amp;IF(LEN(INDEX('Aides'!$A$4:$A$503,256))=0,"",INDEX('Aides'!$A$4:$A$503,256))</f>
        <v/>
      </c>
      <c r="E1259">
        <f>IF(ISNUMBER(INDEX('Aides'!$O$4:$O$503,256)),TEXT(INDEX('Aides'!$O$4:$O$503,256),"yyyy-mm-dd"),"")</f>
        <v/>
      </c>
      <c r="F1259">
        <f>"Training"</f>
        <v/>
      </c>
      <c r="G1259">
        <f>"Medium"</f>
        <v/>
      </c>
      <c r="H1259">
        <f>TRIM(IF(LEN(IF(LEN(INDEX('Aides'!$P$4:$P$503,256))=0,"",INDEX('Aides'!$P$4:$P$503,256)))=0,"","Hours done: "&amp;IF(LEN(INDEX('Aides'!$P$4:$P$503,256))=0,"",INDEX('Aides'!$P$4:$P$503,256))&amp;". ")&amp;IF(LEN(IF(LEN(INDEX('Aides'!$Q$4:$Q$503,256))=0,"",INDEX('Aides'!$Q$4:$Q$503,256)))=0,"","Target: "&amp;IF(LEN(INDEX('Aides'!$Q$4:$Q$503,256))=0,"",INDEX('Aides'!$Q$4:$Q$503,256))&amp;". ")&amp;IF(LEN(IF(LEN(INDEX('Aides'!$R$4:$R$503,256))=0,"",INDEX('Aides'!$R$4:$R$503,256)))=0,"","Hours still needed: "&amp;IF(LEN(INDEX('Aides'!$R$4:$R$503,256))=0,"",INDEX('Aides'!$R$4:$R$503,256))&amp;". ")&amp;IF(LEN(IF(LEN(INDEX('Aides'!$U$4:$U$503,256))=0,"",INDEX('Aides'!$U$4:$U$503,256)))=0,"","Owner: "&amp;IF(LEN(INDEX('Aides'!$U$4:$U$503,256))=0,"",INDEX('Aides'!$U$4:$U$503,256))&amp;". "))</f>
        <v/>
      </c>
      <c r="I1259">
        <f>""</f>
        <v/>
      </c>
      <c r="J1259">
        <f>IF(LEN(INDEX('Aides'!$V$4:$V$503,256))=0,"",INDEX('Aides'!$V$4:$V$503,256))</f>
        <v/>
      </c>
    </row>
    <row r="1260">
      <c r="A1260">
        <f>IF(AND(LEN('Aides'!A260)&gt;0,ISNUMBER('Aides'!O260)),1,0)</f>
        <v/>
      </c>
      <c r="B1260">
        <f>B1259+A1260</f>
        <v/>
      </c>
      <c r="C1260">
        <f>IF(1257&gt;$B$1503,"",MATCH(1257-0.5,$B$3:$B$1503,1))</f>
        <v/>
      </c>
      <c r="D1260">
        <f>"In-service hours due – "&amp;IF(LEN(INDEX('Aides'!$A$4:$A$503,257))=0,"",INDEX('Aides'!$A$4:$A$503,257))</f>
        <v/>
      </c>
      <c r="E1260">
        <f>IF(ISNUMBER(INDEX('Aides'!$O$4:$O$503,257)),TEXT(INDEX('Aides'!$O$4:$O$503,257),"yyyy-mm-dd"),"")</f>
        <v/>
      </c>
      <c r="F1260">
        <f>"Training"</f>
        <v/>
      </c>
      <c r="G1260">
        <f>"Medium"</f>
        <v/>
      </c>
      <c r="H1260">
        <f>TRIM(IF(LEN(IF(LEN(INDEX('Aides'!$P$4:$P$503,257))=0,"",INDEX('Aides'!$P$4:$P$503,257)))=0,"","Hours done: "&amp;IF(LEN(INDEX('Aides'!$P$4:$P$503,257))=0,"",INDEX('Aides'!$P$4:$P$503,257))&amp;". ")&amp;IF(LEN(IF(LEN(INDEX('Aides'!$Q$4:$Q$503,257))=0,"",INDEX('Aides'!$Q$4:$Q$503,257)))=0,"","Target: "&amp;IF(LEN(INDEX('Aides'!$Q$4:$Q$503,257))=0,"",INDEX('Aides'!$Q$4:$Q$503,257))&amp;". ")&amp;IF(LEN(IF(LEN(INDEX('Aides'!$R$4:$R$503,257))=0,"",INDEX('Aides'!$R$4:$R$503,257)))=0,"","Hours still needed: "&amp;IF(LEN(INDEX('Aides'!$R$4:$R$503,257))=0,"",INDEX('Aides'!$R$4:$R$503,257))&amp;". ")&amp;IF(LEN(IF(LEN(INDEX('Aides'!$U$4:$U$503,257))=0,"",INDEX('Aides'!$U$4:$U$503,257)))=0,"","Owner: "&amp;IF(LEN(INDEX('Aides'!$U$4:$U$503,257))=0,"",INDEX('Aides'!$U$4:$U$503,257))&amp;". "))</f>
        <v/>
      </c>
      <c r="I1260">
        <f>""</f>
        <v/>
      </c>
      <c r="J1260">
        <f>IF(LEN(INDEX('Aides'!$V$4:$V$503,257))=0,"",INDEX('Aides'!$V$4:$V$503,257))</f>
        <v/>
      </c>
    </row>
    <row r="1261">
      <c r="A1261">
        <f>IF(AND(LEN('Aides'!A261)&gt;0,ISNUMBER('Aides'!O261)),1,0)</f>
        <v/>
      </c>
      <c r="B1261">
        <f>B1260+A1261</f>
        <v/>
      </c>
      <c r="C1261">
        <f>IF(1258&gt;$B$1503,"",MATCH(1258-0.5,$B$3:$B$1503,1))</f>
        <v/>
      </c>
      <c r="D1261">
        <f>"In-service hours due – "&amp;IF(LEN(INDEX('Aides'!$A$4:$A$503,258))=0,"",INDEX('Aides'!$A$4:$A$503,258))</f>
        <v/>
      </c>
      <c r="E1261">
        <f>IF(ISNUMBER(INDEX('Aides'!$O$4:$O$503,258)),TEXT(INDEX('Aides'!$O$4:$O$503,258),"yyyy-mm-dd"),"")</f>
        <v/>
      </c>
      <c r="F1261">
        <f>"Training"</f>
        <v/>
      </c>
      <c r="G1261">
        <f>"Medium"</f>
        <v/>
      </c>
      <c r="H1261">
        <f>TRIM(IF(LEN(IF(LEN(INDEX('Aides'!$P$4:$P$503,258))=0,"",INDEX('Aides'!$P$4:$P$503,258)))=0,"","Hours done: "&amp;IF(LEN(INDEX('Aides'!$P$4:$P$503,258))=0,"",INDEX('Aides'!$P$4:$P$503,258))&amp;". ")&amp;IF(LEN(IF(LEN(INDEX('Aides'!$Q$4:$Q$503,258))=0,"",INDEX('Aides'!$Q$4:$Q$503,258)))=0,"","Target: "&amp;IF(LEN(INDEX('Aides'!$Q$4:$Q$503,258))=0,"",INDEX('Aides'!$Q$4:$Q$503,258))&amp;". ")&amp;IF(LEN(IF(LEN(INDEX('Aides'!$R$4:$R$503,258))=0,"",INDEX('Aides'!$R$4:$R$503,258)))=0,"","Hours still needed: "&amp;IF(LEN(INDEX('Aides'!$R$4:$R$503,258))=0,"",INDEX('Aides'!$R$4:$R$503,258))&amp;". ")&amp;IF(LEN(IF(LEN(INDEX('Aides'!$U$4:$U$503,258))=0,"",INDEX('Aides'!$U$4:$U$503,258)))=0,"","Owner: "&amp;IF(LEN(INDEX('Aides'!$U$4:$U$503,258))=0,"",INDEX('Aides'!$U$4:$U$503,258))&amp;". "))</f>
        <v/>
      </c>
      <c r="I1261">
        <f>""</f>
        <v/>
      </c>
      <c r="J1261">
        <f>IF(LEN(INDEX('Aides'!$V$4:$V$503,258))=0,"",INDEX('Aides'!$V$4:$V$503,258))</f>
        <v/>
      </c>
    </row>
    <row r="1262">
      <c r="A1262">
        <f>IF(AND(LEN('Aides'!A262)&gt;0,ISNUMBER('Aides'!O262)),1,0)</f>
        <v/>
      </c>
      <c r="B1262">
        <f>B1261+A1262</f>
        <v/>
      </c>
      <c r="C1262">
        <f>IF(1259&gt;$B$1503,"",MATCH(1259-0.5,$B$3:$B$1503,1))</f>
        <v/>
      </c>
      <c r="D1262">
        <f>"In-service hours due – "&amp;IF(LEN(INDEX('Aides'!$A$4:$A$503,259))=0,"",INDEX('Aides'!$A$4:$A$503,259))</f>
        <v/>
      </c>
      <c r="E1262">
        <f>IF(ISNUMBER(INDEX('Aides'!$O$4:$O$503,259)),TEXT(INDEX('Aides'!$O$4:$O$503,259),"yyyy-mm-dd"),"")</f>
        <v/>
      </c>
      <c r="F1262">
        <f>"Training"</f>
        <v/>
      </c>
      <c r="G1262">
        <f>"Medium"</f>
        <v/>
      </c>
      <c r="H1262">
        <f>TRIM(IF(LEN(IF(LEN(INDEX('Aides'!$P$4:$P$503,259))=0,"",INDEX('Aides'!$P$4:$P$503,259)))=0,"","Hours done: "&amp;IF(LEN(INDEX('Aides'!$P$4:$P$503,259))=0,"",INDEX('Aides'!$P$4:$P$503,259))&amp;". ")&amp;IF(LEN(IF(LEN(INDEX('Aides'!$Q$4:$Q$503,259))=0,"",INDEX('Aides'!$Q$4:$Q$503,259)))=0,"","Target: "&amp;IF(LEN(INDEX('Aides'!$Q$4:$Q$503,259))=0,"",INDEX('Aides'!$Q$4:$Q$503,259))&amp;". ")&amp;IF(LEN(IF(LEN(INDEX('Aides'!$R$4:$R$503,259))=0,"",INDEX('Aides'!$R$4:$R$503,259)))=0,"","Hours still needed: "&amp;IF(LEN(INDEX('Aides'!$R$4:$R$503,259))=0,"",INDEX('Aides'!$R$4:$R$503,259))&amp;". ")&amp;IF(LEN(IF(LEN(INDEX('Aides'!$U$4:$U$503,259))=0,"",INDEX('Aides'!$U$4:$U$503,259)))=0,"","Owner: "&amp;IF(LEN(INDEX('Aides'!$U$4:$U$503,259))=0,"",INDEX('Aides'!$U$4:$U$503,259))&amp;". "))</f>
        <v/>
      </c>
      <c r="I1262">
        <f>""</f>
        <v/>
      </c>
      <c r="J1262">
        <f>IF(LEN(INDEX('Aides'!$V$4:$V$503,259))=0,"",INDEX('Aides'!$V$4:$V$503,259))</f>
        <v/>
      </c>
    </row>
    <row r="1263">
      <c r="A1263">
        <f>IF(AND(LEN('Aides'!A263)&gt;0,ISNUMBER('Aides'!O263)),1,0)</f>
        <v/>
      </c>
      <c r="B1263">
        <f>B1262+A1263</f>
        <v/>
      </c>
      <c r="C1263">
        <f>IF(1260&gt;$B$1503,"",MATCH(1260-0.5,$B$3:$B$1503,1))</f>
        <v/>
      </c>
      <c r="D1263">
        <f>"In-service hours due – "&amp;IF(LEN(INDEX('Aides'!$A$4:$A$503,260))=0,"",INDEX('Aides'!$A$4:$A$503,260))</f>
        <v/>
      </c>
      <c r="E1263">
        <f>IF(ISNUMBER(INDEX('Aides'!$O$4:$O$503,260)),TEXT(INDEX('Aides'!$O$4:$O$503,260),"yyyy-mm-dd"),"")</f>
        <v/>
      </c>
      <c r="F1263">
        <f>"Training"</f>
        <v/>
      </c>
      <c r="G1263">
        <f>"Medium"</f>
        <v/>
      </c>
      <c r="H1263">
        <f>TRIM(IF(LEN(IF(LEN(INDEX('Aides'!$P$4:$P$503,260))=0,"",INDEX('Aides'!$P$4:$P$503,260)))=0,"","Hours done: "&amp;IF(LEN(INDEX('Aides'!$P$4:$P$503,260))=0,"",INDEX('Aides'!$P$4:$P$503,260))&amp;". ")&amp;IF(LEN(IF(LEN(INDEX('Aides'!$Q$4:$Q$503,260))=0,"",INDEX('Aides'!$Q$4:$Q$503,260)))=0,"","Target: "&amp;IF(LEN(INDEX('Aides'!$Q$4:$Q$503,260))=0,"",INDEX('Aides'!$Q$4:$Q$503,260))&amp;". ")&amp;IF(LEN(IF(LEN(INDEX('Aides'!$R$4:$R$503,260))=0,"",INDEX('Aides'!$R$4:$R$503,260)))=0,"","Hours still needed: "&amp;IF(LEN(INDEX('Aides'!$R$4:$R$503,260))=0,"",INDEX('Aides'!$R$4:$R$503,260))&amp;". ")&amp;IF(LEN(IF(LEN(INDEX('Aides'!$U$4:$U$503,260))=0,"",INDEX('Aides'!$U$4:$U$503,260)))=0,"","Owner: "&amp;IF(LEN(INDEX('Aides'!$U$4:$U$503,260))=0,"",INDEX('Aides'!$U$4:$U$503,260))&amp;". "))</f>
        <v/>
      </c>
      <c r="I1263">
        <f>""</f>
        <v/>
      </c>
      <c r="J1263">
        <f>IF(LEN(INDEX('Aides'!$V$4:$V$503,260))=0,"",INDEX('Aides'!$V$4:$V$503,260))</f>
        <v/>
      </c>
    </row>
    <row r="1264">
      <c r="A1264">
        <f>IF(AND(LEN('Aides'!A264)&gt;0,ISNUMBER('Aides'!O264)),1,0)</f>
        <v/>
      </c>
      <c r="B1264">
        <f>B1263+A1264</f>
        <v/>
      </c>
      <c r="C1264">
        <f>IF(1261&gt;$B$1503,"",MATCH(1261-0.5,$B$3:$B$1503,1))</f>
        <v/>
      </c>
      <c r="D1264">
        <f>"In-service hours due – "&amp;IF(LEN(INDEX('Aides'!$A$4:$A$503,261))=0,"",INDEX('Aides'!$A$4:$A$503,261))</f>
        <v/>
      </c>
      <c r="E1264">
        <f>IF(ISNUMBER(INDEX('Aides'!$O$4:$O$503,261)),TEXT(INDEX('Aides'!$O$4:$O$503,261),"yyyy-mm-dd"),"")</f>
        <v/>
      </c>
      <c r="F1264">
        <f>"Training"</f>
        <v/>
      </c>
      <c r="G1264">
        <f>"Medium"</f>
        <v/>
      </c>
      <c r="H1264">
        <f>TRIM(IF(LEN(IF(LEN(INDEX('Aides'!$P$4:$P$503,261))=0,"",INDEX('Aides'!$P$4:$P$503,261)))=0,"","Hours done: "&amp;IF(LEN(INDEX('Aides'!$P$4:$P$503,261))=0,"",INDEX('Aides'!$P$4:$P$503,261))&amp;". ")&amp;IF(LEN(IF(LEN(INDEX('Aides'!$Q$4:$Q$503,261))=0,"",INDEX('Aides'!$Q$4:$Q$503,261)))=0,"","Target: "&amp;IF(LEN(INDEX('Aides'!$Q$4:$Q$503,261))=0,"",INDEX('Aides'!$Q$4:$Q$503,261))&amp;". ")&amp;IF(LEN(IF(LEN(INDEX('Aides'!$R$4:$R$503,261))=0,"",INDEX('Aides'!$R$4:$R$503,261)))=0,"","Hours still needed: "&amp;IF(LEN(INDEX('Aides'!$R$4:$R$503,261))=0,"",INDEX('Aides'!$R$4:$R$503,261))&amp;". ")&amp;IF(LEN(IF(LEN(INDEX('Aides'!$U$4:$U$503,261))=0,"",INDEX('Aides'!$U$4:$U$503,261)))=0,"","Owner: "&amp;IF(LEN(INDEX('Aides'!$U$4:$U$503,261))=0,"",INDEX('Aides'!$U$4:$U$503,261))&amp;". "))</f>
        <v/>
      </c>
      <c r="I1264">
        <f>""</f>
        <v/>
      </c>
      <c r="J1264">
        <f>IF(LEN(INDEX('Aides'!$V$4:$V$503,261))=0,"",INDEX('Aides'!$V$4:$V$503,261))</f>
        <v/>
      </c>
    </row>
    <row r="1265">
      <c r="A1265">
        <f>IF(AND(LEN('Aides'!A265)&gt;0,ISNUMBER('Aides'!O265)),1,0)</f>
        <v/>
      </c>
      <c r="B1265">
        <f>B1264+A1265</f>
        <v/>
      </c>
      <c r="C1265">
        <f>IF(1262&gt;$B$1503,"",MATCH(1262-0.5,$B$3:$B$1503,1))</f>
        <v/>
      </c>
      <c r="D1265">
        <f>"In-service hours due – "&amp;IF(LEN(INDEX('Aides'!$A$4:$A$503,262))=0,"",INDEX('Aides'!$A$4:$A$503,262))</f>
        <v/>
      </c>
      <c r="E1265">
        <f>IF(ISNUMBER(INDEX('Aides'!$O$4:$O$503,262)),TEXT(INDEX('Aides'!$O$4:$O$503,262),"yyyy-mm-dd"),"")</f>
        <v/>
      </c>
      <c r="F1265">
        <f>"Training"</f>
        <v/>
      </c>
      <c r="G1265">
        <f>"Medium"</f>
        <v/>
      </c>
      <c r="H1265">
        <f>TRIM(IF(LEN(IF(LEN(INDEX('Aides'!$P$4:$P$503,262))=0,"",INDEX('Aides'!$P$4:$P$503,262)))=0,"","Hours done: "&amp;IF(LEN(INDEX('Aides'!$P$4:$P$503,262))=0,"",INDEX('Aides'!$P$4:$P$503,262))&amp;". ")&amp;IF(LEN(IF(LEN(INDEX('Aides'!$Q$4:$Q$503,262))=0,"",INDEX('Aides'!$Q$4:$Q$503,262)))=0,"","Target: "&amp;IF(LEN(INDEX('Aides'!$Q$4:$Q$503,262))=0,"",INDEX('Aides'!$Q$4:$Q$503,262))&amp;". ")&amp;IF(LEN(IF(LEN(INDEX('Aides'!$R$4:$R$503,262))=0,"",INDEX('Aides'!$R$4:$R$503,262)))=0,"","Hours still needed: "&amp;IF(LEN(INDEX('Aides'!$R$4:$R$503,262))=0,"",INDEX('Aides'!$R$4:$R$503,262))&amp;". ")&amp;IF(LEN(IF(LEN(INDEX('Aides'!$U$4:$U$503,262))=0,"",INDEX('Aides'!$U$4:$U$503,262)))=0,"","Owner: "&amp;IF(LEN(INDEX('Aides'!$U$4:$U$503,262))=0,"",INDEX('Aides'!$U$4:$U$503,262))&amp;". "))</f>
        <v/>
      </c>
      <c r="I1265">
        <f>""</f>
        <v/>
      </c>
      <c r="J1265">
        <f>IF(LEN(INDEX('Aides'!$V$4:$V$503,262))=0,"",INDEX('Aides'!$V$4:$V$503,262))</f>
        <v/>
      </c>
    </row>
    <row r="1266">
      <c r="A1266">
        <f>IF(AND(LEN('Aides'!A266)&gt;0,ISNUMBER('Aides'!O266)),1,0)</f>
        <v/>
      </c>
      <c r="B1266">
        <f>B1265+A1266</f>
        <v/>
      </c>
      <c r="C1266">
        <f>IF(1263&gt;$B$1503,"",MATCH(1263-0.5,$B$3:$B$1503,1))</f>
        <v/>
      </c>
      <c r="D1266">
        <f>"In-service hours due – "&amp;IF(LEN(INDEX('Aides'!$A$4:$A$503,263))=0,"",INDEX('Aides'!$A$4:$A$503,263))</f>
        <v/>
      </c>
      <c r="E1266">
        <f>IF(ISNUMBER(INDEX('Aides'!$O$4:$O$503,263)),TEXT(INDEX('Aides'!$O$4:$O$503,263),"yyyy-mm-dd"),"")</f>
        <v/>
      </c>
      <c r="F1266">
        <f>"Training"</f>
        <v/>
      </c>
      <c r="G1266">
        <f>"Medium"</f>
        <v/>
      </c>
      <c r="H1266">
        <f>TRIM(IF(LEN(IF(LEN(INDEX('Aides'!$P$4:$P$503,263))=0,"",INDEX('Aides'!$P$4:$P$503,263)))=0,"","Hours done: "&amp;IF(LEN(INDEX('Aides'!$P$4:$P$503,263))=0,"",INDEX('Aides'!$P$4:$P$503,263))&amp;". ")&amp;IF(LEN(IF(LEN(INDEX('Aides'!$Q$4:$Q$503,263))=0,"",INDEX('Aides'!$Q$4:$Q$503,263)))=0,"","Target: "&amp;IF(LEN(INDEX('Aides'!$Q$4:$Q$503,263))=0,"",INDEX('Aides'!$Q$4:$Q$503,263))&amp;". ")&amp;IF(LEN(IF(LEN(INDEX('Aides'!$R$4:$R$503,263))=0,"",INDEX('Aides'!$R$4:$R$503,263)))=0,"","Hours still needed: "&amp;IF(LEN(INDEX('Aides'!$R$4:$R$503,263))=0,"",INDEX('Aides'!$R$4:$R$503,263))&amp;". ")&amp;IF(LEN(IF(LEN(INDEX('Aides'!$U$4:$U$503,263))=0,"",INDEX('Aides'!$U$4:$U$503,263)))=0,"","Owner: "&amp;IF(LEN(INDEX('Aides'!$U$4:$U$503,263))=0,"",INDEX('Aides'!$U$4:$U$503,263))&amp;". "))</f>
        <v/>
      </c>
      <c r="I1266">
        <f>""</f>
        <v/>
      </c>
      <c r="J1266">
        <f>IF(LEN(INDEX('Aides'!$V$4:$V$503,263))=0,"",INDEX('Aides'!$V$4:$V$503,263))</f>
        <v/>
      </c>
    </row>
    <row r="1267">
      <c r="A1267">
        <f>IF(AND(LEN('Aides'!A267)&gt;0,ISNUMBER('Aides'!O267)),1,0)</f>
        <v/>
      </c>
      <c r="B1267">
        <f>B1266+A1267</f>
        <v/>
      </c>
      <c r="C1267">
        <f>IF(1264&gt;$B$1503,"",MATCH(1264-0.5,$B$3:$B$1503,1))</f>
        <v/>
      </c>
      <c r="D1267">
        <f>"In-service hours due – "&amp;IF(LEN(INDEX('Aides'!$A$4:$A$503,264))=0,"",INDEX('Aides'!$A$4:$A$503,264))</f>
        <v/>
      </c>
      <c r="E1267">
        <f>IF(ISNUMBER(INDEX('Aides'!$O$4:$O$503,264)),TEXT(INDEX('Aides'!$O$4:$O$503,264),"yyyy-mm-dd"),"")</f>
        <v/>
      </c>
      <c r="F1267">
        <f>"Training"</f>
        <v/>
      </c>
      <c r="G1267">
        <f>"Medium"</f>
        <v/>
      </c>
      <c r="H1267">
        <f>TRIM(IF(LEN(IF(LEN(INDEX('Aides'!$P$4:$P$503,264))=0,"",INDEX('Aides'!$P$4:$P$503,264)))=0,"","Hours done: "&amp;IF(LEN(INDEX('Aides'!$P$4:$P$503,264))=0,"",INDEX('Aides'!$P$4:$P$503,264))&amp;". ")&amp;IF(LEN(IF(LEN(INDEX('Aides'!$Q$4:$Q$503,264))=0,"",INDEX('Aides'!$Q$4:$Q$503,264)))=0,"","Target: "&amp;IF(LEN(INDEX('Aides'!$Q$4:$Q$503,264))=0,"",INDEX('Aides'!$Q$4:$Q$503,264))&amp;". ")&amp;IF(LEN(IF(LEN(INDEX('Aides'!$R$4:$R$503,264))=0,"",INDEX('Aides'!$R$4:$R$503,264)))=0,"","Hours still needed: "&amp;IF(LEN(INDEX('Aides'!$R$4:$R$503,264))=0,"",INDEX('Aides'!$R$4:$R$503,264))&amp;". ")&amp;IF(LEN(IF(LEN(INDEX('Aides'!$U$4:$U$503,264))=0,"",INDEX('Aides'!$U$4:$U$503,264)))=0,"","Owner: "&amp;IF(LEN(INDEX('Aides'!$U$4:$U$503,264))=0,"",INDEX('Aides'!$U$4:$U$503,264))&amp;". "))</f>
        <v/>
      </c>
      <c r="I1267">
        <f>""</f>
        <v/>
      </c>
      <c r="J1267">
        <f>IF(LEN(INDEX('Aides'!$V$4:$V$503,264))=0,"",INDEX('Aides'!$V$4:$V$503,264))</f>
        <v/>
      </c>
    </row>
    <row r="1268">
      <c r="A1268">
        <f>IF(AND(LEN('Aides'!A268)&gt;0,ISNUMBER('Aides'!O268)),1,0)</f>
        <v/>
      </c>
      <c r="B1268">
        <f>B1267+A1268</f>
        <v/>
      </c>
      <c r="C1268">
        <f>IF(1265&gt;$B$1503,"",MATCH(1265-0.5,$B$3:$B$1503,1))</f>
        <v/>
      </c>
      <c r="D1268">
        <f>"In-service hours due – "&amp;IF(LEN(INDEX('Aides'!$A$4:$A$503,265))=0,"",INDEX('Aides'!$A$4:$A$503,265))</f>
        <v/>
      </c>
      <c r="E1268">
        <f>IF(ISNUMBER(INDEX('Aides'!$O$4:$O$503,265)),TEXT(INDEX('Aides'!$O$4:$O$503,265),"yyyy-mm-dd"),"")</f>
        <v/>
      </c>
      <c r="F1268">
        <f>"Training"</f>
        <v/>
      </c>
      <c r="G1268">
        <f>"Medium"</f>
        <v/>
      </c>
      <c r="H1268">
        <f>TRIM(IF(LEN(IF(LEN(INDEX('Aides'!$P$4:$P$503,265))=0,"",INDEX('Aides'!$P$4:$P$503,265)))=0,"","Hours done: "&amp;IF(LEN(INDEX('Aides'!$P$4:$P$503,265))=0,"",INDEX('Aides'!$P$4:$P$503,265))&amp;". ")&amp;IF(LEN(IF(LEN(INDEX('Aides'!$Q$4:$Q$503,265))=0,"",INDEX('Aides'!$Q$4:$Q$503,265)))=0,"","Target: "&amp;IF(LEN(INDEX('Aides'!$Q$4:$Q$503,265))=0,"",INDEX('Aides'!$Q$4:$Q$503,265))&amp;". ")&amp;IF(LEN(IF(LEN(INDEX('Aides'!$R$4:$R$503,265))=0,"",INDEX('Aides'!$R$4:$R$503,265)))=0,"","Hours still needed: "&amp;IF(LEN(INDEX('Aides'!$R$4:$R$503,265))=0,"",INDEX('Aides'!$R$4:$R$503,265))&amp;". ")&amp;IF(LEN(IF(LEN(INDEX('Aides'!$U$4:$U$503,265))=0,"",INDEX('Aides'!$U$4:$U$503,265)))=0,"","Owner: "&amp;IF(LEN(INDEX('Aides'!$U$4:$U$503,265))=0,"",INDEX('Aides'!$U$4:$U$503,265))&amp;". "))</f>
        <v/>
      </c>
      <c r="I1268">
        <f>""</f>
        <v/>
      </c>
      <c r="J1268">
        <f>IF(LEN(INDEX('Aides'!$V$4:$V$503,265))=0,"",INDEX('Aides'!$V$4:$V$503,265))</f>
        <v/>
      </c>
    </row>
    <row r="1269">
      <c r="A1269">
        <f>IF(AND(LEN('Aides'!A269)&gt;0,ISNUMBER('Aides'!O269)),1,0)</f>
        <v/>
      </c>
      <c r="B1269">
        <f>B1268+A1269</f>
        <v/>
      </c>
      <c r="C1269">
        <f>IF(1266&gt;$B$1503,"",MATCH(1266-0.5,$B$3:$B$1503,1))</f>
        <v/>
      </c>
      <c r="D1269">
        <f>"In-service hours due – "&amp;IF(LEN(INDEX('Aides'!$A$4:$A$503,266))=0,"",INDEX('Aides'!$A$4:$A$503,266))</f>
        <v/>
      </c>
      <c r="E1269">
        <f>IF(ISNUMBER(INDEX('Aides'!$O$4:$O$503,266)),TEXT(INDEX('Aides'!$O$4:$O$503,266),"yyyy-mm-dd"),"")</f>
        <v/>
      </c>
      <c r="F1269">
        <f>"Training"</f>
        <v/>
      </c>
      <c r="G1269">
        <f>"Medium"</f>
        <v/>
      </c>
      <c r="H1269">
        <f>TRIM(IF(LEN(IF(LEN(INDEX('Aides'!$P$4:$P$503,266))=0,"",INDEX('Aides'!$P$4:$P$503,266)))=0,"","Hours done: "&amp;IF(LEN(INDEX('Aides'!$P$4:$P$503,266))=0,"",INDEX('Aides'!$P$4:$P$503,266))&amp;". ")&amp;IF(LEN(IF(LEN(INDEX('Aides'!$Q$4:$Q$503,266))=0,"",INDEX('Aides'!$Q$4:$Q$503,266)))=0,"","Target: "&amp;IF(LEN(INDEX('Aides'!$Q$4:$Q$503,266))=0,"",INDEX('Aides'!$Q$4:$Q$503,266))&amp;". ")&amp;IF(LEN(IF(LEN(INDEX('Aides'!$R$4:$R$503,266))=0,"",INDEX('Aides'!$R$4:$R$503,266)))=0,"","Hours still needed: "&amp;IF(LEN(INDEX('Aides'!$R$4:$R$503,266))=0,"",INDEX('Aides'!$R$4:$R$503,266))&amp;". ")&amp;IF(LEN(IF(LEN(INDEX('Aides'!$U$4:$U$503,266))=0,"",INDEX('Aides'!$U$4:$U$503,266)))=0,"","Owner: "&amp;IF(LEN(INDEX('Aides'!$U$4:$U$503,266))=0,"",INDEX('Aides'!$U$4:$U$503,266))&amp;". "))</f>
        <v/>
      </c>
      <c r="I1269">
        <f>""</f>
        <v/>
      </c>
      <c r="J1269">
        <f>IF(LEN(INDEX('Aides'!$V$4:$V$503,266))=0,"",INDEX('Aides'!$V$4:$V$503,266))</f>
        <v/>
      </c>
    </row>
    <row r="1270">
      <c r="A1270">
        <f>IF(AND(LEN('Aides'!A270)&gt;0,ISNUMBER('Aides'!O270)),1,0)</f>
        <v/>
      </c>
      <c r="B1270">
        <f>B1269+A1270</f>
        <v/>
      </c>
      <c r="C1270">
        <f>IF(1267&gt;$B$1503,"",MATCH(1267-0.5,$B$3:$B$1503,1))</f>
        <v/>
      </c>
      <c r="D1270">
        <f>"In-service hours due – "&amp;IF(LEN(INDEX('Aides'!$A$4:$A$503,267))=0,"",INDEX('Aides'!$A$4:$A$503,267))</f>
        <v/>
      </c>
      <c r="E1270">
        <f>IF(ISNUMBER(INDEX('Aides'!$O$4:$O$503,267)),TEXT(INDEX('Aides'!$O$4:$O$503,267),"yyyy-mm-dd"),"")</f>
        <v/>
      </c>
      <c r="F1270">
        <f>"Training"</f>
        <v/>
      </c>
      <c r="G1270">
        <f>"Medium"</f>
        <v/>
      </c>
      <c r="H1270">
        <f>TRIM(IF(LEN(IF(LEN(INDEX('Aides'!$P$4:$P$503,267))=0,"",INDEX('Aides'!$P$4:$P$503,267)))=0,"","Hours done: "&amp;IF(LEN(INDEX('Aides'!$P$4:$P$503,267))=0,"",INDEX('Aides'!$P$4:$P$503,267))&amp;". ")&amp;IF(LEN(IF(LEN(INDEX('Aides'!$Q$4:$Q$503,267))=0,"",INDEX('Aides'!$Q$4:$Q$503,267)))=0,"","Target: "&amp;IF(LEN(INDEX('Aides'!$Q$4:$Q$503,267))=0,"",INDEX('Aides'!$Q$4:$Q$503,267))&amp;". ")&amp;IF(LEN(IF(LEN(INDEX('Aides'!$R$4:$R$503,267))=0,"",INDEX('Aides'!$R$4:$R$503,267)))=0,"","Hours still needed: "&amp;IF(LEN(INDEX('Aides'!$R$4:$R$503,267))=0,"",INDEX('Aides'!$R$4:$R$503,267))&amp;". ")&amp;IF(LEN(IF(LEN(INDEX('Aides'!$U$4:$U$503,267))=0,"",INDEX('Aides'!$U$4:$U$503,267)))=0,"","Owner: "&amp;IF(LEN(INDEX('Aides'!$U$4:$U$503,267))=0,"",INDEX('Aides'!$U$4:$U$503,267))&amp;". "))</f>
        <v/>
      </c>
      <c r="I1270">
        <f>""</f>
        <v/>
      </c>
      <c r="J1270">
        <f>IF(LEN(INDEX('Aides'!$V$4:$V$503,267))=0,"",INDEX('Aides'!$V$4:$V$503,267))</f>
        <v/>
      </c>
    </row>
    <row r="1271">
      <c r="A1271">
        <f>IF(AND(LEN('Aides'!A271)&gt;0,ISNUMBER('Aides'!O271)),1,0)</f>
        <v/>
      </c>
      <c r="B1271">
        <f>B1270+A1271</f>
        <v/>
      </c>
      <c r="C1271">
        <f>IF(1268&gt;$B$1503,"",MATCH(1268-0.5,$B$3:$B$1503,1))</f>
        <v/>
      </c>
      <c r="D1271">
        <f>"In-service hours due – "&amp;IF(LEN(INDEX('Aides'!$A$4:$A$503,268))=0,"",INDEX('Aides'!$A$4:$A$503,268))</f>
        <v/>
      </c>
      <c r="E1271">
        <f>IF(ISNUMBER(INDEX('Aides'!$O$4:$O$503,268)),TEXT(INDEX('Aides'!$O$4:$O$503,268),"yyyy-mm-dd"),"")</f>
        <v/>
      </c>
      <c r="F1271">
        <f>"Training"</f>
        <v/>
      </c>
      <c r="G1271">
        <f>"Medium"</f>
        <v/>
      </c>
      <c r="H1271">
        <f>TRIM(IF(LEN(IF(LEN(INDEX('Aides'!$P$4:$P$503,268))=0,"",INDEX('Aides'!$P$4:$P$503,268)))=0,"","Hours done: "&amp;IF(LEN(INDEX('Aides'!$P$4:$P$503,268))=0,"",INDEX('Aides'!$P$4:$P$503,268))&amp;". ")&amp;IF(LEN(IF(LEN(INDEX('Aides'!$Q$4:$Q$503,268))=0,"",INDEX('Aides'!$Q$4:$Q$503,268)))=0,"","Target: "&amp;IF(LEN(INDEX('Aides'!$Q$4:$Q$503,268))=0,"",INDEX('Aides'!$Q$4:$Q$503,268))&amp;". ")&amp;IF(LEN(IF(LEN(INDEX('Aides'!$R$4:$R$503,268))=0,"",INDEX('Aides'!$R$4:$R$503,268)))=0,"","Hours still needed: "&amp;IF(LEN(INDEX('Aides'!$R$4:$R$503,268))=0,"",INDEX('Aides'!$R$4:$R$503,268))&amp;". ")&amp;IF(LEN(IF(LEN(INDEX('Aides'!$U$4:$U$503,268))=0,"",INDEX('Aides'!$U$4:$U$503,268)))=0,"","Owner: "&amp;IF(LEN(INDEX('Aides'!$U$4:$U$503,268))=0,"",INDEX('Aides'!$U$4:$U$503,268))&amp;". "))</f>
        <v/>
      </c>
      <c r="I1271">
        <f>""</f>
        <v/>
      </c>
      <c r="J1271">
        <f>IF(LEN(INDEX('Aides'!$V$4:$V$503,268))=0,"",INDEX('Aides'!$V$4:$V$503,268))</f>
        <v/>
      </c>
    </row>
    <row r="1272">
      <c r="A1272">
        <f>IF(AND(LEN('Aides'!A272)&gt;0,ISNUMBER('Aides'!O272)),1,0)</f>
        <v/>
      </c>
      <c r="B1272">
        <f>B1271+A1272</f>
        <v/>
      </c>
      <c r="C1272">
        <f>IF(1269&gt;$B$1503,"",MATCH(1269-0.5,$B$3:$B$1503,1))</f>
        <v/>
      </c>
      <c r="D1272">
        <f>"In-service hours due – "&amp;IF(LEN(INDEX('Aides'!$A$4:$A$503,269))=0,"",INDEX('Aides'!$A$4:$A$503,269))</f>
        <v/>
      </c>
      <c r="E1272">
        <f>IF(ISNUMBER(INDEX('Aides'!$O$4:$O$503,269)),TEXT(INDEX('Aides'!$O$4:$O$503,269),"yyyy-mm-dd"),"")</f>
        <v/>
      </c>
      <c r="F1272">
        <f>"Training"</f>
        <v/>
      </c>
      <c r="G1272">
        <f>"Medium"</f>
        <v/>
      </c>
      <c r="H1272">
        <f>TRIM(IF(LEN(IF(LEN(INDEX('Aides'!$P$4:$P$503,269))=0,"",INDEX('Aides'!$P$4:$P$503,269)))=0,"","Hours done: "&amp;IF(LEN(INDEX('Aides'!$P$4:$P$503,269))=0,"",INDEX('Aides'!$P$4:$P$503,269))&amp;". ")&amp;IF(LEN(IF(LEN(INDEX('Aides'!$Q$4:$Q$503,269))=0,"",INDEX('Aides'!$Q$4:$Q$503,269)))=0,"","Target: "&amp;IF(LEN(INDEX('Aides'!$Q$4:$Q$503,269))=0,"",INDEX('Aides'!$Q$4:$Q$503,269))&amp;". ")&amp;IF(LEN(IF(LEN(INDEX('Aides'!$R$4:$R$503,269))=0,"",INDEX('Aides'!$R$4:$R$503,269)))=0,"","Hours still needed: "&amp;IF(LEN(INDEX('Aides'!$R$4:$R$503,269))=0,"",INDEX('Aides'!$R$4:$R$503,269))&amp;". ")&amp;IF(LEN(IF(LEN(INDEX('Aides'!$U$4:$U$503,269))=0,"",INDEX('Aides'!$U$4:$U$503,269)))=0,"","Owner: "&amp;IF(LEN(INDEX('Aides'!$U$4:$U$503,269))=0,"",INDEX('Aides'!$U$4:$U$503,269))&amp;". "))</f>
        <v/>
      </c>
      <c r="I1272">
        <f>""</f>
        <v/>
      </c>
      <c r="J1272">
        <f>IF(LEN(INDEX('Aides'!$V$4:$V$503,269))=0,"",INDEX('Aides'!$V$4:$V$503,269))</f>
        <v/>
      </c>
    </row>
    <row r="1273">
      <c r="A1273">
        <f>IF(AND(LEN('Aides'!A273)&gt;0,ISNUMBER('Aides'!O273)),1,0)</f>
        <v/>
      </c>
      <c r="B1273">
        <f>B1272+A1273</f>
        <v/>
      </c>
      <c r="C1273">
        <f>IF(1270&gt;$B$1503,"",MATCH(1270-0.5,$B$3:$B$1503,1))</f>
        <v/>
      </c>
      <c r="D1273">
        <f>"In-service hours due – "&amp;IF(LEN(INDEX('Aides'!$A$4:$A$503,270))=0,"",INDEX('Aides'!$A$4:$A$503,270))</f>
        <v/>
      </c>
      <c r="E1273">
        <f>IF(ISNUMBER(INDEX('Aides'!$O$4:$O$503,270)),TEXT(INDEX('Aides'!$O$4:$O$503,270),"yyyy-mm-dd"),"")</f>
        <v/>
      </c>
      <c r="F1273">
        <f>"Training"</f>
        <v/>
      </c>
      <c r="G1273">
        <f>"Medium"</f>
        <v/>
      </c>
      <c r="H1273">
        <f>TRIM(IF(LEN(IF(LEN(INDEX('Aides'!$P$4:$P$503,270))=0,"",INDEX('Aides'!$P$4:$P$503,270)))=0,"","Hours done: "&amp;IF(LEN(INDEX('Aides'!$P$4:$P$503,270))=0,"",INDEX('Aides'!$P$4:$P$503,270))&amp;". ")&amp;IF(LEN(IF(LEN(INDEX('Aides'!$Q$4:$Q$503,270))=0,"",INDEX('Aides'!$Q$4:$Q$503,270)))=0,"","Target: "&amp;IF(LEN(INDEX('Aides'!$Q$4:$Q$503,270))=0,"",INDEX('Aides'!$Q$4:$Q$503,270))&amp;". ")&amp;IF(LEN(IF(LEN(INDEX('Aides'!$R$4:$R$503,270))=0,"",INDEX('Aides'!$R$4:$R$503,270)))=0,"","Hours still needed: "&amp;IF(LEN(INDEX('Aides'!$R$4:$R$503,270))=0,"",INDEX('Aides'!$R$4:$R$503,270))&amp;". ")&amp;IF(LEN(IF(LEN(INDEX('Aides'!$U$4:$U$503,270))=0,"",INDEX('Aides'!$U$4:$U$503,270)))=0,"","Owner: "&amp;IF(LEN(INDEX('Aides'!$U$4:$U$503,270))=0,"",INDEX('Aides'!$U$4:$U$503,270))&amp;". "))</f>
        <v/>
      </c>
      <c r="I1273">
        <f>""</f>
        <v/>
      </c>
      <c r="J1273">
        <f>IF(LEN(INDEX('Aides'!$V$4:$V$503,270))=0,"",INDEX('Aides'!$V$4:$V$503,270))</f>
        <v/>
      </c>
    </row>
    <row r="1274">
      <c r="A1274">
        <f>IF(AND(LEN('Aides'!A274)&gt;0,ISNUMBER('Aides'!O274)),1,0)</f>
        <v/>
      </c>
      <c r="B1274">
        <f>B1273+A1274</f>
        <v/>
      </c>
      <c r="C1274">
        <f>IF(1271&gt;$B$1503,"",MATCH(1271-0.5,$B$3:$B$1503,1))</f>
        <v/>
      </c>
      <c r="D1274">
        <f>"In-service hours due – "&amp;IF(LEN(INDEX('Aides'!$A$4:$A$503,271))=0,"",INDEX('Aides'!$A$4:$A$503,271))</f>
        <v/>
      </c>
      <c r="E1274">
        <f>IF(ISNUMBER(INDEX('Aides'!$O$4:$O$503,271)),TEXT(INDEX('Aides'!$O$4:$O$503,271),"yyyy-mm-dd"),"")</f>
        <v/>
      </c>
      <c r="F1274">
        <f>"Training"</f>
        <v/>
      </c>
      <c r="G1274">
        <f>"Medium"</f>
        <v/>
      </c>
      <c r="H1274">
        <f>TRIM(IF(LEN(IF(LEN(INDEX('Aides'!$P$4:$P$503,271))=0,"",INDEX('Aides'!$P$4:$P$503,271)))=0,"","Hours done: "&amp;IF(LEN(INDEX('Aides'!$P$4:$P$503,271))=0,"",INDEX('Aides'!$P$4:$P$503,271))&amp;". ")&amp;IF(LEN(IF(LEN(INDEX('Aides'!$Q$4:$Q$503,271))=0,"",INDEX('Aides'!$Q$4:$Q$503,271)))=0,"","Target: "&amp;IF(LEN(INDEX('Aides'!$Q$4:$Q$503,271))=0,"",INDEX('Aides'!$Q$4:$Q$503,271))&amp;". ")&amp;IF(LEN(IF(LEN(INDEX('Aides'!$R$4:$R$503,271))=0,"",INDEX('Aides'!$R$4:$R$503,271)))=0,"","Hours still needed: "&amp;IF(LEN(INDEX('Aides'!$R$4:$R$503,271))=0,"",INDEX('Aides'!$R$4:$R$503,271))&amp;". ")&amp;IF(LEN(IF(LEN(INDEX('Aides'!$U$4:$U$503,271))=0,"",INDEX('Aides'!$U$4:$U$503,271)))=0,"","Owner: "&amp;IF(LEN(INDEX('Aides'!$U$4:$U$503,271))=0,"",INDEX('Aides'!$U$4:$U$503,271))&amp;". "))</f>
        <v/>
      </c>
      <c r="I1274">
        <f>""</f>
        <v/>
      </c>
      <c r="J1274">
        <f>IF(LEN(INDEX('Aides'!$V$4:$V$503,271))=0,"",INDEX('Aides'!$V$4:$V$503,271))</f>
        <v/>
      </c>
    </row>
    <row r="1275">
      <c r="A1275">
        <f>IF(AND(LEN('Aides'!A275)&gt;0,ISNUMBER('Aides'!O275)),1,0)</f>
        <v/>
      </c>
      <c r="B1275">
        <f>B1274+A1275</f>
        <v/>
      </c>
      <c r="C1275">
        <f>IF(1272&gt;$B$1503,"",MATCH(1272-0.5,$B$3:$B$1503,1))</f>
        <v/>
      </c>
      <c r="D1275">
        <f>"In-service hours due – "&amp;IF(LEN(INDEX('Aides'!$A$4:$A$503,272))=0,"",INDEX('Aides'!$A$4:$A$503,272))</f>
        <v/>
      </c>
      <c r="E1275">
        <f>IF(ISNUMBER(INDEX('Aides'!$O$4:$O$503,272)),TEXT(INDEX('Aides'!$O$4:$O$503,272),"yyyy-mm-dd"),"")</f>
        <v/>
      </c>
      <c r="F1275">
        <f>"Training"</f>
        <v/>
      </c>
      <c r="G1275">
        <f>"Medium"</f>
        <v/>
      </c>
      <c r="H1275">
        <f>TRIM(IF(LEN(IF(LEN(INDEX('Aides'!$P$4:$P$503,272))=0,"",INDEX('Aides'!$P$4:$P$503,272)))=0,"","Hours done: "&amp;IF(LEN(INDEX('Aides'!$P$4:$P$503,272))=0,"",INDEX('Aides'!$P$4:$P$503,272))&amp;". ")&amp;IF(LEN(IF(LEN(INDEX('Aides'!$Q$4:$Q$503,272))=0,"",INDEX('Aides'!$Q$4:$Q$503,272)))=0,"","Target: "&amp;IF(LEN(INDEX('Aides'!$Q$4:$Q$503,272))=0,"",INDEX('Aides'!$Q$4:$Q$503,272))&amp;". ")&amp;IF(LEN(IF(LEN(INDEX('Aides'!$R$4:$R$503,272))=0,"",INDEX('Aides'!$R$4:$R$503,272)))=0,"","Hours still needed: "&amp;IF(LEN(INDEX('Aides'!$R$4:$R$503,272))=0,"",INDEX('Aides'!$R$4:$R$503,272))&amp;". ")&amp;IF(LEN(IF(LEN(INDEX('Aides'!$U$4:$U$503,272))=0,"",INDEX('Aides'!$U$4:$U$503,272)))=0,"","Owner: "&amp;IF(LEN(INDEX('Aides'!$U$4:$U$503,272))=0,"",INDEX('Aides'!$U$4:$U$503,272))&amp;". "))</f>
        <v/>
      </c>
      <c r="I1275">
        <f>""</f>
        <v/>
      </c>
      <c r="J1275">
        <f>IF(LEN(INDEX('Aides'!$V$4:$V$503,272))=0,"",INDEX('Aides'!$V$4:$V$503,272))</f>
        <v/>
      </c>
    </row>
    <row r="1276">
      <c r="A1276">
        <f>IF(AND(LEN('Aides'!A276)&gt;0,ISNUMBER('Aides'!O276)),1,0)</f>
        <v/>
      </c>
      <c r="B1276">
        <f>B1275+A1276</f>
        <v/>
      </c>
      <c r="C1276">
        <f>IF(1273&gt;$B$1503,"",MATCH(1273-0.5,$B$3:$B$1503,1))</f>
        <v/>
      </c>
      <c r="D1276">
        <f>"In-service hours due – "&amp;IF(LEN(INDEX('Aides'!$A$4:$A$503,273))=0,"",INDEX('Aides'!$A$4:$A$503,273))</f>
        <v/>
      </c>
      <c r="E1276">
        <f>IF(ISNUMBER(INDEX('Aides'!$O$4:$O$503,273)),TEXT(INDEX('Aides'!$O$4:$O$503,273),"yyyy-mm-dd"),"")</f>
        <v/>
      </c>
      <c r="F1276">
        <f>"Training"</f>
        <v/>
      </c>
      <c r="G1276">
        <f>"Medium"</f>
        <v/>
      </c>
      <c r="H1276">
        <f>TRIM(IF(LEN(IF(LEN(INDEX('Aides'!$P$4:$P$503,273))=0,"",INDEX('Aides'!$P$4:$P$503,273)))=0,"","Hours done: "&amp;IF(LEN(INDEX('Aides'!$P$4:$P$503,273))=0,"",INDEX('Aides'!$P$4:$P$503,273))&amp;". ")&amp;IF(LEN(IF(LEN(INDEX('Aides'!$Q$4:$Q$503,273))=0,"",INDEX('Aides'!$Q$4:$Q$503,273)))=0,"","Target: "&amp;IF(LEN(INDEX('Aides'!$Q$4:$Q$503,273))=0,"",INDEX('Aides'!$Q$4:$Q$503,273))&amp;". ")&amp;IF(LEN(IF(LEN(INDEX('Aides'!$R$4:$R$503,273))=0,"",INDEX('Aides'!$R$4:$R$503,273)))=0,"","Hours still needed: "&amp;IF(LEN(INDEX('Aides'!$R$4:$R$503,273))=0,"",INDEX('Aides'!$R$4:$R$503,273))&amp;". ")&amp;IF(LEN(IF(LEN(INDEX('Aides'!$U$4:$U$503,273))=0,"",INDEX('Aides'!$U$4:$U$503,273)))=0,"","Owner: "&amp;IF(LEN(INDEX('Aides'!$U$4:$U$503,273))=0,"",INDEX('Aides'!$U$4:$U$503,273))&amp;". "))</f>
        <v/>
      </c>
      <c r="I1276">
        <f>""</f>
        <v/>
      </c>
      <c r="J1276">
        <f>IF(LEN(INDEX('Aides'!$V$4:$V$503,273))=0,"",INDEX('Aides'!$V$4:$V$503,273))</f>
        <v/>
      </c>
    </row>
    <row r="1277">
      <c r="A1277">
        <f>IF(AND(LEN('Aides'!A277)&gt;0,ISNUMBER('Aides'!O277)),1,0)</f>
        <v/>
      </c>
      <c r="B1277">
        <f>B1276+A1277</f>
        <v/>
      </c>
      <c r="C1277">
        <f>IF(1274&gt;$B$1503,"",MATCH(1274-0.5,$B$3:$B$1503,1))</f>
        <v/>
      </c>
      <c r="D1277">
        <f>"In-service hours due – "&amp;IF(LEN(INDEX('Aides'!$A$4:$A$503,274))=0,"",INDEX('Aides'!$A$4:$A$503,274))</f>
        <v/>
      </c>
      <c r="E1277">
        <f>IF(ISNUMBER(INDEX('Aides'!$O$4:$O$503,274)),TEXT(INDEX('Aides'!$O$4:$O$503,274),"yyyy-mm-dd"),"")</f>
        <v/>
      </c>
      <c r="F1277">
        <f>"Training"</f>
        <v/>
      </c>
      <c r="G1277">
        <f>"Medium"</f>
        <v/>
      </c>
      <c r="H1277">
        <f>TRIM(IF(LEN(IF(LEN(INDEX('Aides'!$P$4:$P$503,274))=0,"",INDEX('Aides'!$P$4:$P$503,274)))=0,"","Hours done: "&amp;IF(LEN(INDEX('Aides'!$P$4:$P$503,274))=0,"",INDEX('Aides'!$P$4:$P$503,274))&amp;". ")&amp;IF(LEN(IF(LEN(INDEX('Aides'!$Q$4:$Q$503,274))=0,"",INDEX('Aides'!$Q$4:$Q$503,274)))=0,"","Target: "&amp;IF(LEN(INDEX('Aides'!$Q$4:$Q$503,274))=0,"",INDEX('Aides'!$Q$4:$Q$503,274))&amp;". ")&amp;IF(LEN(IF(LEN(INDEX('Aides'!$R$4:$R$503,274))=0,"",INDEX('Aides'!$R$4:$R$503,274)))=0,"","Hours still needed: "&amp;IF(LEN(INDEX('Aides'!$R$4:$R$503,274))=0,"",INDEX('Aides'!$R$4:$R$503,274))&amp;". ")&amp;IF(LEN(IF(LEN(INDEX('Aides'!$U$4:$U$503,274))=0,"",INDEX('Aides'!$U$4:$U$503,274)))=0,"","Owner: "&amp;IF(LEN(INDEX('Aides'!$U$4:$U$503,274))=0,"",INDEX('Aides'!$U$4:$U$503,274))&amp;". "))</f>
        <v/>
      </c>
      <c r="I1277">
        <f>""</f>
        <v/>
      </c>
      <c r="J1277">
        <f>IF(LEN(INDEX('Aides'!$V$4:$V$503,274))=0,"",INDEX('Aides'!$V$4:$V$503,274))</f>
        <v/>
      </c>
    </row>
    <row r="1278">
      <c r="A1278">
        <f>IF(AND(LEN('Aides'!A278)&gt;0,ISNUMBER('Aides'!O278)),1,0)</f>
        <v/>
      </c>
      <c r="B1278">
        <f>B1277+A1278</f>
        <v/>
      </c>
      <c r="C1278">
        <f>IF(1275&gt;$B$1503,"",MATCH(1275-0.5,$B$3:$B$1503,1))</f>
        <v/>
      </c>
      <c r="D1278">
        <f>"In-service hours due – "&amp;IF(LEN(INDEX('Aides'!$A$4:$A$503,275))=0,"",INDEX('Aides'!$A$4:$A$503,275))</f>
        <v/>
      </c>
      <c r="E1278">
        <f>IF(ISNUMBER(INDEX('Aides'!$O$4:$O$503,275)),TEXT(INDEX('Aides'!$O$4:$O$503,275),"yyyy-mm-dd"),"")</f>
        <v/>
      </c>
      <c r="F1278">
        <f>"Training"</f>
        <v/>
      </c>
      <c r="G1278">
        <f>"Medium"</f>
        <v/>
      </c>
      <c r="H1278">
        <f>TRIM(IF(LEN(IF(LEN(INDEX('Aides'!$P$4:$P$503,275))=0,"",INDEX('Aides'!$P$4:$P$503,275)))=0,"","Hours done: "&amp;IF(LEN(INDEX('Aides'!$P$4:$P$503,275))=0,"",INDEX('Aides'!$P$4:$P$503,275))&amp;". ")&amp;IF(LEN(IF(LEN(INDEX('Aides'!$Q$4:$Q$503,275))=0,"",INDEX('Aides'!$Q$4:$Q$503,275)))=0,"","Target: "&amp;IF(LEN(INDEX('Aides'!$Q$4:$Q$503,275))=0,"",INDEX('Aides'!$Q$4:$Q$503,275))&amp;". ")&amp;IF(LEN(IF(LEN(INDEX('Aides'!$R$4:$R$503,275))=0,"",INDEX('Aides'!$R$4:$R$503,275)))=0,"","Hours still needed: "&amp;IF(LEN(INDEX('Aides'!$R$4:$R$503,275))=0,"",INDEX('Aides'!$R$4:$R$503,275))&amp;". ")&amp;IF(LEN(IF(LEN(INDEX('Aides'!$U$4:$U$503,275))=0,"",INDEX('Aides'!$U$4:$U$503,275)))=0,"","Owner: "&amp;IF(LEN(INDEX('Aides'!$U$4:$U$503,275))=0,"",INDEX('Aides'!$U$4:$U$503,275))&amp;". "))</f>
        <v/>
      </c>
      <c r="I1278">
        <f>""</f>
        <v/>
      </c>
      <c r="J1278">
        <f>IF(LEN(INDEX('Aides'!$V$4:$V$503,275))=0,"",INDEX('Aides'!$V$4:$V$503,275))</f>
        <v/>
      </c>
    </row>
    <row r="1279">
      <c r="A1279">
        <f>IF(AND(LEN('Aides'!A279)&gt;0,ISNUMBER('Aides'!O279)),1,0)</f>
        <v/>
      </c>
      <c r="B1279">
        <f>B1278+A1279</f>
        <v/>
      </c>
      <c r="C1279">
        <f>IF(1276&gt;$B$1503,"",MATCH(1276-0.5,$B$3:$B$1503,1))</f>
        <v/>
      </c>
      <c r="D1279">
        <f>"In-service hours due – "&amp;IF(LEN(INDEX('Aides'!$A$4:$A$503,276))=0,"",INDEX('Aides'!$A$4:$A$503,276))</f>
        <v/>
      </c>
      <c r="E1279">
        <f>IF(ISNUMBER(INDEX('Aides'!$O$4:$O$503,276)),TEXT(INDEX('Aides'!$O$4:$O$503,276),"yyyy-mm-dd"),"")</f>
        <v/>
      </c>
      <c r="F1279">
        <f>"Training"</f>
        <v/>
      </c>
      <c r="G1279">
        <f>"Medium"</f>
        <v/>
      </c>
      <c r="H1279">
        <f>TRIM(IF(LEN(IF(LEN(INDEX('Aides'!$P$4:$P$503,276))=0,"",INDEX('Aides'!$P$4:$P$503,276)))=0,"","Hours done: "&amp;IF(LEN(INDEX('Aides'!$P$4:$P$503,276))=0,"",INDEX('Aides'!$P$4:$P$503,276))&amp;". ")&amp;IF(LEN(IF(LEN(INDEX('Aides'!$Q$4:$Q$503,276))=0,"",INDEX('Aides'!$Q$4:$Q$503,276)))=0,"","Target: "&amp;IF(LEN(INDEX('Aides'!$Q$4:$Q$503,276))=0,"",INDEX('Aides'!$Q$4:$Q$503,276))&amp;". ")&amp;IF(LEN(IF(LEN(INDEX('Aides'!$R$4:$R$503,276))=0,"",INDEX('Aides'!$R$4:$R$503,276)))=0,"","Hours still needed: "&amp;IF(LEN(INDEX('Aides'!$R$4:$R$503,276))=0,"",INDEX('Aides'!$R$4:$R$503,276))&amp;". ")&amp;IF(LEN(IF(LEN(INDEX('Aides'!$U$4:$U$503,276))=0,"",INDEX('Aides'!$U$4:$U$503,276)))=0,"","Owner: "&amp;IF(LEN(INDEX('Aides'!$U$4:$U$503,276))=0,"",INDEX('Aides'!$U$4:$U$503,276))&amp;". "))</f>
        <v/>
      </c>
      <c r="I1279">
        <f>""</f>
        <v/>
      </c>
      <c r="J1279">
        <f>IF(LEN(INDEX('Aides'!$V$4:$V$503,276))=0,"",INDEX('Aides'!$V$4:$V$503,276))</f>
        <v/>
      </c>
    </row>
    <row r="1280">
      <c r="A1280">
        <f>IF(AND(LEN('Aides'!A280)&gt;0,ISNUMBER('Aides'!O280)),1,0)</f>
        <v/>
      </c>
      <c r="B1280">
        <f>B1279+A1280</f>
        <v/>
      </c>
      <c r="C1280">
        <f>IF(1277&gt;$B$1503,"",MATCH(1277-0.5,$B$3:$B$1503,1))</f>
        <v/>
      </c>
      <c r="D1280">
        <f>"In-service hours due – "&amp;IF(LEN(INDEX('Aides'!$A$4:$A$503,277))=0,"",INDEX('Aides'!$A$4:$A$503,277))</f>
        <v/>
      </c>
      <c r="E1280">
        <f>IF(ISNUMBER(INDEX('Aides'!$O$4:$O$503,277)),TEXT(INDEX('Aides'!$O$4:$O$503,277),"yyyy-mm-dd"),"")</f>
        <v/>
      </c>
      <c r="F1280">
        <f>"Training"</f>
        <v/>
      </c>
      <c r="G1280">
        <f>"Medium"</f>
        <v/>
      </c>
      <c r="H1280">
        <f>TRIM(IF(LEN(IF(LEN(INDEX('Aides'!$P$4:$P$503,277))=0,"",INDEX('Aides'!$P$4:$P$503,277)))=0,"","Hours done: "&amp;IF(LEN(INDEX('Aides'!$P$4:$P$503,277))=0,"",INDEX('Aides'!$P$4:$P$503,277))&amp;". ")&amp;IF(LEN(IF(LEN(INDEX('Aides'!$Q$4:$Q$503,277))=0,"",INDEX('Aides'!$Q$4:$Q$503,277)))=0,"","Target: "&amp;IF(LEN(INDEX('Aides'!$Q$4:$Q$503,277))=0,"",INDEX('Aides'!$Q$4:$Q$503,277))&amp;". ")&amp;IF(LEN(IF(LEN(INDEX('Aides'!$R$4:$R$503,277))=0,"",INDEX('Aides'!$R$4:$R$503,277)))=0,"","Hours still needed: "&amp;IF(LEN(INDEX('Aides'!$R$4:$R$503,277))=0,"",INDEX('Aides'!$R$4:$R$503,277))&amp;". ")&amp;IF(LEN(IF(LEN(INDEX('Aides'!$U$4:$U$503,277))=0,"",INDEX('Aides'!$U$4:$U$503,277)))=0,"","Owner: "&amp;IF(LEN(INDEX('Aides'!$U$4:$U$503,277))=0,"",INDEX('Aides'!$U$4:$U$503,277))&amp;". "))</f>
        <v/>
      </c>
      <c r="I1280">
        <f>""</f>
        <v/>
      </c>
      <c r="J1280">
        <f>IF(LEN(INDEX('Aides'!$V$4:$V$503,277))=0,"",INDEX('Aides'!$V$4:$V$503,277))</f>
        <v/>
      </c>
    </row>
    <row r="1281">
      <c r="A1281">
        <f>IF(AND(LEN('Aides'!A281)&gt;0,ISNUMBER('Aides'!O281)),1,0)</f>
        <v/>
      </c>
      <c r="B1281">
        <f>B1280+A1281</f>
        <v/>
      </c>
      <c r="C1281">
        <f>IF(1278&gt;$B$1503,"",MATCH(1278-0.5,$B$3:$B$1503,1))</f>
        <v/>
      </c>
      <c r="D1281">
        <f>"In-service hours due – "&amp;IF(LEN(INDEX('Aides'!$A$4:$A$503,278))=0,"",INDEX('Aides'!$A$4:$A$503,278))</f>
        <v/>
      </c>
      <c r="E1281">
        <f>IF(ISNUMBER(INDEX('Aides'!$O$4:$O$503,278)),TEXT(INDEX('Aides'!$O$4:$O$503,278),"yyyy-mm-dd"),"")</f>
        <v/>
      </c>
      <c r="F1281">
        <f>"Training"</f>
        <v/>
      </c>
      <c r="G1281">
        <f>"Medium"</f>
        <v/>
      </c>
      <c r="H1281">
        <f>TRIM(IF(LEN(IF(LEN(INDEX('Aides'!$P$4:$P$503,278))=0,"",INDEX('Aides'!$P$4:$P$503,278)))=0,"","Hours done: "&amp;IF(LEN(INDEX('Aides'!$P$4:$P$503,278))=0,"",INDEX('Aides'!$P$4:$P$503,278))&amp;". ")&amp;IF(LEN(IF(LEN(INDEX('Aides'!$Q$4:$Q$503,278))=0,"",INDEX('Aides'!$Q$4:$Q$503,278)))=0,"","Target: "&amp;IF(LEN(INDEX('Aides'!$Q$4:$Q$503,278))=0,"",INDEX('Aides'!$Q$4:$Q$503,278))&amp;". ")&amp;IF(LEN(IF(LEN(INDEX('Aides'!$R$4:$R$503,278))=0,"",INDEX('Aides'!$R$4:$R$503,278)))=0,"","Hours still needed: "&amp;IF(LEN(INDEX('Aides'!$R$4:$R$503,278))=0,"",INDEX('Aides'!$R$4:$R$503,278))&amp;". ")&amp;IF(LEN(IF(LEN(INDEX('Aides'!$U$4:$U$503,278))=0,"",INDEX('Aides'!$U$4:$U$503,278)))=0,"","Owner: "&amp;IF(LEN(INDEX('Aides'!$U$4:$U$503,278))=0,"",INDEX('Aides'!$U$4:$U$503,278))&amp;". "))</f>
        <v/>
      </c>
      <c r="I1281">
        <f>""</f>
        <v/>
      </c>
      <c r="J1281">
        <f>IF(LEN(INDEX('Aides'!$V$4:$V$503,278))=0,"",INDEX('Aides'!$V$4:$V$503,278))</f>
        <v/>
      </c>
    </row>
    <row r="1282">
      <c r="A1282">
        <f>IF(AND(LEN('Aides'!A282)&gt;0,ISNUMBER('Aides'!O282)),1,0)</f>
        <v/>
      </c>
      <c r="B1282">
        <f>B1281+A1282</f>
        <v/>
      </c>
      <c r="C1282">
        <f>IF(1279&gt;$B$1503,"",MATCH(1279-0.5,$B$3:$B$1503,1))</f>
        <v/>
      </c>
      <c r="D1282">
        <f>"In-service hours due – "&amp;IF(LEN(INDEX('Aides'!$A$4:$A$503,279))=0,"",INDEX('Aides'!$A$4:$A$503,279))</f>
        <v/>
      </c>
      <c r="E1282">
        <f>IF(ISNUMBER(INDEX('Aides'!$O$4:$O$503,279)),TEXT(INDEX('Aides'!$O$4:$O$503,279),"yyyy-mm-dd"),"")</f>
        <v/>
      </c>
      <c r="F1282">
        <f>"Training"</f>
        <v/>
      </c>
      <c r="G1282">
        <f>"Medium"</f>
        <v/>
      </c>
      <c r="H1282">
        <f>TRIM(IF(LEN(IF(LEN(INDEX('Aides'!$P$4:$P$503,279))=0,"",INDEX('Aides'!$P$4:$P$503,279)))=0,"","Hours done: "&amp;IF(LEN(INDEX('Aides'!$P$4:$P$503,279))=0,"",INDEX('Aides'!$P$4:$P$503,279))&amp;". ")&amp;IF(LEN(IF(LEN(INDEX('Aides'!$Q$4:$Q$503,279))=0,"",INDEX('Aides'!$Q$4:$Q$503,279)))=0,"","Target: "&amp;IF(LEN(INDEX('Aides'!$Q$4:$Q$503,279))=0,"",INDEX('Aides'!$Q$4:$Q$503,279))&amp;". ")&amp;IF(LEN(IF(LEN(INDEX('Aides'!$R$4:$R$503,279))=0,"",INDEX('Aides'!$R$4:$R$503,279)))=0,"","Hours still needed: "&amp;IF(LEN(INDEX('Aides'!$R$4:$R$503,279))=0,"",INDEX('Aides'!$R$4:$R$503,279))&amp;". ")&amp;IF(LEN(IF(LEN(INDEX('Aides'!$U$4:$U$503,279))=0,"",INDEX('Aides'!$U$4:$U$503,279)))=0,"","Owner: "&amp;IF(LEN(INDEX('Aides'!$U$4:$U$503,279))=0,"",INDEX('Aides'!$U$4:$U$503,279))&amp;". "))</f>
        <v/>
      </c>
      <c r="I1282">
        <f>""</f>
        <v/>
      </c>
      <c r="J1282">
        <f>IF(LEN(INDEX('Aides'!$V$4:$V$503,279))=0,"",INDEX('Aides'!$V$4:$V$503,279))</f>
        <v/>
      </c>
    </row>
    <row r="1283">
      <c r="A1283">
        <f>IF(AND(LEN('Aides'!A283)&gt;0,ISNUMBER('Aides'!O283)),1,0)</f>
        <v/>
      </c>
      <c r="B1283">
        <f>B1282+A1283</f>
        <v/>
      </c>
      <c r="C1283">
        <f>IF(1280&gt;$B$1503,"",MATCH(1280-0.5,$B$3:$B$1503,1))</f>
        <v/>
      </c>
      <c r="D1283">
        <f>"In-service hours due – "&amp;IF(LEN(INDEX('Aides'!$A$4:$A$503,280))=0,"",INDEX('Aides'!$A$4:$A$503,280))</f>
        <v/>
      </c>
      <c r="E1283">
        <f>IF(ISNUMBER(INDEX('Aides'!$O$4:$O$503,280)),TEXT(INDEX('Aides'!$O$4:$O$503,280),"yyyy-mm-dd"),"")</f>
        <v/>
      </c>
      <c r="F1283">
        <f>"Training"</f>
        <v/>
      </c>
      <c r="G1283">
        <f>"Medium"</f>
        <v/>
      </c>
      <c r="H1283">
        <f>TRIM(IF(LEN(IF(LEN(INDEX('Aides'!$P$4:$P$503,280))=0,"",INDEX('Aides'!$P$4:$P$503,280)))=0,"","Hours done: "&amp;IF(LEN(INDEX('Aides'!$P$4:$P$503,280))=0,"",INDEX('Aides'!$P$4:$P$503,280))&amp;". ")&amp;IF(LEN(IF(LEN(INDEX('Aides'!$Q$4:$Q$503,280))=0,"",INDEX('Aides'!$Q$4:$Q$503,280)))=0,"","Target: "&amp;IF(LEN(INDEX('Aides'!$Q$4:$Q$503,280))=0,"",INDEX('Aides'!$Q$4:$Q$503,280))&amp;". ")&amp;IF(LEN(IF(LEN(INDEX('Aides'!$R$4:$R$503,280))=0,"",INDEX('Aides'!$R$4:$R$503,280)))=0,"","Hours still needed: "&amp;IF(LEN(INDEX('Aides'!$R$4:$R$503,280))=0,"",INDEX('Aides'!$R$4:$R$503,280))&amp;". ")&amp;IF(LEN(IF(LEN(INDEX('Aides'!$U$4:$U$503,280))=0,"",INDEX('Aides'!$U$4:$U$503,280)))=0,"","Owner: "&amp;IF(LEN(INDEX('Aides'!$U$4:$U$503,280))=0,"",INDEX('Aides'!$U$4:$U$503,280))&amp;". "))</f>
        <v/>
      </c>
      <c r="I1283">
        <f>""</f>
        <v/>
      </c>
      <c r="J1283">
        <f>IF(LEN(INDEX('Aides'!$V$4:$V$503,280))=0,"",INDEX('Aides'!$V$4:$V$503,280))</f>
        <v/>
      </c>
    </row>
    <row r="1284">
      <c r="A1284">
        <f>IF(AND(LEN('Aides'!A284)&gt;0,ISNUMBER('Aides'!O284)),1,0)</f>
        <v/>
      </c>
      <c r="B1284">
        <f>B1283+A1284</f>
        <v/>
      </c>
      <c r="C1284">
        <f>IF(1281&gt;$B$1503,"",MATCH(1281-0.5,$B$3:$B$1503,1))</f>
        <v/>
      </c>
      <c r="D1284">
        <f>"In-service hours due – "&amp;IF(LEN(INDEX('Aides'!$A$4:$A$503,281))=0,"",INDEX('Aides'!$A$4:$A$503,281))</f>
        <v/>
      </c>
      <c r="E1284">
        <f>IF(ISNUMBER(INDEX('Aides'!$O$4:$O$503,281)),TEXT(INDEX('Aides'!$O$4:$O$503,281),"yyyy-mm-dd"),"")</f>
        <v/>
      </c>
      <c r="F1284">
        <f>"Training"</f>
        <v/>
      </c>
      <c r="G1284">
        <f>"Medium"</f>
        <v/>
      </c>
      <c r="H1284">
        <f>TRIM(IF(LEN(IF(LEN(INDEX('Aides'!$P$4:$P$503,281))=0,"",INDEX('Aides'!$P$4:$P$503,281)))=0,"","Hours done: "&amp;IF(LEN(INDEX('Aides'!$P$4:$P$503,281))=0,"",INDEX('Aides'!$P$4:$P$503,281))&amp;". ")&amp;IF(LEN(IF(LEN(INDEX('Aides'!$Q$4:$Q$503,281))=0,"",INDEX('Aides'!$Q$4:$Q$503,281)))=0,"","Target: "&amp;IF(LEN(INDEX('Aides'!$Q$4:$Q$503,281))=0,"",INDEX('Aides'!$Q$4:$Q$503,281))&amp;". ")&amp;IF(LEN(IF(LEN(INDEX('Aides'!$R$4:$R$503,281))=0,"",INDEX('Aides'!$R$4:$R$503,281)))=0,"","Hours still needed: "&amp;IF(LEN(INDEX('Aides'!$R$4:$R$503,281))=0,"",INDEX('Aides'!$R$4:$R$503,281))&amp;". ")&amp;IF(LEN(IF(LEN(INDEX('Aides'!$U$4:$U$503,281))=0,"",INDEX('Aides'!$U$4:$U$503,281)))=0,"","Owner: "&amp;IF(LEN(INDEX('Aides'!$U$4:$U$503,281))=0,"",INDEX('Aides'!$U$4:$U$503,281))&amp;". "))</f>
        <v/>
      </c>
      <c r="I1284">
        <f>""</f>
        <v/>
      </c>
      <c r="J1284">
        <f>IF(LEN(INDEX('Aides'!$V$4:$V$503,281))=0,"",INDEX('Aides'!$V$4:$V$503,281))</f>
        <v/>
      </c>
    </row>
    <row r="1285">
      <c r="A1285">
        <f>IF(AND(LEN('Aides'!A285)&gt;0,ISNUMBER('Aides'!O285)),1,0)</f>
        <v/>
      </c>
      <c r="B1285">
        <f>B1284+A1285</f>
        <v/>
      </c>
      <c r="C1285">
        <f>IF(1282&gt;$B$1503,"",MATCH(1282-0.5,$B$3:$B$1503,1))</f>
        <v/>
      </c>
      <c r="D1285">
        <f>"In-service hours due – "&amp;IF(LEN(INDEX('Aides'!$A$4:$A$503,282))=0,"",INDEX('Aides'!$A$4:$A$503,282))</f>
        <v/>
      </c>
      <c r="E1285">
        <f>IF(ISNUMBER(INDEX('Aides'!$O$4:$O$503,282)),TEXT(INDEX('Aides'!$O$4:$O$503,282),"yyyy-mm-dd"),"")</f>
        <v/>
      </c>
      <c r="F1285">
        <f>"Training"</f>
        <v/>
      </c>
      <c r="G1285">
        <f>"Medium"</f>
        <v/>
      </c>
      <c r="H1285">
        <f>TRIM(IF(LEN(IF(LEN(INDEX('Aides'!$P$4:$P$503,282))=0,"",INDEX('Aides'!$P$4:$P$503,282)))=0,"","Hours done: "&amp;IF(LEN(INDEX('Aides'!$P$4:$P$503,282))=0,"",INDEX('Aides'!$P$4:$P$503,282))&amp;". ")&amp;IF(LEN(IF(LEN(INDEX('Aides'!$Q$4:$Q$503,282))=0,"",INDEX('Aides'!$Q$4:$Q$503,282)))=0,"","Target: "&amp;IF(LEN(INDEX('Aides'!$Q$4:$Q$503,282))=0,"",INDEX('Aides'!$Q$4:$Q$503,282))&amp;". ")&amp;IF(LEN(IF(LEN(INDEX('Aides'!$R$4:$R$503,282))=0,"",INDEX('Aides'!$R$4:$R$503,282)))=0,"","Hours still needed: "&amp;IF(LEN(INDEX('Aides'!$R$4:$R$503,282))=0,"",INDEX('Aides'!$R$4:$R$503,282))&amp;". ")&amp;IF(LEN(IF(LEN(INDEX('Aides'!$U$4:$U$503,282))=0,"",INDEX('Aides'!$U$4:$U$503,282)))=0,"","Owner: "&amp;IF(LEN(INDEX('Aides'!$U$4:$U$503,282))=0,"",INDEX('Aides'!$U$4:$U$503,282))&amp;". "))</f>
        <v/>
      </c>
      <c r="I1285">
        <f>""</f>
        <v/>
      </c>
      <c r="J1285">
        <f>IF(LEN(INDEX('Aides'!$V$4:$V$503,282))=0,"",INDEX('Aides'!$V$4:$V$503,282))</f>
        <v/>
      </c>
    </row>
    <row r="1286">
      <c r="A1286">
        <f>IF(AND(LEN('Aides'!A286)&gt;0,ISNUMBER('Aides'!O286)),1,0)</f>
        <v/>
      </c>
      <c r="B1286">
        <f>B1285+A1286</f>
        <v/>
      </c>
      <c r="C1286">
        <f>IF(1283&gt;$B$1503,"",MATCH(1283-0.5,$B$3:$B$1503,1))</f>
        <v/>
      </c>
      <c r="D1286">
        <f>"In-service hours due – "&amp;IF(LEN(INDEX('Aides'!$A$4:$A$503,283))=0,"",INDEX('Aides'!$A$4:$A$503,283))</f>
        <v/>
      </c>
      <c r="E1286">
        <f>IF(ISNUMBER(INDEX('Aides'!$O$4:$O$503,283)),TEXT(INDEX('Aides'!$O$4:$O$503,283),"yyyy-mm-dd"),"")</f>
        <v/>
      </c>
      <c r="F1286">
        <f>"Training"</f>
        <v/>
      </c>
      <c r="G1286">
        <f>"Medium"</f>
        <v/>
      </c>
      <c r="H1286">
        <f>TRIM(IF(LEN(IF(LEN(INDEX('Aides'!$P$4:$P$503,283))=0,"",INDEX('Aides'!$P$4:$P$503,283)))=0,"","Hours done: "&amp;IF(LEN(INDEX('Aides'!$P$4:$P$503,283))=0,"",INDEX('Aides'!$P$4:$P$503,283))&amp;". ")&amp;IF(LEN(IF(LEN(INDEX('Aides'!$Q$4:$Q$503,283))=0,"",INDEX('Aides'!$Q$4:$Q$503,283)))=0,"","Target: "&amp;IF(LEN(INDEX('Aides'!$Q$4:$Q$503,283))=0,"",INDEX('Aides'!$Q$4:$Q$503,283))&amp;". ")&amp;IF(LEN(IF(LEN(INDEX('Aides'!$R$4:$R$503,283))=0,"",INDEX('Aides'!$R$4:$R$503,283)))=0,"","Hours still needed: "&amp;IF(LEN(INDEX('Aides'!$R$4:$R$503,283))=0,"",INDEX('Aides'!$R$4:$R$503,283))&amp;". ")&amp;IF(LEN(IF(LEN(INDEX('Aides'!$U$4:$U$503,283))=0,"",INDEX('Aides'!$U$4:$U$503,283)))=0,"","Owner: "&amp;IF(LEN(INDEX('Aides'!$U$4:$U$503,283))=0,"",INDEX('Aides'!$U$4:$U$503,283))&amp;". "))</f>
        <v/>
      </c>
      <c r="I1286">
        <f>""</f>
        <v/>
      </c>
      <c r="J1286">
        <f>IF(LEN(INDEX('Aides'!$V$4:$V$503,283))=0,"",INDEX('Aides'!$V$4:$V$503,283))</f>
        <v/>
      </c>
    </row>
    <row r="1287">
      <c r="A1287">
        <f>IF(AND(LEN('Aides'!A287)&gt;0,ISNUMBER('Aides'!O287)),1,0)</f>
        <v/>
      </c>
      <c r="B1287">
        <f>B1286+A1287</f>
        <v/>
      </c>
      <c r="C1287">
        <f>IF(1284&gt;$B$1503,"",MATCH(1284-0.5,$B$3:$B$1503,1))</f>
        <v/>
      </c>
      <c r="D1287">
        <f>"In-service hours due – "&amp;IF(LEN(INDEX('Aides'!$A$4:$A$503,284))=0,"",INDEX('Aides'!$A$4:$A$503,284))</f>
        <v/>
      </c>
      <c r="E1287">
        <f>IF(ISNUMBER(INDEX('Aides'!$O$4:$O$503,284)),TEXT(INDEX('Aides'!$O$4:$O$503,284),"yyyy-mm-dd"),"")</f>
        <v/>
      </c>
      <c r="F1287">
        <f>"Training"</f>
        <v/>
      </c>
      <c r="G1287">
        <f>"Medium"</f>
        <v/>
      </c>
      <c r="H1287">
        <f>TRIM(IF(LEN(IF(LEN(INDEX('Aides'!$P$4:$P$503,284))=0,"",INDEX('Aides'!$P$4:$P$503,284)))=0,"","Hours done: "&amp;IF(LEN(INDEX('Aides'!$P$4:$P$503,284))=0,"",INDEX('Aides'!$P$4:$P$503,284))&amp;". ")&amp;IF(LEN(IF(LEN(INDEX('Aides'!$Q$4:$Q$503,284))=0,"",INDEX('Aides'!$Q$4:$Q$503,284)))=0,"","Target: "&amp;IF(LEN(INDEX('Aides'!$Q$4:$Q$503,284))=0,"",INDEX('Aides'!$Q$4:$Q$503,284))&amp;". ")&amp;IF(LEN(IF(LEN(INDEX('Aides'!$R$4:$R$503,284))=0,"",INDEX('Aides'!$R$4:$R$503,284)))=0,"","Hours still needed: "&amp;IF(LEN(INDEX('Aides'!$R$4:$R$503,284))=0,"",INDEX('Aides'!$R$4:$R$503,284))&amp;". ")&amp;IF(LEN(IF(LEN(INDEX('Aides'!$U$4:$U$503,284))=0,"",INDEX('Aides'!$U$4:$U$503,284)))=0,"","Owner: "&amp;IF(LEN(INDEX('Aides'!$U$4:$U$503,284))=0,"",INDEX('Aides'!$U$4:$U$503,284))&amp;". "))</f>
        <v/>
      </c>
      <c r="I1287">
        <f>""</f>
        <v/>
      </c>
      <c r="J1287">
        <f>IF(LEN(INDEX('Aides'!$V$4:$V$503,284))=0,"",INDEX('Aides'!$V$4:$V$503,284))</f>
        <v/>
      </c>
    </row>
    <row r="1288">
      <c r="A1288">
        <f>IF(AND(LEN('Aides'!A288)&gt;0,ISNUMBER('Aides'!O288)),1,0)</f>
        <v/>
      </c>
      <c r="B1288">
        <f>B1287+A1288</f>
        <v/>
      </c>
      <c r="C1288">
        <f>IF(1285&gt;$B$1503,"",MATCH(1285-0.5,$B$3:$B$1503,1))</f>
        <v/>
      </c>
      <c r="D1288">
        <f>"In-service hours due – "&amp;IF(LEN(INDEX('Aides'!$A$4:$A$503,285))=0,"",INDEX('Aides'!$A$4:$A$503,285))</f>
        <v/>
      </c>
      <c r="E1288">
        <f>IF(ISNUMBER(INDEX('Aides'!$O$4:$O$503,285)),TEXT(INDEX('Aides'!$O$4:$O$503,285),"yyyy-mm-dd"),"")</f>
        <v/>
      </c>
      <c r="F1288">
        <f>"Training"</f>
        <v/>
      </c>
      <c r="G1288">
        <f>"Medium"</f>
        <v/>
      </c>
      <c r="H1288">
        <f>TRIM(IF(LEN(IF(LEN(INDEX('Aides'!$P$4:$P$503,285))=0,"",INDEX('Aides'!$P$4:$P$503,285)))=0,"","Hours done: "&amp;IF(LEN(INDEX('Aides'!$P$4:$P$503,285))=0,"",INDEX('Aides'!$P$4:$P$503,285))&amp;". ")&amp;IF(LEN(IF(LEN(INDEX('Aides'!$Q$4:$Q$503,285))=0,"",INDEX('Aides'!$Q$4:$Q$503,285)))=0,"","Target: "&amp;IF(LEN(INDEX('Aides'!$Q$4:$Q$503,285))=0,"",INDEX('Aides'!$Q$4:$Q$503,285))&amp;". ")&amp;IF(LEN(IF(LEN(INDEX('Aides'!$R$4:$R$503,285))=0,"",INDEX('Aides'!$R$4:$R$503,285)))=0,"","Hours still needed: "&amp;IF(LEN(INDEX('Aides'!$R$4:$R$503,285))=0,"",INDEX('Aides'!$R$4:$R$503,285))&amp;". ")&amp;IF(LEN(IF(LEN(INDEX('Aides'!$U$4:$U$503,285))=0,"",INDEX('Aides'!$U$4:$U$503,285)))=0,"","Owner: "&amp;IF(LEN(INDEX('Aides'!$U$4:$U$503,285))=0,"",INDEX('Aides'!$U$4:$U$503,285))&amp;". "))</f>
        <v/>
      </c>
      <c r="I1288">
        <f>""</f>
        <v/>
      </c>
      <c r="J1288">
        <f>IF(LEN(INDEX('Aides'!$V$4:$V$503,285))=0,"",INDEX('Aides'!$V$4:$V$503,285))</f>
        <v/>
      </c>
    </row>
    <row r="1289">
      <c r="A1289">
        <f>IF(AND(LEN('Aides'!A289)&gt;0,ISNUMBER('Aides'!O289)),1,0)</f>
        <v/>
      </c>
      <c r="B1289">
        <f>B1288+A1289</f>
        <v/>
      </c>
      <c r="C1289">
        <f>IF(1286&gt;$B$1503,"",MATCH(1286-0.5,$B$3:$B$1503,1))</f>
        <v/>
      </c>
      <c r="D1289">
        <f>"In-service hours due – "&amp;IF(LEN(INDEX('Aides'!$A$4:$A$503,286))=0,"",INDEX('Aides'!$A$4:$A$503,286))</f>
        <v/>
      </c>
      <c r="E1289">
        <f>IF(ISNUMBER(INDEX('Aides'!$O$4:$O$503,286)),TEXT(INDEX('Aides'!$O$4:$O$503,286),"yyyy-mm-dd"),"")</f>
        <v/>
      </c>
      <c r="F1289">
        <f>"Training"</f>
        <v/>
      </c>
      <c r="G1289">
        <f>"Medium"</f>
        <v/>
      </c>
      <c r="H1289">
        <f>TRIM(IF(LEN(IF(LEN(INDEX('Aides'!$P$4:$P$503,286))=0,"",INDEX('Aides'!$P$4:$P$503,286)))=0,"","Hours done: "&amp;IF(LEN(INDEX('Aides'!$P$4:$P$503,286))=0,"",INDEX('Aides'!$P$4:$P$503,286))&amp;". ")&amp;IF(LEN(IF(LEN(INDEX('Aides'!$Q$4:$Q$503,286))=0,"",INDEX('Aides'!$Q$4:$Q$503,286)))=0,"","Target: "&amp;IF(LEN(INDEX('Aides'!$Q$4:$Q$503,286))=0,"",INDEX('Aides'!$Q$4:$Q$503,286))&amp;". ")&amp;IF(LEN(IF(LEN(INDEX('Aides'!$R$4:$R$503,286))=0,"",INDEX('Aides'!$R$4:$R$503,286)))=0,"","Hours still needed: "&amp;IF(LEN(INDEX('Aides'!$R$4:$R$503,286))=0,"",INDEX('Aides'!$R$4:$R$503,286))&amp;". ")&amp;IF(LEN(IF(LEN(INDEX('Aides'!$U$4:$U$503,286))=0,"",INDEX('Aides'!$U$4:$U$503,286)))=0,"","Owner: "&amp;IF(LEN(INDEX('Aides'!$U$4:$U$503,286))=0,"",INDEX('Aides'!$U$4:$U$503,286))&amp;". "))</f>
        <v/>
      </c>
      <c r="I1289">
        <f>""</f>
        <v/>
      </c>
      <c r="J1289">
        <f>IF(LEN(INDEX('Aides'!$V$4:$V$503,286))=0,"",INDEX('Aides'!$V$4:$V$503,286))</f>
        <v/>
      </c>
    </row>
    <row r="1290">
      <c r="A1290">
        <f>IF(AND(LEN('Aides'!A290)&gt;0,ISNUMBER('Aides'!O290)),1,0)</f>
        <v/>
      </c>
      <c r="B1290">
        <f>B1289+A1290</f>
        <v/>
      </c>
      <c r="C1290">
        <f>IF(1287&gt;$B$1503,"",MATCH(1287-0.5,$B$3:$B$1503,1))</f>
        <v/>
      </c>
      <c r="D1290">
        <f>"In-service hours due – "&amp;IF(LEN(INDEX('Aides'!$A$4:$A$503,287))=0,"",INDEX('Aides'!$A$4:$A$503,287))</f>
        <v/>
      </c>
      <c r="E1290">
        <f>IF(ISNUMBER(INDEX('Aides'!$O$4:$O$503,287)),TEXT(INDEX('Aides'!$O$4:$O$503,287),"yyyy-mm-dd"),"")</f>
        <v/>
      </c>
      <c r="F1290">
        <f>"Training"</f>
        <v/>
      </c>
      <c r="G1290">
        <f>"Medium"</f>
        <v/>
      </c>
      <c r="H1290">
        <f>TRIM(IF(LEN(IF(LEN(INDEX('Aides'!$P$4:$P$503,287))=0,"",INDEX('Aides'!$P$4:$P$503,287)))=0,"","Hours done: "&amp;IF(LEN(INDEX('Aides'!$P$4:$P$503,287))=0,"",INDEX('Aides'!$P$4:$P$503,287))&amp;". ")&amp;IF(LEN(IF(LEN(INDEX('Aides'!$Q$4:$Q$503,287))=0,"",INDEX('Aides'!$Q$4:$Q$503,287)))=0,"","Target: "&amp;IF(LEN(INDEX('Aides'!$Q$4:$Q$503,287))=0,"",INDEX('Aides'!$Q$4:$Q$503,287))&amp;". ")&amp;IF(LEN(IF(LEN(INDEX('Aides'!$R$4:$R$503,287))=0,"",INDEX('Aides'!$R$4:$R$503,287)))=0,"","Hours still needed: "&amp;IF(LEN(INDEX('Aides'!$R$4:$R$503,287))=0,"",INDEX('Aides'!$R$4:$R$503,287))&amp;". ")&amp;IF(LEN(IF(LEN(INDEX('Aides'!$U$4:$U$503,287))=0,"",INDEX('Aides'!$U$4:$U$503,287)))=0,"","Owner: "&amp;IF(LEN(INDEX('Aides'!$U$4:$U$503,287))=0,"",INDEX('Aides'!$U$4:$U$503,287))&amp;". "))</f>
        <v/>
      </c>
      <c r="I1290">
        <f>""</f>
        <v/>
      </c>
      <c r="J1290">
        <f>IF(LEN(INDEX('Aides'!$V$4:$V$503,287))=0,"",INDEX('Aides'!$V$4:$V$503,287))</f>
        <v/>
      </c>
    </row>
    <row r="1291">
      <c r="A1291">
        <f>IF(AND(LEN('Aides'!A291)&gt;0,ISNUMBER('Aides'!O291)),1,0)</f>
        <v/>
      </c>
      <c r="B1291">
        <f>B1290+A1291</f>
        <v/>
      </c>
      <c r="C1291">
        <f>IF(1288&gt;$B$1503,"",MATCH(1288-0.5,$B$3:$B$1503,1))</f>
        <v/>
      </c>
      <c r="D1291">
        <f>"In-service hours due – "&amp;IF(LEN(INDEX('Aides'!$A$4:$A$503,288))=0,"",INDEX('Aides'!$A$4:$A$503,288))</f>
        <v/>
      </c>
      <c r="E1291">
        <f>IF(ISNUMBER(INDEX('Aides'!$O$4:$O$503,288)),TEXT(INDEX('Aides'!$O$4:$O$503,288),"yyyy-mm-dd"),"")</f>
        <v/>
      </c>
      <c r="F1291">
        <f>"Training"</f>
        <v/>
      </c>
      <c r="G1291">
        <f>"Medium"</f>
        <v/>
      </c>
      <c r="H1291">
        <f>TRIM(IF(LEN(IF(LEN(INDEX('Aides'!$P$4:$P$503,288))=0,"",INDEX('Aides'!$P$4:$P$503,288)))=0,"","Hours done: "&amp;IF(LEN(INDEX('Aides'!$P$4:$P$503,288))=0,"",INDEX('Aides'!$P$4:$P$503,288))&amp;". ")&amp;IF(LEN(IF(LEN(INDEX('Aides'!$Q$4:$Q$503,288))=0,"",INDEX('Aides'!$Q$4:$Q$503,288)))=0,"","Target: "&amp;IF(LEN(INDEX('Aides'!$Q$4:$Q$503,288))=0,"",INDEX('Aides'!$Q$4:$Q$503,288))&amp;". ")&amp;IF(LEN(IF(LEN(INDEX('Aides'!$R$4:$R$503,288))=0,"",INDEX('Aides'!$R$4:$R$503,288)))=0,"","Hours still needed: "&amp;IF(LEN(INDEX('Aides'!$R$4:$R$503,288))=0,"",INDEX('Aides'!$R$4:$R$503,288))&amp;". ")&amp;IF(LEN(IF(LEN(INDEX('Aides'!$U$4:$U$503,288))=0,"",INDEX('Aides'!$U$4:$U$503,288)))=0,"","Owner: "&amp;IF(LEN(INDEX('Aides'!$U$4:$U$503,288))=0,"",INDEX('Aides'!$U$4:$U$503,288))&amp;". "))</f>
        <v/>
      </c>
      <c r="I1291">
        <f>""</f>
        <v/>
      </c>
      <c r="J1291">
        <f>IF(LEN(INDEX('Aides'!$V$4:$V$503,288))=0,"",INDEX('Aides'!$V$4:$V$503,288))</f>
        <v/>
      </c>
    </row>
    <row r="1292">
      <c r="A1292">
        <f>IF(AND(LEN('Aides'!A292)&gt;0,ISNUMBER('Aides'!O292)),1,0)</f>
        <v/>
      </c>
      <c r="B1292">
        <f>B1291+A1292</f>
        <v/>
      </c>
      <c r="C1292">
        <f>IF(1289&gt;$B$1503,"",MATCH(1289-0.5,$B$3:$B$1503,1))</f>
        <v/>
      </c>
      <c r="D1292">
        <f>"In-service hours due – "&amp;IF(LEN(INDEX('Aides'!$A$4:$A$503,289))=0,"",INDEX('Aides'!$A$4:$A$503,289))</f>
        <v/>
      </c>
      <c r="E1292">
        <f>IF(ISNUMBER(INDEX('Aides'!$O$4:$O$503,289)),TEXT(INDEX('Aides'!$O$4:$O$503,289),"yyyy-mm-dd"),"")</f>
        <v/>
      </c>
      <c r="F1292">
        <f>"Training"</f>
        <v/>
      </c>
      <c r="G1292">
        <f>"Medium"</f>
        <v/>
      </c>
      <c r="H1292">
        <f>TRIM(IF(LEN(IF(LEN(INDEX('Aides'!$P$4:$P$503,289))=0,"",INDEX('Aides'!$P$4:$P$503,289)))=0,"","Hours done: "&amp;IF(LEN(INDEX('Aides'!$P$4:$P$503,289))=0,"",INDEX('Aides'!$P$4:$P$503,289))&amp;". ")&amp;IF(LEN(IF(LEN(INDEX('Aides'!$Q$4:$Q$503,289))=0,"",INDEX('Aides'!$Q$4:$Q$503,289)))=0,"","Target: "&amp;IF(LEN(INDEX('Aides'!$Q$4:$Q$503,289))=0,"",INDEX('Aides'!$Q$4:$Q$503,289))&amp;". ")&amp;IF(LEN(IF(LEN(INDEX('Aides'!$R$4:$R$503,289))=0,"",INDEX('Aides'!$R$4:$R$503,289)))=0,"","Hours still needed: "&amp;IF(LEN(INDEX('Aides'!$R$4:$R$503,289))=0,"",INDEX('Aides'!$R$4:$R$503,289))&amp;". ")&amp;IF(LEN(IF(LEN(INDEX('Aides'!$U$4:$U$503,289))=0,"",INDEX('Aides'!$U$4:$U$503,289)))=0,"","Owner: "&amp;IF(LEN(INDEX('Aides'!$U$4:$U$503,289))=0,"",INDEX('Aides'!$U$4:$U$503,289))&amp;". "))</f>
        <v/>
      </c>
      <c r="I1292">
        <f>""</f>
        <v/>
      </c>
      <c r="J1292">
        <f>IF(LEN(INDEX('Aides'!$V$4:$V$503,289))=0,"",INDEX('Aides'!$V$4:$V$503,289))</f>
        <v/>
      </c>
    </row>
    <row r="1293">
      <c r="A1293">
        <f>IF(AND(LEN('Aides'!A293)&gt;0,ISNUMBER('Aides'!O293)),1,0)</f>
        <v/>
      </c>
      <c r="B1293">
        <f>B1292+A1293</f>
        <v/>
      </c>
      <c r="C1293">
        <f>IF(1290&gt;$B$1503,"",MATCH(1290-0.5,$B$3:$B$1503,1))</f>
        <v/>
      </c>
      <c r="D1293">
        <f>"In-service hours due – "&amp;IF(LEN(INDEX('Aides'!$A$4:$A$503,290))=0,"",INDEX('Aides'!$A$4:$A$503,290))</f>
        <v/>
      </c>
      <c r="E1293">
        <f>IF(ISNUMBER(INDEX('Aides'!$O$4:$O$503,290)),TEXT(INDEX('Aides'!$O$4:$O$503,290),"yyyy-mm-dd"),"")</f>
        <v/>
      </c>
      <c r="F1293">
        <f>"Training"</f>
        <v/>
      </c>
      <c r="G1293">
        <f>"Medium"</f>
        <v/>
      </c>
      <c r="H1293">
        <f>TRIM(IF(LEN(IF(LEN(INDEX('Aides'!$P$4:$P$503,290))=0,"",INDEX('Aides'!$P$4:$P$503,290)))=0,"","Hours done: "&amp;IF(LEN(INDEX('Aides'!$P$4:$P$503,290))=0,"",INDEX('Aides'!$P$4:$P$503,290))&amp;". ")&amp;IF(LEN(IF(LEN(INDEX('Aides'!$Q$4:$Q$503,290))=0,"",INDEX('Aides'!$Q$4:$Q$503,290)))=0,"","Target: "&amp;IF(LEN(INDEX('Aides'!$Q$4:$Q$503,290))=0,"",INDEX('Aides'!$Q$4:$Q$503,290))&amp;". ")&amp;IF(LEN(IF(LEN(INDEX('Aides'!$R$4:$R$503,290))=0,"",INDEX('Aides'!$R$4:$R$503,290)))=0,"","Hours still needed: "&amp;IF(LEN(INDEX('Aides'!$R$4:$R$503,290))=0,"",INDEX('Aides'!$R$4:$R$503,290))&amp;". ")&amp;IF(LEN(IF(LEN(INDEX('Aides'!$U$4:$U$503,290))=0,"",INDEX('Aides'!$U$4:$U$503,290)))=0,"","Owner: "&amp;IF(LEN(INDEX('Aides'!$U$4:$U$503,290))=0,"",INDEX('Aides'!$U$4:$U$503,290))&amp;". "))</f>
        <v/>
      </c>
      <c r="I1293">
        <f>""</f>
        <v/>
      </c>
      <c r="J1293">
        <f>IF(LEN(INDEX('Aides'!$V$4:$V$503,290))=0,"",INDEX('Aides'!$V$4:$V$503,290))</f>
        <v/>
      </c>
    </row>
    <row r="1294">
      <c r="A1294">
        <f>IF(AND(LEN('Aides'!A294)&gt;0,ISNUMBER('Aides'!O294)),1,0)</f>
        <v/>
      </c>
      <c r="B1294">
        <f>B1293+A1294</f>
        <v/>
      </c>
      <c r="C1294">
        <f>IF(1291&gt;$B$1503,"",MATCH(1291-0.5,$B$3:$B$1503,1))</f>
        <v/>
      </c>
      <c r="D1294">
        <f>"In-service hours due – "&amp;IF(LEN(INDEX('Aides'!$A$4:$A$503,291))=0,"",INDEX('Aides'!$A$4:$A$503,291))</f>
        <v/>
      </c>
      <c r="E1294">
        <f>IF(ISNUMBER(INDEX('Aides'!$O$4:$O$503,291)),TEXT(INDEX('Aides'!$O$4:$O$503,291),"yyyy-mm-dd"),"")</f>
        <v/>
      </c>
      <c r="F1294">
        <f>"Training"</f>
        <v/>
      </c>
      <c r="G1294">
        <f>"Medium"</f>
        <v/>
      </c>
      <c r="H1294">
        <f>TRIM(IF(LEN(IF(LEN(INDEX('Aides'!$P$4:$P$503,291))=0,"",INDEX('Aides'!$P$4:$P$503,291)))=0,"","Hours done: "&amp;IF(LEN(INDEX('Aides'!$P$4:$P$503,291))=0,"",INDEX('Aides'!$P$4:$P$503,291))&amp;". ")&amp;IF(LEN(IF(LEN(INDEX('Aides'!$Q$4:$Q$503,291))=0,"",INDEX('Aides'!$Q$4:$Q$503,291)))=0,"","Target: "&amp;IF(LEN(INDEX('Aides'!$Q$4:$Q$503,291))=0,"",INDEX('Aides'!$Q$4:$Q$503,291))&amp;". ")&amp;IF(LEN(IF(LEN(INDEX('Aides'!$R$4:$R$503,291))=0,"",INDEX('Aides'!$R$4:$R$503,291)))=0,"","Hours still needed: "&amp;IF(LEN(INDEX('Aides'!$R$4:$R$503,291))=0,"",INDEX('Aides'!$R$4:$R$503,291))&amp;". ")&amp;IF(LEN(IF(LEN(INDEX('Aides'!$U$4:$U$503,291))=0,"",INDEX('Aides'!$U$4:$U$503,291)))=0,"","Owner: "&amp;IF(LEN(INDEX('Aides'!$U$4:$U$503,291))=0,"",INDEX('Aides'!$U$4:$U$503,291))&amp;". "))</f>
        <v/>
      </c>
      <c r="I1294">
        <f>""</f>
        <v/>
      </c>
      <c r="J1294">
        <f>IF(LEN(INDEX('Aides'!$V$4:$V$503,291))=0,"",INDEX('Aides'!$V$4:$V$503,291))</f>
        <v/>
      </c>
    </row>
    <row r="1295">
      <c r="A1295">
        <f>IF(AND(LEN('Aides'!A295)&gt;0,ISNUMBER('Aides'!O295)),1,0)</f>
        <v/>
      </c>
      <c r="B1295">
        <f>B1294+A1295</f>
        <v/>
      </c>
      <c r="C1295">
        <f>IF(1292&gt;$B$1503,"",MATCH(1292-0.5,$B$3:$B$1503,1))</f>
        <v/>
      </c>
      <c r="D1295">
        <f>"In-service hours due – "&amp;IF(LEN(INDEX('Aides'!$A$4:$A$503,292))=0,"",INDEX('Aides'!$A$4:$A$503,292))</f>
        <v/>
      </c>
      <c r="E1295">
        <f>IF(ISNUMBER(INDEX('Aides'!$O$4:$O$503,292)),TEXT(INDEX('Aides'!$O$4:$O$503,292),"yyyy-mm-dd"),"")</f>
        <v/>
      </c>
      <c r="F1295">
        <f>"Training"</f>
        <v/>
      </c>
      <c r="G1295">
        <f>"Medium"</f>
        <v/>
      </c>
      <c r="H1295">
        <f>TRIM(IF(LEN(IF(LEN(INDEX('Aides'!$P$4:$P$503,292))=0,"",INDEX('Aides'!$P$4:$P$503,292)))=0,"","Hours done: "&amp;IF(LEN(INDEX('Aides'!$P$4:$P$503,292))=0,"",INDEX('Aides'!$P$4:$P$503,292))&amp;". ")&amp;IF(LEN(IF(LEN(INDEX('Aides'!$Q$4:$Q$503,292))=0,"",INDEX('Aides'!$Q$4:$Q$503,292)))=0,"","Target: "&amp;IF(LEN(INDEX('Aides'!$Q$4:$Q$503,292))=0,"",INDEX('Aides'!$Q$4:$Q$503,292))&amp;". ")&amp;IF(LEN(IF(LEN(INDEX('Aides'!$R$4:$R$503,292))=0,"",INDEX('Aides'!$R$4:$R$503,292)))=0,"","Hours still needed: "&amp;IF(LEN(INDEX('Aides'!$R$4:$R$503,292))=0,"",INDEX('Aides'!$R$4:$R$503,292))&amp;". ")&amp;IF(LEN(IF(LEN(INDEX('Aides'!$U$4:$U$503,292))=0,"",INDEX('Aides'!$U$4:$U$503,292)))=0,"","Owner: "&amp;IF(LEN(INDEX('Aides'!$U$4:$U$503,292))=0,"",INDEX('Aides'!$U$4:$U$503,292))&amp;". "))</f>
        <v/>
      </c>
      <c r="I1295">
        <f>""</f>
        <v/>
      </c>
      <c r="J1295">
        <f>IF(LEN(INDEX('Aides'!$V$4:$V$503,292))=0,"",INDEX('Aides'!$V$4:$V$503,292))</f>
        <v/>
      </c>
    </row>
    <row r="1296">
      <c r="A1296">
        <f>IF(AND(LEN('Aides'!A296)&gt;0,ISNUMBER('Aides'!O296)),1,0)</f>
        <v/>
      </c>
      <c r="B1296">
        <f>B1295+A1296</f>
        <v/>
      </c>
      <c r="C1296">
        <f>IF(1293&gt;$B$1503,"",MATCH(1293-0.5,$B$3:$B$1503,1))</f>
        <v/>
      </c>
      <c r="D1296">
        <f>"In-service hours due – "&amp;IF(LEN(INDEX('Aides'!$A$4:$A$503,293))=0,"",INDEX('Aides'!$A$4:$A$503,293))</f>
        <v/>
      </c>
      <c r="E1296">
        <f>IF(ISNUMBER(INDEX('Aides'!$O$4:$O$503,293)),TEXT(INDEX('Aides'!$O$4:$O$503,293),"yyyy-mm-dd"),"")</f>
        <v/>
      </c>
      <c r="F1296">
        <f>"Training"</f>
        <v/>
      </c>
      <c r="G1296">
        <f>"Medium"</f>
        <v/>
      </c>
      <c r="H1296">
        <f>TRIM(IF(LEN(IF(LEN(INDEX('Aides'!$P$4:$P$503,293))=0,"",INDEX('Aides'!$P$4:$P$503,293)))=0,"","Hours done: "&amp;IF(LEN(INDEX('Aides'!$P$4:$P$503,293))=0,"",INDEX('Aides'!$P$4:$P$503,293))&amp;". ")&amp;IF(LEN(IF(LEN(INDEX('Aides'!$Q$4:$Q$503,293))=0,"",INDEX('Aides'!$Q$4:$Q$503,293)))=0,"","Target: "&amp;IF(LEN(INDEX('Aides'!$Q$4:$Q$503,293))=0,"",INDEX('Aides'!$Q$4:$Q$503,293))&amp;". ")&amp;IF(LEN(IF(LEN(INDEX('Aides'!$R$4:$R$503,293))=0,"",INDEX('Aides'!$R$4:$R$503,293)))=0,"","Hours still needed: "&amp;IF(LEN(INDEX('Aides'!$R$4:$R$503,293))=0,"",INDEX('Aides'!$R$4:$R$503,293))&amp;". ")&amp;IF(LEN(IF(LEN(INDEX('Aides'!$U$4:$U$503,293))=0,"",INDEX('Aides'!$U$4:$U$503,293)))=0,"","Owner: "&amp;IF(LEN(INDEX('Aides'!$U$4:$U$503,293))=0,"",INDEX('Aides'!$U$4:$U$503,293))&amp;". "))</f>
        <v/>
      </c>
      <c r="I1296">
        <f>""</f>
        <v/>
      </c>
      <c r="J1296">
        <f>IF(LEN(INDEX('Aides'!$V$4:$V$503,293))=0,"",INDEX('Aides'!$V$4:$V$503,293))</f>
        <v/>
      </c>
    </row>
    <row r="1297">
      <c r="A1297">
        <f>IF(AND(LEN('Aides'!A297)&gt;0,ISNUMBER('Aides'!O297)),1,0)</f>
        <v/>
      </c>
      <c r="B1297">
        <f>B1296+A1297</f>
        <v/>
      </c>
      <c r="C1297">
        <f>IF(1294&gt;$B$1503,"",MATCH(1294-0.5,$B$3:$B$1503,1))</f>
        <v/>
      </c>
      <c r="D1297">
        <f>"In-service hours due – "&amp;IF(LEN(INDEX('Aides'!$A$4:$A$503,294))=0,"",INDEX('Aides'!$A$4:$A$503,294))</f>
        <v/>
      </c>
      <c r="E1297">
        <f>IF(ISNUMBER(INDEX('Aides'!$O$4:$O$503,294)),TEXT(INDEX('Aides'!$O$4:$O$503,294),"yyyy-mm-dd"),"")</f>
        <v/>
      </c>
      <c r="F1297">
        <f>"Training"</f>
        <v/>
      </c>
      <c r="G1297">
        <f>"Medium"</f>
        <v/>
      </c>
      <c r="H1297">
        <f>TRIM(IF(LEN(IF(LEN(INDEX('Aides'!$P$4:$P$503,294))=0,"",INDEX('Aides'!$P$4:$P$503,294)))=0,"","Hours done: "&amp;IF(LEN(INDEX('Aides'!$P$4:$P$503,294))=0,"",INDEX('Aides'!$P$4:$P$503,294))&amp;". ")&amp;IF(LEN(IF(LEN(INDEX('Aides'!$Q$4:$Q$503,294))=0,"",INDEX('Aides'!$Q$4:$Q$503,294)))=0,"","Target: "&amp;IF(LEN(INDEX('Aides'!$Q$4:$Q$503,294))=0,"",INDEX('Aides'!$Q$4:$Q$503,294))&amp;". ")&amp;IF(LEN(IF(LEN(INDEX('Aides'!$R$4:$R$503,294))=0,"",INDEX('Aides'!$R$4:$R$503,294)))=0,"","Hours still needed: "&amp;IF(LEN(INDEX('Aides'!$R$4:$R$503,294))=0,"",INDEX('Aides'!$R$4:$R$503,294))&amp;". ")&amp;IF(LEN(IF(LEN(INDEX('Aides'!$U$4:$U$503,294))=0,"",INDEX('Aides'!$U$4:$U$503,294)))=0,"","Owner: "&amp;IF(LEN(INDEX('Aides'!$U$4:$U$503,294))=0,"",INDEX('Aides'!$U$4:$U$503,294))&amp;". "))</f>
        <v/>
      </c>
      <c r="I1297">
        <f>""</f>
        <v/>
      </c>
      <c r="J1297">
        <f>IF(LEN(INDEX('Aides'!$V$4:$V$503,294))=0,"",INDEX('Aides'!$V$4:$V$503,294))</f>
        <v/>
      </c>
    </row>
    <row r="1298">
      <c r="A1298">
        <f>IF(AND(LEN('Aides'!A298)&gt;0,ISNUMBER('Aides'!O298)),1,0)</f>
        <v/>
      </c>
      <c r="B1298">
        <f>B1297+A1298</f>
        <v/>
      </c>
      <c r="C1298">
        <f>IF(1295&gt;$B$1503,"",MATCH(1295-0.5,$B$3:$B$1503,1))</f>
        <v/>
      </c>
      <c r="D1298">
        <f>"In-service hours due – "&amp;IF(LEN(INDEX('Aides'!$A$4:$A$503,295))=0,"",INDEX('Aides'!$A$4:$A$503,295))</f>
        <v/>
      </c>
      <c r="E1298">
        <f>IF(ISNUMBER(INDEX('Aides'!$O$4:$O$503,295)),TEXT(INDEX('Aides'!$O$4:$O$503,295),"yyyy-mm-dd"),"")</f>
        <v/>
      </c>
      <c r="F1298">
        <f>"Training"</f>
        <v/>
      </c>
      <c r="G1298">
        <f>"Medium"</f>
        <v/>
      </c>
      <c r="H1298">
        <f>TRIM(IF(LEN(IF(LEN(INDEX('Aides'!$P$4:$P$503,295))=0,"",INDEX('Aides'!$P$4:$P$503,295)))=0,"","Hours done: "&amp;IF(LEN(INDEX('Aides'!$P$4:$P$503,295))=0,"",INDEX('Aides'!$P$4:$P$503,295))&amp;". ")&amp;IF(LEN(IF(LEN(INDEX('Aides'!$Q$4:$Q$503,295))=0,"",INDEX('Aides'!$Q$4:$Q$503,295)))=0,"","Target: "&amp;IF(LEN(INDEX('Aides'!$Q$4:$Q$503,295))=0,"",INDEX('Aides'!$Q$4:$Q$503,295))&amp;". ")&amp;IF(LEN(IF(LEN(INDEX('Aides'!$R$4:$R$503,295))=0,"",INDEX('Aides'!$R$4:$R$503,295)))=0,"","Hours still needed: "&amp;IF(LEN(INDEX('Aides'!$R$4:$R$503,295))=0,"",INDEX('Aides'!$R$4:$R$503,295))&amp;". ")&amp;IF(LEN(IF(LEN(INDEX('Aides'!$U$4:$U$503,295))=0,"",INDEX('Aides'!$U$4:$U$503,295)))=0,"","Owner: "&amp;IF(LEN(INDEX('Aides'!$U$4:$U$503,295))=0,"",INDEX('Aides'!$U$4:$U$503,295))&amp;". "))</f>
        <v/>
      </c>
      <c r="I1298">
        <f>""</f>
        <v/>
      </c>
      <c r="J1298">
        <f>IF(LEN(INDEX('Aides'!$V$4:$V$503,295))=0,"",INDEX('Aides'!$V$4:$V$503,295))</f>
        <v/>
      </c>
    </row>
    <row r="1299">
      <c r="A1299">
        <f>IF(AND(LEN('Aides'!A299)&gt;0,ISNUMBER('Aides'!O299)),1,0)</f>
        <v/>
      </c>
      <c r="B1299">
        <f>B1298+A1299</f>
        <v/>
      </c>
      <c r="C1299">
        <f>IF(1296&gt;$B$1503,"",MATCH(1296-0.5,$B$3:$B$1503,1))</f>
        <v/>
      </c>
      <c r="D1299">
        <f>"In-service hours due – "&amp;IF(LEN(INDEX('Aides'!$A$4:$A$503,296))=0,"",INDEX('Aides'!$A$4:$A$503,296))</f>
        <v/>
      </c>
      <c r="E1299">
        <f>IF(ISNUMBER(INDEX('Aides'!$O$4:$O$503,296)),TEXT(INDEX('Aides'!$O$4:$O$503,296),"yyyy-mm-dd"),"")</f>
        <v/>
      </c>
      <c r="F1299">
        <f>"Training"</f>
        <v/>
      </c>
      <c r="G1299">
        <f>"Medium"</f>
        <v/>
      </c>
      <c r="H1299">
        <f>TRIM(IF(LEN(IF(LEN(INDEX('Aides'!$P$4:$P$503,296))=0,"",INDEX('Aides'!$P$4:$P$503,296)))=0,"","Hours done: "&amp;IF(LEN(INDEX('Aides'!$P$4:$P$503,296))=0,"",INDEX('Aides'!$P$4:$P$503,296))&amp;". ")&amp;IF(LEN(IF(LEN(INDEX('Aides'!$Q$4:$Q$503,296))=0,"",INDEX('Aides'!$Q$4:$Q$503,296)))=0,"","Target: "&amp;IF(LEN(INDEX('Aides'!$Q$4:$Q$503,296))=0,"",INDEX('Aides'!$Q$4:$Q$503,296))&amp;". ")&amp;IF(LEN(IF(LEN(INDEX('Aides'!$R$4:$R$503,296))=0,"",INDEX('Aides'!$R$4:$R$503,296)))=0,"","Hours still needed: "&amp;IF(LEN(INDEX('Aides'!$R$4:$R$503,296))=0,"",INDEX('Aides'!$R$4:$R$503,296))&amp;". ")&amp;IF(LEN(IF(LEN(INDEX('Aides'!$U$4:$U$503,296))=0,"",INDEX('Aides'!$U$4:$U$503,296)))=0,"","Owner: "&amp;IF(LEN(INDEX('Aides'!$U$4:$U$503,296))=0,"",INDEX('Aides'!$U$4:$U$503,296))&amp;". "))</f>
        <v/>
      </c>
      <c r="I1299">
        <f>""</f>
        <v/>
      </c>
      <c r="J1299">
        <f>IF(LEN(INDEX('Aides'!$V$4:$V$503,296))=0,"",INDEX('Aides'!$V$4:$V$503,296))</f>
        <v/>
      </c>
    </row>
    <row r="1300">
      <c r="A1300">
        <f>IF(AND(LEN('Aides'!A300)&gt;0,ISNUMBER('Aides'!O300)),1,0)</f>
        <v/>
      </c>
      <c r="B1300">
        <f>B1299+A1300</f>
        <v/>
      </c>
      <c r="C1300">
        <f>IF(1297&gt;$B$1503,"",MATCH(1297-0.5,$B$3:$B$1503,1))</f>
        <v/>
      </c>
      <c r="D1300">
        <f>"In-service hours due – "&amp;IF(LEN(INDEX('Aides'!$A$4:$A$503,297))=0,"",INDEX('Aides'!$A$4:$A$503,297))</f>
        <v/>
      </c>
      <c r="E1300">
        <f>IF(ISNUMBER(INDEX('Aides'!$O$4:$O$503,297)),TEXT(INDEX('Aides'!$O$4:$O$503,297),"yyyy-mm-dd"),"")</f>
        <v/>
      </c>
      <c r="F1300">
        <f>"Training"</f>
        <v/>
      </c>
      <c r="G1300">
        <f>"Medium"</f>
        <v/>
      </c>
      <c r="H1300">
        <f>TRIM(IF(LEN(IF(LEN(INDEX('Aides'!$P$4:$P$503,297))=0,"",INDEX('Aides'!$P$4:$P$503,297)))=0,"","Hours done: "&amp;IF(LEN(INDEX('Aides'!$P$4:$P$503,297))=0,"",INDEX('Aides'!$P$4:$P$503,297))&amp;". ")&amp;IF(LEN(IF(LEN(INDEX('Aides'!$Q$4:$Q$503,297))=0,"",INDEX('Aides'!$Q$4:$Q$503,297)))=0,"","Target: "&amp;IF(LEN(INDEX('Aides'!$Q$4:$Q$503,297))=0,"",INDEX('Aides'!$Q$4:$Q$503,297))&amp;". ")&amp;IF(LEN(IF(LEN(INDEX('Aides'!$R$4:$R$503,297))=0,"",INDEX('Aides'!$R$4:$R$503,297)))=0,"","Hours still needed: "&amp;IF(LEN(INDEX('Aides'!$R$4:$R$503,297))=0,"",INDEX('Aides'!$R$4:$R$503,297))&amp;". ")&amp;IF(LEN(IF(LEN(INDEX('Aides'!$U$4:$U$503,297))=0,"",INDEX('Aides'!$U$4:$U$503,297)))=0,"","Owner: "&amp;IF(LEN(INDEX('Aides'!$U$4:$U$503,297))=0,"",INDEX('Aides'!$U$4:$U$503,297))&amp;". "))</f>
        <v/>
      </c>
      <c r="I1300">
        <f>""</f>
        <v/>
      </c>
      <c r="J1300">
        <f>IF(LEN(INDEX('Aides'!$V$4:$V$503,297))=0,"",INDEX('Aides'!$V$4:$V$503,297))</f>
        <v/>
      </c>
    </row>
    <row r="1301">
      <c r="A1301">
        <f>IF(AND(LEN('Aides'!A301)&gt;0,ISNUMBER('Aides'!O301)),1,0)</f>
        <v/>
      </c>
      <c r="B1301">
        <f>B1300+A1301</f>
        <v/>
      </c>
      <c r="C1301">
        <f>IF(1298&gt;$B$1503,"",MATCH(1298-0.5,$B$3:$B$1503,1))</f>
        <v/>
      </c>
      <c r="D1301">
        <f>"In-service hours due – "&amp;IF(LEN(INDEX('Aides'!$A$4:$A$503,298))=0,"",INDEX('Aides'!$A$4:$A$503,298))</f>
        <v/>
      </c>
      <c r="E1301">
        <f>IF(ISNUMBER(INDEX('Aides'!$O$4:$O$503,298)),TEXT(INDEX('Aides'!$O$4:$O$503,298),"yyyy-mm-dd"),"")</f>
        <v/>
      </c>
      <c r="F1301">
        <f>"Training"</f>
        <v/>
      </c>
      <c r="G1301">
        <f>"Medium"</f>
        <v/>
      </c>
      <c r="H1301">
        <f>TRIM(IF(LEN(IF(LEN(INDEX('Aides'!$P$4:$P$503,298))=0,"",INDEX('Aides'!$P$4:$P$503,298)))=0,"","Hours done: "&amp;IF(LEN(INDEX('Aides'!$P$4:$P$503,298))=0,"",INDEX('Aides'!$P$4:$P$503,298))&amp;". ")&amp;IF(LEN(IF(LEN(INDEX('Aides'!$Q$4:$Q$503,298))=0,"",INDEX('Aides'!$Q$4:$Q$503,298)))=0,"","Target: "&amp;IF(LEN(INDEX('Aides'!$Q$4:$Q$503,298))=0,"",INDEX('Aides'!$Q$4:$Q$503,298))&amp;". ")&amp;IF(LEN(IF(LEN(INDEX('Aides'!$R$4:$R$503,298))=0,"",INDEX('Aides'!$R$4:$R$503,298)))=0,"","Hours still needed: "&amp;IF(LEN(INDEX('Aides'!$R$4:$R$503,298))=0,"",INDEX('Aides'!$R$4:$R$503,298))&amp;". ")&amp;IF(LEN(IF(LEN(INDEX('Aides'!$U$4:$U$503,298))=0,"",INDEX('Aides'!$U$4:$U$503,298)))=0,"","Owner: "&amp;IF(LEN(INDEX('Aides'!$U$4:$U$503,298))=0,"",INDEX('Aides'!$U$4:$U$503,298))&amp;". "))</f>
        <v/>
      </c>
      <c r="I1301">
        <f>""</f>
        <v/>
      </c>
      <c r="J1301">
        <f>IF(LEN(INDEX('Aides'!$V$4:$V$503,298))=0,"",INDEX('Aides'!$V$4:$V$503,298))</f>
        <v/>
      </c>
    </row>
    <row r="1302">
      <c r="A1302">
        <f>IF(AND(LEN('Aides'!A302)&gt;0,ISNUMBER('Aides'!O302)),1,0)</f>
        <v/>
      </c>
      <c r="B1302">
        <f>B1301+A1302</f>
        <v/>
      </c>
      <c r="C1302">
        <f>IF(1299&gt;$B$1503,"",MATCH(1299-0.5,$B$3:$B$1503,1))</f>
        <v/>
      </c>
      <c r="D1302">
        <f>"In-service hours due – "&amp;IF(LEN(INDEX('Aides'!$A$4:$A$503,299))=0,"",INDEX('Aides'!$A$4:$A$503,299))</f>
        <v/>
      </c>
      <c r="E1302">
        <f>IF(ISNUMBER(INDEX('Aides'!$O$4:$O$503,299)),TEXT(INDEX('Aides'!$O$4:$O$503,299),"yyyy-mm-dd"),"")</f>
        <v/>
      </c>
      <c r="F1302">
        <f>"Training"</f>
        <v/>
      </c>
      <c r="G1302">
        <f>"Medium"</f>
        <v/>
      </c>
      <c r="H1302">
        <f>TRIM(IF(LEN(IF(LEN(INDEX('Aides'!$P$4:$P$503,299))=0,"",INDEX('Aides'!$P$4:$P$503,299)))=0,"","Hours done: "&amp;IF(LEN(INDEX('Aides'!$P$4:$P$503,299))=0,"",INDEX('Aides'!$P$4:$P$503,299))&amp;". ")&amp;IF(LEN(IF(LEN(INDEX('Aides'!$Q$4:$Q$503,299))=0,"",INDEX('Aides'!$Q$4:$Q$503,299)))=0,"","Target: "&amp;IF(LEN(INDEX('Aides'!$Q$4:$Q$503,299))=0,"",INDEX('Aides'!$Q$4:$Q$503,299))&amp;". ")&amp;IF(LEN(IF(LEN(INDEX('Aides'!$R$4:$R$503,299))=0,"",INDEX('Aides'!$R$4:$R$503,299)))=0,"","Hours still needed: "&amp;IF(LEN(INDEX('Aides'!$R$4:$R$503,299))=0,"",INDEX('Aides'!$R$4:$R$503,299))&amp;". ")&amp;IF(LEN(IF(LEN(INDEX('Aides'!$U$4:$U$503,299))=0,"",INDEX('Aides'!$U$4:$U$503,299)))=0,"","Owner: "&amp;IF(LEN(INDEX('Aides'!$U$4:$U$503,299))=0,"",INDEX('Aides'!$U$4:$U$503,299))&amp;". "))</f>
        <v/>
      </c>
      <c r="I1302">
        <f>""</f>
        <v/>
      </c>
      <c r="J1302">
        <f>IF(LEN(INDEX('Aides'!$V$4:$V$503,299))=0,"",INDEX('Aides'!$V$4:$V$503,299))</f>
        <v/>
      </c>
    </row>
    <row r="1303">
      <c r="A1303">
        <f>IF(AND(LEN('Aides'!A303)&gt;0,ISNUMBER('Aides'!O303)),1,0)</f>
        <v/>
      </c>
      <c r="B1303">
        <f>B1302+A1303</f>
        <v/>
      </c>
      <c r="C1303">
        <f>IF(1300&gt;$B$1503,"",MATCH(1300-0.5,$B$3:$B$1503,1))</f>
        <v/>
      </c>
      <c r="D1303">
        <f>"In-service hours due – "&amp;IF(LEN(INDEX('Aides'!$A$4:$A$503,300))=0,"",INDEX('Aides'!$A$4:$A$503,300))</f>
        <v/>
      </c>
      <c r="E1303">
        <f>IF(ISNUMBER(INDEX('Aides'!$O$4:$O$503,300)),TEXT(INDEX('Aides'!$O$4:$O$503,300),"yyyy-mm-dd"),"")</f>
        <v/>
      </c>
      <c r="F1303">
        <f>"Training"</f>
        <v/>
      </c>
      <c r="G1303">
        <f>"Medium"</f>
        <v/>
      </c>
      <c r="H1303">
        <f>TRIM(IF(LEN(IF(LEN(INDEX('Aides'!$P$4:$P$503,300))=0,"",INDEX('Aides'!$P$4:$P$503,300)))=0,"","Hours done: "&amp;IF(LEN(INDEX('Aides'!$P$4:$P$503,300))=0,"",INDEX('Aides'!$P$4:$P$503,300))&amp;". ")&amp;IF(LEN(IF(LEN(INDEX('Aides'!$Q$4:$Q$503,300))=0,"",INDEX('Aides'!$Q$4:$Q$503,300)))=0,"","Target: "&amp;IF(LEN(INDEX('Aides'!$Q$4:$Q$503,300))=0,"",INDEX('Aides'!$Q$4:$Q$503,300))&amp;". ")&amp;IF(LEN(IF(LEN(INDEX('Aides'!$R$4:$R$503,300))=0,"",INDEX('Aides'!$R$4:$R$503,300)))=0,"","Hours still needed: "&amp;IF(LEN(INDEX('Aides'!$R$4:$R$503,300))=0,"",INDEX('Aides'!$R$4:$R$503,300))&amp;". ")&amp;IF(LEN(IF(LEN(INDEX('Aides'!$U$4:$U$503,300))=0,"",INDEX('Aides'!$U$4:$U$503,300)))=0,"","Owner: "&amp;IF(LEN(INDEX('Aides'!$U$4:$U$503,300))=0,"",INDEX('Aides'!$U$4:$U$503,300))&amp;". "))</f>
        <v/>
      </c>
      <c r="I1303">
        <f>""</f>
        <v/>
      </c>
      <c r="J1303">
        <f>IF(LEN(INDEX('Aides'!$V$4:$V$503,300))=0,"",INDEX('Aides'!$V$4:$V$503,300))</f>
        <v/>
      </c>
    </row>
    <row r="1304">
      <c r="A1304">
        <f>IF(AND(LEN('Aides'!A304)&gt;0,ISNUMBER('Aides'!O304)),1,0)</f>
        <v/>
      </c>
      <c r="B1304">
        <f>B1303+A1304</f>
        <v/>
      </c>
      <c r="C1304">
        <f>IF(1301&gt;$B$1503,"",MATCH(1301-0.5,$B$3:$B$1503,1))</f>
        <v/>
      </c>
      <c r="D1304">
        <f>"In-service hours due – "&amp;IF(LEN(INDEX('Aides'!$A$4:$A$503,301))=0,"",INDEX('Aides'!$A$4:$A$503,301))</f>
        <v/>
      </c>
      <c r="E1304">
        <f>IF(ISNUMBER(INDEX('Aides'!$O$4:$O$503,301)),TEXT(INDEX('Aides'!$O$4:$O$503,301),"yyyy-mm-dd"),"")</f>
        <v/>
      </c>
      <c r="F1304">
        <f>"Training"</f>
        <v/>
      </c>
      <c r="G1304">
        <f>"Medium"</f>
        <v/>
      </c>
      <c r="H1304">
        <f>TRIM(IF(LEN(IF(LEN(INDEX('Aides'!$P$4:$P$503,301))=0,"",INDEX('Aides'!$P$4:$P$503,301)))=0,"","Hours done: "&amp;IF(LEN(INDEX('Aides'!$P$4:$P$503,301))=0,"",INDEX('Aides'!$P$4:$P$503,301))&amp;". ")&amp;IF(LEN(IF(LEN(INDEX('Aides'!$Q$4:$Q$503,301))=0,"",INDEX('Aides'!$Q$4:$Q$503,301)))=0,"","Target: "&amp;IF(LEN(INDEX('Aides'!$Q$4:$Q$503,301))=0,"",INDEX('Aides'!$Q$4:$Q$503,301))&amp;". ")&amp;IF(LEN(IF(LEN(INDEX('Aides'!$R$4:$R$503,301))=0,"",INDEX('Aides'!$R$4:$R$503,301)))=0,"","Hours still needed: "&amp;IF(LEN(INDEX('Aides'!$R$4:$R$503,301))=0,"",INDEX('Aides'!$R$4:$R$503,301))&amp;". ")&amp;IF(LEN(IF(LEN(INDEX('Aides'!$U$4:$U$503,301))=0,"",INDEX('Aides'!$U$4:$U$503,301)))=0,"","Owner: "&amp;IF(LEN(INDEX('Aides'!$U$4:$U$503,301))=0,"",INDEX('Aides'!$U$4:$U$503,301))&amp;". "))</f>
        <v/>
      </c>
      <c r="I1304">
        <f>""</f>
        <v/>
      </c>
      <c r="J1304">
        <f>IF(LEN(INDEX('Aides'!$V$4:$V$503,301))=0,"",INDEX('Aides'!$V$4:$V$503,301))</f>
        <v/>
      </c>
    </row>
    <row r="1305">
      <c r="A1305">
        <f>IF(AND(LEN('Aides'!A305)&gt;0,ISNUMBER('Aides'!O305)),1,0)</f>
        <v/>
      </c>
      <c r="B1305">
        <f>B1304+A1305</f>
        <v/>
      </c>
      <c r="C1305">
        <f>IF(1302&gt;$B$1503,"",MATCH(1302-0.5,$B$3:$B$1503,1))</f>
        <v/>
      </c>
      <c r="D1305">
        <f>"In-service hours due – "&amp;IF(LEN(INDEX('Aides'!$A$4:$A$503,302))=0,"",INDEX('Aides'!$A$4:$A$503,302))</f>
        <v/>
      </c>
      <c r="E1305">
        <f>IF(ISNUMBER(INDEX('Aides'!$O$4:$O$503,302)),TEXT(INDEX('Aides'!$O$4:$O$503,302),"yyyy-mm-dd"),"")</f>
        <v/>
      </c>
      <c r="F1305">
        <f>"Training"</f>
        <v/>
      </c>
      <c r="G1305">
        <f>"Medium"</f>
        <v/>
      </c>
      <c r="H1305">
        <f>TRIM(IF(LEN(IF(LEN(INDEX('Aides'!$P$4:$P$503,302))=0,"",INDEX('Aides'!$P$4:$P$503,302)))=0,"","Hours done: "&amp;IF(LEN(INDEX('Aides'!$P$4:$P$503,302))=0,"",INDEX('Aides'!$P$4:$P$503,302))&amp;". ")&amp;IF(LEN(IF(LEN(INDEX('Aides'!$Q$4:$Q$503,302))=0,"",INDEX('Aides'!$Q$4:$Q$503,302)))=0,"","Target: "&amp;IF(LEN(INDEX('Aides'!$Q$4:$Q$503,302))=0,"",INDEX('Aides'!$Q$4:$Q$503,302))&amp;". ")&amp;IF(LEN(IF(LEN(INDEX('Aides'!$R$4:$R$503,302))=0,"",INDEX('Aides'!$R$4:$R$503,302)))=0,"","Hours still needed: "&amp;IF(LEN(INDEX('Aides'!$R$4:$R$503,302))=0,"",INDEX('Aides'!$R$4:$R$503,302))&amp;". ")&amp;IF(LEN(IF(LEN(INDEX('Aides'!$U$4:$U$503,302))=0,"",INDEX('Aides'!$U$4:$U$503,302)))=0,"","Owner: "&amp;IF(LEN(INDEX('Aides'!$U$4:$U$503,302))=0,"",INDEX('Aides'!$U$4:$U$503,302))&amp;". "))</f>
        <v/>
      </c>
      <c r="I1305">
        <f>""</f>
        <v/>
      </c>
      <c r="J1305">
        <f>IF(LEN(INDEX('Aides'!$V$4:$V$503,302))=0,"",INDEX('Aides'!$V$4:$V$503,302))</f>
        <v/>
      </c>
    </row>
    <row r="1306">
      <c r="A1306">
        <f>IF(AND(LEN('Aides'!A306)&gt;0,ISNUMBER('Aides'!O306)),1,0)</f>
        <v/>
      </c>
      <c r="B1306">
        <f>B1305+A1306</f>
        <v/>
      </c>
      <c r="C1306">
        <f>IF(1303&gt;$B$1503,"",MATCH(1303-0.5,$B$3:$B$1503,1))</f>
        <v/>
      </c>
      <c r="D1306">
        <f>"In-service hours due – "&amp;IF(LEN(INDEX('Aides'!$A$4:$A$503,303))=0,"",INDEX('Aides'!$A$4:$A$503,303))</f>
        <v/>
      </c>
      <c r="E1306">
        <f>IF(ISNUMBER(INDEX('Aides'!$O$4:$O$503,303)),TEXT(INDEX('Aides'!$O$4:$O$503,303),"yyyy-mm-dd"),"")</f>
        <v/>
      </c>
      <c r="F1306">
        <f>"Training"</f>
        <v/>
      </c>
      <c r="G1306">
        <f>"Medium"</f>
        <v/>
      </c>
      <c r="H1306">
        <f>TRIM(IF(LEN(IF(LEN(INDEX('Aides'!$P$4:$P$503,303))=0,"",INDEX('Aides'!$P$4:$P$503,303)))=0,"","Hours done: "&amp;IF(LEN(INDEX('Aides'!$P$4:$P$503,303))=0,"",INDEX('Aides'!$P$4:$P$503,303))&amp;". ")&amp;IF(LEN(IF(LEN(INDEX('Aides'!$Q$4:$Q$503,303))=0,"",INDEX('Aides'!$Q$4:$Q$503,303)))=0,"","Target: "&amp;IF(LEN(INDEX('Aides'!$Q$4:$Q$503,303))=0,"",INDEX('Aides'!$Q$4:$Q$503,303))&amp;". ")&amp;IF(LEN(IF(LEN(INDEX('Aides'!$R$4:$R$503,303))=0,"",INDEX('Aides'!$R$4:$R$503,303)))=0,"","Hours still needed: "&amp;IF(LEN(INDEX('Aides'!$R$4:$R$503,303))=0,"",INDEX('Aides'!$R$4:$R$503,303))&amp;". ")&amp;IF(LEN(IF(LEN(INDEX('Aides'!$U$4:$U$503,303))=0,"",INDEX('Aides'!$U$4:$U$503,303)))=0,"","Owner: "&amp;IF(LEN(INDEX('Aides'!$U$4:$U$503,303))=0,"",INDEX('Aides'!$U$4:$U$503,303))&amp;". "))</f>
        <v/>
      </c>
      <c r="I1306">
        <f>""</f>
        <v/>
      </c>
      <c r="J1306">
        <f>IF(LEN(INDEX('Aides'!$V$4:$V$503,303))=0,"",INDEX('Aides'!$V$4:$V$503,303))</f>
        <v/>
      </c>
    </row>
    <row r="1307">
      <c r="A1307">
        <f>IF(AND(LEN('Aides'!A307)&gt;0,ISNUMBER('Aides'!O307)),1,0)</f>
        <v/>
      </c>
      <c r="B1307">
        <f>B1306+A1307</f>
        <v/>
      </c>
      <c r="C1307">
        <f>IF(1304&gt;$B$1503,"",MATCH(1304-0.5,$B$3:$B$1503,1))</f>
        <v/>
      </c>
      <c r="D1307">
        <f>"In-service hours due – "&amp;IF(LEN(INDEX('Aides'!$A$4:$A$503,304))=0,"",INDEX('Aides'!$A$4:$A$503,304))</f>
        <v/>
      </c>
      <c r="E1307">
        <f>IF(ISNUMBER(INDEX('Aides'!$O$4:$O$503,304)),TEXT(INDEX('Aides'!$O$4:$O$503,304),"yyyy-mm-dd"),"")</f>
        <v/>
      </c>
      <c r="F1307">
        <f>"Training"</f>
        <v/>
      </c>
      <c r="G1307">
        <f>"Medium"</f>
        <v/>
      </c>
      <c r="H1307">
        <f>TRIM(IF(LEN(IF(LEN(INDEX('Aides'!$P$4:$P$503,304))=0,"",INDEX('Aides'!$P$4:$P$503,304)))=0,"","Hours done: "&amp;IF(LEN(INDEX('Aides'!$P$4:$P$503,304))=0,"",INDEX('Aides'!$P$4:$P$503,304))&amp;". ")&amp;IF(LEN(IF(LEN(INDEX('Aides'!$Q$4:$Q$503,304))=0,"",INDEX('Aides'!$Q$4:$Q$503,304)))=0,"","Target: "&amp;IF(LEN(INDEX('Aides'!$Q$4:$Q$503,304))=0,"",INDEX('Aides'!$Q$4:$Q$503,304))&amp;". ")&amp;IF(LEN(IF(LEN(INDEX('Aides'!$R$4:$R$503,304))=0,"",INDEX('Aides'!$R$4:$R$503,304)))=0,"","Hours still needed: "&amp;IF(LEN(INDEX('Aides'!$R$4:$R$503,304))=0,"",INDEX('Aides'!$R$4:$R$503,304))&amp;". ")&amp;IF(LEN(IF(LEN(INDEX('Aides'!$U$4:$U$503,304))=0,"",INDEX('Aides'!$U$4:$U$503,304)))=0,"","Owner: "&amp;IF(LEN(INDEX('Aides'!$U$4:$U$503,304))=0,"",INDEX('Aides'!$U$4:$U$503,304))&amp;". "))</f>
        <v/>
      </c>
      <c r="I1307">
        <f>""</f>
        <v/>
      </c>
      <c r="J1307">
        <f>IF(LEN(INDEX('Aides'!$V$4:$V$503,304))=0,"",INDEX('Aides'!$V$4:$V$503,304))</f>
        <v/>
      </c>
    </row>
    <row r="1308">
      <c r="A1308">
        <f>IF(AND(LEN('Aides'!A308)&gt;0,ISNUMBER('Aides'!O308)),1,0)</f>
        <v/>
      </c>
      <c r="B1308">
        <f>B1307+A1308</f>
        <v/>
      </c>
      <c r="C1308">
        <f>IF(1305&gt;$B$1503,"",MATCH(1305-0.5,$B$3:$B$1503,1))</f>
        <v/>
      </c>
      <c r="D1308">
        <f>"In-service hours due – "&amp;IF(LEN(INDEX('Aides'!$A$4:$A$503,305))=0,"",INDEX('Aides'!$A$4:$A$503,305))</f>
        <v/>
      </c>
      <c r="E1308">
        <f>IF(ISNUMBER(INDEX('Aides'!$O$4:$O$503,305)),TEXT(INDEX('Aides'!$O$4:$O$503,305),"yyyy-mm-dd"),"")</f>
        <v/>
      </c>
      <c r="F1308">
        <f>"Training"</f>
        <v/>
      </c>
      <c r="G1308">
        <f>"Medium"</f>
        <v/>
      </c>
      <c r="H1308">
        <f>TRIM(IF(LEN(IF(LEN(INDEX('Aides'!$P$4:$P$503,305))=0,"",INDEX('Aides'!$P$4:$P$503,305)))=0,"","Hours done: "&amp;IF(LEN(INDEX('Aides'!$P$4:$P$503,305))=0,"",INDEX('Aides'!$P$4:$P$503,305))&amp;". ")&amp;IF(LEN(IF(LEN(INDEX('Aides'!$Q$4:$Q$503,305))=0,"",INDEX('Aides'!$Q$4:$Q$503,305)))=0,"","Target: "&amp;IF(LEN(INDEX('Aides'!$Q$4:$Q$503,305))=0,"",INDEX('Aides'!$Q$4:$Q$503,305))&amp;". ")&amp;IF(LEN(IF(LEN(INDEX('Aides'!$R$4:$R$503,305))=0,"",INDEX('Aides'!$R$4:$R$503,305)))=0,"","Hours still needed: "&amp;IF(LEN(INDEX('Aides'!$R$4:$R$503,305))=0,"",INDEX('Aides'!$R$4:$R$503,305))&amp;". ")&amp;IF(LEN(IF(LEN(INDEX('Aides'!$U$4:$U$503,305))=0,"",INDEX('Aides'!$U$4:$U$503,305)))=0,"","Owner: "&amp;IF(LEN(INDEX('Aides'!$U$4:$U$503,305))=0,"",INDEX('Aides'!$U$4:$U$503,305))&amp;". "))</f>
        <v/>
      </c>
      <c r="I1308">
        <f>""</f>
        <v/>
      </c>
      <c r="J1308">
        <f>IF(LEN(INDEX('Aides'!$V$4:$V$503,305))=0,"",INDEX('Aides'!$V$4:$V$503,305))</f>
        <v/>
      </c>
    </row>
    <row r="1309">
      <c r="A1309">
        <f>IF(AND(LEN('Aides'!A309)&gt;0,ISNUMBER('Aides'!O309)),1,0)</f>
        <v/>
      </c>
      <c r="B1309">
        <f>B1308+A1309</f>
        <v/>
      </c>
      <c r="C1309">
        <f>IF(1306&gt;$B$1503,"",MATCH(1306-0.5,$B$3:$B$1503,1))</f>
        <v/>
      </c>
      <c r="D1309">
        <f>"In-service hours due – "&amp;IF(LEN(INDEX('Aides'!$A$4:$A$503,306))=0,"",INDEX('Aides'!$A$4:$A$503,306))</f>
        <v/>
      </c>
      <c r="E1309">
        <f>IF(ISNUMBER(INDEX('Aides'!$O$4:$O$503,306)),TEXT(INDEX('Aides'!$O$4:$O$503,306),"yyyy-mm-dd"),"")</f>
        <v/>
      </c>
      <c r="F1309">
        <f>"Training"</f>
        <v/>
      </c>
      <c r="G1309">
        <f>"Medium"</f>
        <v/>
      </c>
      <c r="H1309">
        <f>TRIM(IF(LEN(IF(LEN(INDEX('Aides'!$P$4:$P$503,306))=0,"",INDEX('Aides'!$P$4:$P$503,306)))=0,"","Hours done: "&amp;IF(LEN(INDEX('Aides'!$P$4:$P$503,306))=0,"",INDEX('Aides'!$P$4:$P$503,306))&amp;". ")&amp;IF(LEN(IF(LEN(INDEX('Aides'!$Q$4:$Q$503,306))=0,"",INDEX('Aides'!$Q$4:$Q$503,306)))=0,"","Target: "&amp;IF(LEN(INDEX('Aides'!$Q$4:$Q$503,306))=0,"",INDEX('Aides'!$Q$4:$Q$503,306))&amp;". ")&amp;IF(LEN(IF(LEN(INDEX('Aides'!$R$4:$R$503,306))=0,"",INDEX('Aides'!$R$4:$R$503,306)))=0,"","Hours still needed: "&amp;IF(LEN(INDEX('Aides'!$R$4:$R$503,306))=0,"",INDEX('Aides'!$R$4:$R$503,306))&amp;". ")&amp;IF(LEN(IF(LEN(INDEX('Aides'!$U$4:$U$503,306))=0,"",INDEX('Aides'!$U$4:$U$503,306)))=0,"","Owner: "&amp;IF(LEN(INDEX('Aides'!$U$4:$U$503,306))=0,"",INDEX('Aides'!$U$4:$U$503,306))&amp;". "))</f>
        <v/>
      </c>
      <c r="I1309">
        <f>""</f>
        <v/>
      </c>
      <c r="J1309">
        <f>IF(LEN(INDEX('Aides'!$V$4:$V$503,306))=0,"",INDEX('Aides'!$V$4:$V$503,306))</f>
        <v/>
      </c>
    </row>
    <row r="1310">
      <c r="A1310">
        <f>IF(AND(LEN('Aides'!A310)&gt;0,ISNUMBER('Aides'!O310)),1,0)</f>
        <v/>
      </c>
      <c r="B1310">
        <f>B1309+A1310</f>
        <v/>
      </c>
      <c r="C1310">
        <f>IF(1307&gt;$B$1503,"",MATCH(1307-0.5,$B$3:$B$1503,1))</f>
        <v/>
      </c>
      <c r="D1310">
        <f>"In-service hours due – "&amp;IF(LEN(INDEX('Aides'!$A$4:$A$503,307))=0,"",INDEX('Aides'!$A$4:$A$503,307))</f>
        <v/>
      </c>
      <c r="E1310">
        <f>IF(ISNUMBER(INDEX('Aides'!$O$4:$O$503,307)),TEXT(INDEX('Aides'!$O$4:$O$503,307),"yyyy-mm-dd"),"")</f>
        <v/>
      </c>
      <c r="F1310">
        <f>"Training"</f>
        <v/>
      </c>
      <c r="G1310">
        <f>"Medium"</f>
        <v/>
      </c>
      <c r="H1310">
        <f>TRIM(IF(LEN(IF(LEN(INDEX('Aides'!$P$4:$P$503,307))=0,"",INDEX('Aides'!$P$4:$P$503,307)))=0,"","Hours done: "&amp;IF(LEN(INDEX('Aides'!$P$4:$P$503,307))=0,"",INDEX('Aides'!$P$4:$P$503,307))&amp;". ")&amp;IF(LEN(IF(LEN(INDEX('Aides'!$Q$4:$Q$503,307))=0,"",INDEX('Aides'!$Q$4:$Q$503,307)))=0,"","Target: "&amp;IF(LEN(INDEX('Aides'!$Q$4:$Q$503,307))=0,"",INDEX('Aides'!$Q$4:$Q$503,307))&amp;". ")&amp;IF(LEN(IF(LEN(INDEX('Aides'!$R$4:$R$503,307))=0,"",INDEX('Aides'!$R$4:$R$503,307)))=0,"","Hours still needed: "&amp;IF(LEN(INDEX('Aides'!$R$4:$R$503,307))=0,"",INDEX('Aides'!$R$4:$R$503,307))&amp;". ")&amp;IF(LEN(IF(LEN(INDEX('Aides'!$U$4:$U$503,307))=0,"",INDEX('Aides'!$U$4:$U$503,307)))=0,"","Owner: "&amp;IF(LEN(INDEX('Aides'!$U$4:$U$503,307))=0,"",INDEX('Aides'!$U$4:$U$503,307))&amp;". "))</f>
        <v/>
      </c>
      <c r="I1310">
        <f>""</f>
        <v/>
      </c>
      <c r="J1310">
        <f>IF(LEN(INDEX('Aides'!$V$4:$V$503,307))=0,"",INDEX('Aides'!$V$4:$V$503,307))</f>
        <v/>
      </c>
    </row>
    <row r="1311">
      <c r="A1311">
        <f>IF(AND(LEN('Aides'!A311)&gt;0,ISNUMBER('Aides'!O311)),1,0)</f>
        <v/>
      </c>
      <c r="B1311">
        <f>B1310+A1311</f>
        <v/>
      </c>
      <c r="C1311">
        <f>IF(1308&gt;$B$1503,"",MATCH(1308-0.5,$B$3:$B$1503,1))</f>
        <v/>
      </c>
      <c r="D1311">
        <f>"In-service hours due – "&amp;IF(LEN(INDEX('Aides'!$A$4:$A$503,308))=0,"",INDEX('Aides'!$A$4:$A$503,308))</f>
        <v/>
      </c>
      <c r="E1311">
        <f>IF(ISNUMBER(INDEX('Aides'!$O$4:$O$503,308)),TEXT(INDEX('Aides'!$O$4:$O$503,308),"yyyy-mm-dd"),"")</f>
        <v/>
      </c>
      <c r="F1311">
        <f>"Training"</f>
        <v/>
      </c>
      <c r="G1311">
        <f>"Medium"</f>
        <v/>
      </c>
      <c r="H1311">
        <f>TRIM(IF(LEN(IF(LEN(INDEX('Aides'!$P$4:$P$503,308))=0,"",INDEX('Aides'!$P$4:$P$503,308)))=0,"","Hours done: "&amp;IF(LEN(INDEX('Aides'!$P$4:$P$503,308))=0,"",INDEX('Aides'!$P$4:$P$503,308))&amp;". ")&amp;IF(LEN(IF(LEN(INDEX('Aides'!$Q$4:$Q$503,308))=0,"",INDEX('Aides'!$Q$4:$Q$503,308)))=0,"","Target: "&amp;IF(LEN(INDEX('Aides'!$Q$4:$Q$503,308))=0,"",INDEX('Aides'!$Q$4:$Q$503,308))&amp;". ")&amp;IF(LEN(IF(LEN(INDEX('Aides'!$R$4:$R$503,308))=0,"",INDEX('Aides'!$R$4:$R$503,308)))=0,"","Hours still needed: "&amp;IF(LEN(INDEX('Aides'!$R$4:$R$503,308))=0,"",INDEX('Aides'!$R$4:$R$503,308))&amp;". ")&amp;IF(LEN(IF(LEN(INDEX('Aides'!$U$4:$U$503,308))=0,"",INDEX('Aides'!$U$4:$U$503,308)))=0,"","Owner: "&amp;IF(LEN(INDEX('Aides'!$U$4:$U$503,308))=0,"",INDEX('Aides'!$U$4:$U$503,308))&amp;". "))</f>
        <v/>
      </c>
      <c r="I1311">
        <f>""</f>
        <v/>
      </c>
      <c r="J1311">
        <f>IF(LEN(INDEX('Aides'!$V$4:$V$503,308))=0,"",INDEX('Aides'!$V$4:$V$503,308))</f>
        <v/>
      </c>
    </row>
    <row r="1312">
      <c r="A1312">
        <f>IF(AND(LEN('Aides'!A312)&gt;0,ISNUMBER('Aides'!O312)),1,0)</f>
        <v/>
      </c>
      <c r="B1312">
        <f>B1311+A1312</f>
        <v/>
      </c>
      <c r="C1312">
        <f>IF(1309&gt;$B$1503,"",MATCH(1309-0.5,$B$3:$B$1503,1))</f>
        <v/>
      </c>
      <c r="D1312">
        <f>"In-service hours due – "&amp;IF(LEN(INDEX('Aides'!$A$4:$A$503,309))=0,"",INDEX('Aides'!$A$4:$A$503,309))</f>
        <v/>
      </c>
      <c r="E1312">
        <f>IF(ISNUMBER(INDEX('Aides'!$O$4:$O$503,309)),TEXT(INDEX('Aides'!$O$4:$O$503,309),"yyyy-mm-dd"),"")</f>
        <v/>
      </c>
      <c r="F1312">
        <f>"Training"</f>
        <v/>
      </c>
      <c r="G1312">
        <f>"Medium"</f>
        <v/>
      </c>
      <c r="H1312">
        <f>TRIM(IF(LEN(IF(LEN(INDEX('Aides'!$P$4:$P$503,309))=0,"",INDEX('Aides'!$P$4:$P$503,309)))=0,"","Hours done: "&amp;IF(LEN(INDEX('Aides'!$P$4:$P$503,309))=0,"",INDEX('Aides'!$P$4:$P$503,309))&amp;". ")&amp;IF(LEN(IF(LEN(INDEX('Aides'!$Q$4:$Q$503,309))=0,"",INDEX('Aides'!$Q$4:$Q$503,309)))=0,"","Target: "&amp;IF(LEN(INDEX('Aides'!$Q$4:$Q$503,309))=0,"",INDEX('Aides'!$Q$4:$Q$503,309))&amp;". ")&amp;IF(LEN(IF(LEN(INDEX('Aides'!$R$4:$R$503,309))=0,"",INDEX('Aides'!$R$4:$R$503,309)))=0,"","Hours still needed: "&amp;IF(LEN(INDEX('Aides'!$R$4:$R$503,309))=0,"",INDEX('Aides'!$R$4:$R$503,309))&amp;". ")&amp;IF(LEN(IF(LEN(INDEX('Aides'!$U$4:$U$503,309))=0,"",INDEX('Aides'!$U$4:$U$503,309)))=0,"","Owner: "&amp;IF(LEN(INDEX('Aides'!$U$4:$U$503,309))=0,"",INDEX('Aides'!$U$4:$U$503,309))&amp;". "))</f>
        <v/>
      </c>
      <c r="I1312">
        <f>""</f>
        <v/>
      </c>
      <c r="J1312">
        <f>IF(LEN(INDEX('Aides'!$V$4:$V$503,309))=0,"",INDEX('Aides'!$V$4:$V$503,309))</f>
        <v/>
      </c>
    </row>
    <row r="1313">
      <c r="A1313">
        <f>IF(AND(LEN('Aides'!A313)&gt;0,ISNUMBER('Aides'!O313)),1,0)</f>
        <v/>
      </c>
      <c r="B1313">
        <f>B1312+A1313</f>
        <v/>
      </c>
      <c r="C1313">
        <f>IF(1310&gt;$B$1503,"",MATCH(1310-0.5,$B$3:$B$1503,1))</f>
        <v/>
      </c>
      <c r="D1313">
        <f>"In-service hours due – "&amp;IF(LEN(INDEX('Aides'!$A$4:$A$503,310))=0,"",INDEX('Aides'!$A$4:$A$503,310))</f>
        <v/>
      </c>
      <c r="E1313">
        <f>IF(ISNUMBER(INDEX('Aides'!$O$4:$O$503,310)),TEXT(INDEX('Aides'!$O$4:$O$503,310),"yyyy-mm-dd"),"")</f>
        <v/>
      </c>
      <c r="F1313">
        <f>"Training"</f>
        <v/>
      </c>
      <c r="G1313">
        <f>"Medium"</f>
        <v/>
      </c>
      <c r="H1313">
        <f>TRIM(IF(LEN(IF(LEN(INDEX('Aides'!$P$4:$P$503,310))=0,"",INDEX('Aides'!$P$4:$P$503,310)))=0,"","Hours done: "&amp;IF(LEN(INDEX('Aides'!$P$4:$P$503,310))=0,"",INDEX('Aides'!$P$4:$P$503,310))&amp;". ")&amp;IF(LEN(IF(LEN(INDEX('Aides'!$Q$4:$Q$503,310))=0,"",INDEX('Aides'!$Q$4:$Q$503,310)))=0,"","Target: "&amp;IF(LEN(INDEX('Aides'!$Q$4:$Q$503,310))=0,"",INDEX('Aides'!$Q$4:$Q$503,310))&amp;". ")&amp;IF(LEN(IF(LEN(INDEX('Aides'!$R$4:$R$503,310))=0,"",INDEX('Aides'!$R$4:$R$503,310)))=0,"","Hours still needed: "&amp;IF(LEN(INDEX('Aides'!$R$4:$R$503,310))=0,"",INDEX('Aides'!$R$4:$R$503,310))&amp;". ")&amp;IF(LEN(IF(LEN(INDEX('Aides'!$U$4:$U$503,310))=0,"",INDEX('Aides'!$U$4:$U$503,310)))=0,"","Owner: "&amp;IF(LEN(INDEX('Aides'!$U$4:$U$503,310))=0,"",INDEX('Aides'!$U$4:$U$503,310))&amp;". "))</f>
        <v/>
      </c>
      <c r="I1313">
        <f>""</f>
        <v/>
      </c>
      <c r="J1313">
        <f>IF(LEN(INDEX('Aides'!$V$4:$V$503,310))=0,"",INDEX('Aides'!$V$4:$V$503,310))</f>
        <v/>
      </c>
    </row>
    <row r="1314">
      <c r="A1314">
        <f>IF(AND(LEN('Aides'!A314)&gt;0,ISNUMBER('Aides'!O314)),1,0)</f>
        <v/>
      </c>
      <c r="B1314">
        <f>B1313+A1314</f>
        <v/>
      </c>
      <c r="C1314">
        <f>IF(1311&gt;$B$1503,"",MATCH(1311-0.5,$B$3:$B$1503,1))</f>
        <v/>
      </c>
      <c r="D1314">
        <f>"In-service hours due – "&amp;IF(LEN(INDEX('Aides'!$A$4:$A$503,311))=0,"",INDEX('Aides'!$A$4:$A$503,311))</f>
        <v/>
      </c>
      <c r="E1314">
        <f>IF(ISNUMBER(INDEX('Aides'!$O$4:$O$503,311)),TEXT(INDEX('Aides'!$O$4:$O$503,311),"yyyy-mm-dd"),"")</f>
        <v/>
      </c>
      <c r="F1314">
        <f>"Training"</f>
        <v/>
      </c>
      <c r="G1314">
        <f>"Medium"</f>
        <v/>
      </c>
      <c r="H1314">
        <f>TRIM(IF(LEN(IF(LEN(INDEX('Aides'!$P$4:$P$503,311))=0,"",INDEX('Aides'!$P$4:$P$503,311)))=0,"","Hours done: "&amp;IF(LEN(INDEX('Aides'!$P$4:$P$503,311))=0,"",INDEX('Aides'!$P$4:$P$503,311))&amp;". ")&amp;IF(LEN(IF(LEN(INDEX('Aides'!$Q$4:$Q$503,311))=0,"",INDEX('Aides'!$Q$4:$Q$503,311)))=0,"","Target: "&amp;IF(LEN(INDEX('Aides'!$Q$4:$Q$503,311))=0,"",INDEX('Aides'!$Q$4:$Q$503,311))&amp;". ")&amp;IF(LEN(IF(LEN(INDEX('Aides'!$R$4:$R$503,311))=0,"",INDEX('Aides'!$R$4:$R$503,311)))=0,"","Hours still needed: "&amp;IF(LEN(INDEX('Aides'!$R$4:$R$503,311))=0,"",INDEX('Aides'!$R$4:$R$503,311))&amp;". ")&amp;IF(LEN(IF(LEN(INDEX('Aides'!$U$4:$U$503,311))=0,"",INDEX('Aides'!$U$4:$U$503,311)))=0,"","Owner: "&amp;IF(LEN(INDEX('Aides'!$U$4:$U$503,311))=0,"",INDEX('Aides'!$U$4:$U$503,311))&amp;". "))</f>
        <v/>
      </c>
      <c r="I1314">
        <f>""</f>
        <v/>
      </c>
      <c r="J1314">
        <f>IF(LEN(INDEX('Aides'!$V$4:$V$503,311))=0,"",INDEX('Aides'!$V$4:$V$503,311))</f>
        <v/>
      </c>
    </row>
    <row r="1315">
      <c r="A1315">
        <f>IF(AND(LEN('Aides'!A315)&gt;0,ISNUMBER('Aides'!O315)),1,0)</f>
        <v/>
      </c>
      <c r="B1315">
        <f>B1314+A1315</f>
        <v/>
      </c>
      <c r="C1315">
        <f>IF(1312&gt;$B$1503,"",MATCH(1312-0.5,$B$3:$B$1503,1))</f>
        <v/>
      </c>
      <c r="D1315">
        <f>"In-service hours due – "&amp;IF(LEN(INDEX('Aides'!$A$4:$A$503,312))=0,"",INDEX('Aides'!$A$4:$A$503,312))</f>
        <v/>
      </c>
      <c r="E1315">
        <f>IF(ISNUMBER(INDEX('Aides'!$O$4:$O$503,312)),TEXT(INDEX('Aides'!$O$4:$O$503,312),"yyyy-mm-dd"),"")</f>
        <v/>
      </c>
      <c r="F1315">
        <f>"Training"</f>
        <v/>
      </c>
      <c r="G1315">
        <f>"Medium"</f>
        <v/>
      </c>
      <c r="H1315">
        <f>TRIM(IF(LEN(IF(LEN(INDEX('Aides'!$P$4:$P$503,312))=0,"",INDEX('Aides'!$P$4:$P$503,312)))=0,"","Hours done: "&amp;IF(LEN(INDEX('Aides'!$P$4:$P$503,312))=0,"",INDEX('Aides'!$P$4:$P$503,312))&amp;". ")&amp;IF(LEN(IF(LEN(INDEX('Aides'!$Q$4:$Q$503,312))=0,"",INDEX('Aides'!$Q$4:$Q$503,312)))=0,"","Target: "&amp;IF(LEN(INDEX('Aides'!$Q$4:$Q$503,312))=0,"",INDEX('Aides'!$Q$4:$Q$503,312))&amp;". ")&amp;IF(LEN(IF(LEN(INDEX('Aides'!$R$4:$R$503,312))=0,"",INDEX('Aides'!$R$4:$R$503,312)))=0,"","Hours still needed: "&amp;IF(LEN(INDEX('Aides'!$R$4:$R$503,312))=0,"",INDEX('Aides'!$R$4:$R$503,312))&amp;". ")&amp;IF(LEN(IF(LEN(INDEX('Aides'!$U$4:$U$503,312))=0,"",INDEX('Aides'!$U$4:$U$503,312)))=0,"","Owner: "&amp;IF(LEN(INDEX('Aides'!$U$4:$U$503,312))=0,"",INDEX('Aides'!$U$4:$U$503,312))&amp;". "))</f>
        <v/>
      </c>
      <c r="I1315">
        <f>""</f>
        <v/>
      </c>
      <c r="J1315">
        <f>IF(LEN(INDEX('Aides'!$V$4:$V$503,312))=0,"",INDEX('Aides'!$V$4:$V$503,312))</f>
        <v/>
      </c>
    </row>
    <row r="1316">
      <c r="A1316">
        <f>IF(AND(LEN('Aides'!A316)&gt;0,ISNUMBER('Aides'!O316)),1,0)</f>
        <v/>
      </c>
      <c r="B1316">
        <f>B1315+A1316</f>
        <v/>
      </c>
      <c r="C1316">
        <f>IF(1313&gt;$B$1503,"",MATCH(1313-0.5,$B$3:$B$1503,1))</f>
        <v/>
      </c>
      <c r="D1316">
        <f>"In-service hours due – "&amp;IF(LEN(INDEX('Aides'!$A$4:$A$503,313))=0,"",INDEX('Aides'!$A$4:$A$503,313))</f>
        <v/>
      </c>
      <c r="E1316">
        <f>IF(ISNUMBER(INDEX('Aides'!$O$4:$O$503,313)),TEXT(INDEX('Aides'!$O$4:$O$503,313),"yyyy-mm-dd"),"")</f>
        <v/>
      </c>
      <c r="F1316">
        <f>"Training"</f>
        <v/>
      </c>
      <c r="G1316">
        <f>"Medium"</f>
        <v/>
      </c>
      <c r="H1316">
        <f>TRIM(IF(LEN(IF(LEN(INDEX('Aides'!$P$4:$P$503,313))=0,"",INDEX('Aides'!$P$4:$P$503,313)))=0,"","Hours done: "&amp;IF(LEN(INDEX('Aides'!$P$4:$P$503,313))=0,"",INDEX('Aides'!$P$4:$P$503,313))&amp;". ")&amp;IF(LEN(IF(LEN(INDEX('Aides'!$Q$4:$Q$503,313))=0,"",INDEX('Aides'!$Q$4:$Q$503,313)))=0,"","Target: "&amp;IF(LEN(INDEX('Aides'!$Q$4:$Q$503,313))=0,"",INDEX('Aides'!$Q$4:$Q$503,313))&amp;". ")&amp;IF(LEN(IF(LEN(INDEX('Aides'!$R$4:$R$503,313))=0,"",INDEX('Aides'!$R$4:$R$503,313)))=0,"","Hours still needed: "&amp;IF(LEN(INDEX('Aides'!$R$4:$R$503,313))=0,"",INDEX('Aides'!$R$4:$R$503,313))&amp;". ")&amp;IF(LEN(IF(LEN(INDEX('Aides'!$U$4:$U$503,313))=0,"",INDEX('Aides'!$U$4:$U$503,313)))=0,"","Owner: "&amp;IF(LEN(INDEX('Aides'!$U$4:$U$503,313))=0,"",INDEX('Aides'!$U$4:$U$503,313))&amp;". "))</f>
        <v/>
      </c>
      <c r="I1316">
        <f>""</f>
        <v/>
      </c>
      <c r="J1316">
        <f>IF(LEN(INDEX('Aides'!$V$4:$V$503,313))=0,"",INDEX('Aides'!$V$4:$V$503,313))</f>
        <v/>
      </c>
    </row>
    <row r="1317">
      <c r="A1317">
        <f>IF(AND(LEN('Aides'!A317)&gt;0,ISNUMBER('Aides'!O317)),1,0)</f>
        <v/>
      </c>
      <c r="B1317">
        <f>B1316+A1317</f>
        <v/>
      </c>
      <c r="C1317">
        <f>IF(1314&gt;$B$1503,"",MATCH(1314-0.5,$B$3:$B$1503,1))</f>
        <v/>
      </c>
      <c r="D1317">
        <f>"In-service hours due – "&amp;IF(LEN(INDEX('Aides'!$A$4:$A$503,314))=0,"",INDEX('Aides'!$A$4:$A$503,314))</f>
        <v/>
      </c>
      <c r="E1317">
        <f>IF(ISNUMBER(INDEX('Aides'!$O$4:$O$503,314)),TEXT(INDEX('Aides'!$O$4:$O$503,314),"yyyy-mm-dd"),"")</f>
        <v/>
      </c>
      <c r="F1317">
        <f>"Training"</f>
        <v/>
      </c>
      <c r="G1317">
        <f>"Medium"</f>
        <v/>
      </c>
      <c r="H1317">
        <f>TRIM(IF(LEN(IF(LEN(INDEX('Aides'!$P$4:$P$503,314))=0,"",INDEX('Aides'!$P$4:$P$503,314)))=0,"","Hours done: "&amp;IF(LEN(INDEX('Aides'!$P$4:$P$503,314))=0,"",INDEX('Aides'!$P$4:$P$503,314))&amp;". ")&amp;IF(LEN(IF(LEN(INDEX('Aides'!$Q$4:$Q$503,314))=0,"",INDEX('Aides'!$Q$4:$Q$503,314)))=0,"","Target: "&amp;IF(LEN(INDEX('Aides'!$Q$4:$Q$503,314))=0,"",INDEX('Aides'!$Q$4:$Q$503,314))&amp;". ")&amp;IF(LEN(IF(LEN(INDEX('Aides'!$R$4:$R$503,314))=0,"",INDEX('Aides'!$R$4:$R$503,314)))=0,"","Hours still needed: "&amp;IF(LEN(INDEX('Aides'!$R$4:$R$503,314))=0,"",INDEX('Aides'!$R$4:$R$503,314))&amp;". ")&amp;IF(LEN(IF(LEN(INDEX('Aides'!$U$4:$U$503,314))=0,"",INDEX('Aides'!$U$4:$U$503,314)))=0,"","Owner: "&amp;IF(LEN(INDEX('Aides'!$U$4:$U$503,314))=0,"",INDEX('Aides'!$U$4:$U$503,314))&amp;". "))</f>
        <v/>
      </c>
      <c r="I1317">
        <f>""</f>
        <v/>
      </c>
      <c r="J1317">
        <f>IF(LEN(INDEX('Aides'!$V$4:$V$503,314))=0,"",INDEX('Aides'!$V$4:$V$503,314))</f>
        <v/>
      </c>
    </row>
    <row r="1318">
      <c r="A1318">
        <f>IF(AND(LEN('Aides'!A318)&gt;0,ISNUMBER('Aides'!O318)),1,0)</f>
        <v/>
      </c>
      <c r="B1318">
        <f>B1317+A1318</f>
        <v/>
      </c>
      <c r="C1318">
        <f>IF(1315&gt;$B$1503,"",MATCH(1315-0.5,$B$3:$B$1503,1))</f>
        <v/>
      </c>
      <c r="D1318">
        <f>"In-service hours due – "&amp;IF(LEN(INDEX('Aides'!$A$4:$A$503,315))=0,"",INDEX('Aides'!$A$4:$A$503,315))</f>
        <v/>
      </c>
      <c r="E1318">
        <f>IF(ISNUMBER(INDEX('Aides'!$O$4:$O$503,315)),TEXT(INDEX('Aides'!$O$4:$O$503,315),"yyyy-mm-dd"),"")</f>
        <v/>
      </c>
      <c r="F1318">
        <f>"Training"</f>
        <v/>
      </c>
      <c r="G1318">
        <f>"Medium"</f>
        <v/>
      </c>
      <c r="H1318">
        <f>TRIM(IF(LEN(IF(LEN(INDEX('Aides'!$P$4:$P$503,315))=0,"",INDEX('Aides'!$P$4:$P$503,315)))=0,"","Hours done: "&amp;IF(LEN(INDEX('Aides'!$P$4:$P$503,315))=0,"",INDEX('Aides'!$P$4:$P$503,315))&amp;". ")&amp;IF(LEN(IF(LEN(INDEX('Aides'!$Q$4:$Q$503,315))=0,"",INDEX('Aides'!$Q$4:$Q$503,315)))=0,"","Target: "&amp;IF(LEN(INDEX('Aides'!$Q$4:$Q$503,315))=0,"",INDEX('Aides'!$Q$4:$Q$503,315))&amp;". ")&amp;IF(LEN(IF(LEN(INDEX('Aides'!$R$4:$R$503,315))=0,"",INDEX('Aides'!$R$4:$R$503,315)))=0,"","Hours still needed: "&amp;IF(LEN(INDEX('Aides'!$R$4:$R$503,315))=0,"",INDEX('Aides'!$R$4:$R$503,315))&amp;". ")&amp;IF(LEN(IF(LEN(INDEX('Aides'!$U$4:$U$503,315))=0,"",INDEX('Aides'!$U$4:$U$503,315)))=0,"","Owner: "&amp;IF(LEN(INDEX('Aides'!$U$4:$U$503,315))=0,"",INDEX('Aides'!$U$4:$U$503,315))&amp;". "))</f>
        <v/>
      </c>
      <c r="I1318">
        <f>""</f>
        <v/>
      </c>
      <c r="J1318">
        <f>IF(LEN(INDEX('Aides'!$V$4:$V$503,315))=0,"",INDEX('Aides'!$V$4:$V$503,315))</f>
        <v/>
      </c>
    </row>
    <row r="1319">
      <c r="A1319">
        <f>IF(AND(LEN('Aides'!A319)&gt;0,ISNUMBER('Aides'!O319)),1,0)</f>
        <v/>
      </c>
      <c r="B1319">
        <f>B1318+A1319</f>
        <v/>
      </c>
      <c r="C1319">
        <f>IF(1316&gt;$B$1503,"",MATCH(1316-0.5,$B$3:$B$1503,1))</f>
        <v/>
      </c>
      <c r="D1319">
        <f>"In-service hours due – "&amp;IF(LEN(INDEX('Aides'!$A$4:$A$503,316))=0,"",INDEX('Aides'!$A$4:$A$503,316))</f>
        <v/>
      </c>
      <c r="E1319">
        <f>IF(ISNUMBER(INDEX('Aides'!$O$4:$O$503,316)),TEXT(INDEX('Aides'!$O$4:$O$503,316),"yyyy-mm-dd"),"")</f>
        <v/>
      </c>
      <c r="F1319">
        <f>"Training"</f>
        <v/>
      </c>
      <c r="G1319">
        <f>"Medium"</f>
        <v/>
      </c>
      <c r="H1319">
        <f>TRIM(IF(LEN(IF(LEN(INDEX('Aides'!$P$4:$P$503,316))=0,"",INDEX('Aides'!$P$4:$P$503,316)))=0,"","Hours done: "&amp;IF(LEN(INDEX('Aides'!$P$4:$P$503,316))=0,"",INDEX('Aides'!$P$4:$P$503,316))&amp;". ")&amp;IF(LEN(IF(LEN(INDEX('Aides'!$Q$4:$Q$503,316))=0,"",INDEX('Aides'!$Q$4:$Q$503,316)))=0,"","Target: "&amp;IF(LEN(INDEX('Aides'!$Q$4:$Q$503,316))=0,"",INDEX('Aides'!$Q$4:$Q$503,316))&amp;". ")&amp;IF(LEN(IF(LEN(INDEX('Aides'!$R$4:$R$503,316))=0,"",INDEX('Aides'!$R$4:$R$503,316)))=0,"","Hours still needed: "&amp;IF(LEN(INDEX('Aides'!$R$4:$R$503,316))=0,"",INDEX('Aides'!$R$4:$R$503,316))&amp;". ")&amp;IF(LEN(IF(LEN(INDEX('Aides'!$U$4:$U$503,316))=0,"",INDEX('Aides'!$U$4:$U$503,316)))=0,"","Owner: "&amp;IF(LEN(INDEX('Aides'!$U$4:$U$503,316))=0,"",INDEX('Aides'!$U$4:$U$503,316))&amp;". "))</f>
        <v/>
      </c>
      <c r="I1319">
        <f>""</f>
        <v/>
      </c>
      <c r="J1319">
        <f>IF(LEN(INDEX('Aides'!$V$4:$V$503,316))=0,"",INDEX('Aides'!$V$4:$V$503,316))</f>
        <v/>
      </c>
    </row>
    <row r="1320">
      <c r="A1320">
        <f>IF(AND(LEN('Aides'!A320)&gt;0,ISNUMBER('Aides'!O320)),1,0)</f>
        <v/>
      </c>
      <c r="B1320">
        <f>B1319+A1320</f>
        <v/>
      </c>
      <c r="C1320">
        <f>IF(1317&gt;$B$1503,"",MATCH(1317-0.5,$B$3:$B$1503,1))</f>
        <v/>
      </c>
      <c r="D1320">
        <f>"In-service hours due – "&amp;IF(LEN(INDEX('Aides'!$A$4:$A$503,317))=0,"",INDEX('Aides'!$A$4:$A$503,317))</f>
        <v/>
      </c>
      <c r="E1320">
        <f>IF(ISNUMBER(INDEX('Aides'!$O$4:$O$503,317)),TEXT(INDEX('Aides'!$O$4:$O$503,317),"yyyy-mm-dd"),"")</f>
        <v/>
      </c>
      <c r="F1320">
        <f>"Training"</f>
        <v/>
      </c>
      <c r="G1320">
        <f>"Medium"</f>
        <v/>
      </c>
      <c r="H1320">
        <f>TRIM(IF(LEN(IF(LEN(INDEX('Aides'!$P$4:$P$503,317))=0,"",INDEX('Aides'!$P$4:$P$503,317)))=0,"","Hours done: "&amp;IF(LEN(INDEX('Aides'!$P$4:$P$503,317))=0,"",INDEX('Aides'!$P$4:$P$503,317))&amp;". ")&amp;IF(LEN(IF(LEN(INDEX('Aides'!$Q$4:$Q$503,317))=0,"",INDEX('Aides'!$Q$4:$Q$503,317)))=0,"","Target: "&amp;IF(LEN(INDEX('Aides'!$Q$4:$Q$503,317))=0,"",INDEX('Aides'!$Q$4:$Q$503,317))&amp;". ")&amp;IF(LEN(IF(LEN(INDEX('Aides'!$R$4:$R$503,317))=0,"",INDEX('Aides'!$R$4:$R$503,317)))=0,"","Hours still needed: "&amp;IF(LEN(INDEX('Aides'!$R$4:$R$503,317))=0,"",INDEX('Aides'!$R$4:$R$503,317))&amp;". ")&amp;IF(LEN(IF(LEN(INDEX('Aides'!$U$4:$U$503,317))=0,"",INDEX('Aides'!$U$4:$U$503,317)))=0,"","Owner: "&amp;IF(LEN(INDEX('Aides'!$U$4:$U$503,317))=0,"",INDEX('Aides'!$U$4:$U$503,317))&amp;". "))</f>
        <v/>
      </c>
      <c r="I1320">
        <f>""</f>
        <v/>
      </c>
      <c r="J1320">
        <f>IF(LEN(INDEX('Aides'!$V$4:$V$503,317))=0,"",INDEX('Aides'!$V$4:$V$503,317))</f>
        <v/>
      </c>
    </row>
    <row r="1321">
      <c r="A1321">
        <f>IF(AND(LEN('Aides'!A321)&gt;0,ISNUMBER('Aides'!O321)),1,0)</f>
        <v/>
      </c>
      <c r="B1321">
        <f>B1320+A1321</f>
        <v/>
      </c>
      <c r="C1321">
        <f>IF(1318&gt;$B$1503,"",MATCH(1318-0.5,$B$3:$B$1503,1))</f>
        <v/>
      </c>
      <c r="D1321">
        <f>"In-service hours due – "&amp;IF(LEN(INDEX('Aides'!$A$4:$A$503,318))=0,"",INDEX('Aides'!$A$4:$A$503,318))</f>
        <v/>
      </c>
      <c r="E1321">
        <f>IF(ISNUMBER(INDEX('Aides'!$O$4:$O$503,318)),TEXT(INDEX('Aides'!$O$4:$O$503,318),"yyyy-mm-dd"),"")</f>
        <v/>
      </c>
      <c r="F1321">
        <f>"Training"</f>
        <v/>
      </c>
      <c r="G1321">
        <f>"Medium"</f>
        <v/>
      </c>
      <c r="H1321">
        <f>TRIM(IF(LEN(IF(LEN(INDEX('Aides'!$P$4:$P$503,318))=0,"",INDEX('Aides'!$P$4:$P$503,318)))=0,"","Hours done: "&amp;IF(LEN(INDEX('Aides'!$P$4:$P$503,318))=0,"",INDEX('Aides'!$P$4:$P$503,318))&amp;". ")&amp;IF(LEN(IF(LEN(INDEX('Aides'!$Q$4:$Q$503,318))=0,"",INDEX('Aides'!$Q$4:$Q$503,318)))=0,"","Target: "&amp;IF(LEN(INDEX('Aides'!$Q$4:$Q$503,318))=0,"",INDEX('Aides'!$Q$4:$Q$503,318))&amp;". ")&amp;IF(LEN(IF(LEN(INDEX('Aides'!$R$4:$R$503,318))=0,"",INDEX('Aides'!$R$4:$R$503,318)))=0,"","Hours still needed: "&amp;IF(LEN(INDEX('Aides'!$R$4:$R$503,318))=0,"",INDEX('Aides'!$R$4:$R$503,318))&amp;". ")&amp;IF(LEN(IF(LEN(INDEX('Aides'!$U$4:$U$503,318))=0,"",INDEX('Aides'!$U$4:$U$503,318)))=0,"","Owner: "&amp;IF(LEN(INDEX('Aides'!$U$4:$U$503,318))=0,"",INDEX('Aides'!$U$4:$U$503,318))&amp;". "))</f>
        <v/>
      </c>
      <c r="I1321">
        <f>""</f>
        <v/>
      </c>
      <c r="J1321">
        <f>IF(LEN(INDEX('Aides'!$V$4:$V$503,318))=0,"",INDEX('Aides'!$V$4:$V$503,318))</f>
        <v/>
      </c>
    </row>
    <row r="1322">
      <c r="A1322">
        <f>IF(AND(LEN('Aides'!A322)&gt;0,ISNUMBER('Aides'!O322)),1,0)</f>
        <v/>
      </c>
      <c r="B1322">
        <f>B1321+A1322</f>
        <v/>
      </c>
      <c r="C1322">
        <f>IF(1319&gt;$B$1503,"",MATCH(1319-0.5,$B$3:$B$1503,1))</f>
        <v/>
      </c>
      <c r="D1322">
        <f>"In-service hours due – "&amp;IF(LEN(INDEX('Aides'!$A$4:$A$503,319))=0,"",INDEX('Aides'!$A$4:$A$503,319))</f>
        <v/>
      </c>
      <c r="E1322">
        <f>IF(ISNUMBER(INDEX('Aides'!$O$4:$O$503,319)),TEXT(INDEX('Aides'!$O$4:$O$503,319),"yyyy-mm-dd"),"")</f>
        <v/>
      </c>
      <c r="F1322">
        <f>"Training"</f>
        <v/>
      </c>
      <c r="G1322">
        <f>"Medium"</f>
        <v/>
      </c>
      <c r="H1322">
        <f>TRIM(IF(LEN(IF(LEN(INDEX('Aides'!$P$4:$P$503,319))=0,"",INDEX('Aides'!$P$4:$P$503,319)))=0,"","Hours done: "&amp;IF(LEN(INDEX('Aides'!$P$4:$P$503,319))=0,"",INDEX('Aides'!$P$4:$P$503,319))&amp;". ")&amp;IF(LEN(IF(LEN(INDEX('Aides'!$Q$4:$Q$503,319))=0,"",INDEX('Aides'!$Q$4:$Q$503,319)))=0,"","Target: "&amp;IF(LEN(INDEX('Aides'!$Q$4:$Q$503,319))=0,"",INDEX('Aides'!$Q$4:$Q$503,319))&amp;". ")&amp;IF(LEN(IF(LEN(INDEX('Aides'!$R$4:$R$503,319))=0,"",INDEX('Aides'!$R$4:$R$503,319)))=0,"","Hours still needed: "&amp;IF(LEN(INDEX('Aides'!$R$4:$R$503,319))=0,"",INDEX('Aides'!$R$4:$R$503,319))&amp;". ")&amp;IF(LEN(IF(LEN(INDEX('Aides'!$U$4:$U$503,319))=0,"",INDEX('Aides'!$U$4:$U$503,319)))=0,"","Owner: "&amp;IF(LEN(INDEX('Aides'!$U$4:$U$503,319))=0,"",INDEX('Aides'!$U$4:$U$503,319))&amp;". "))</f>
        <v/>
      </c>
      <c r="I1322">
        <f>""</f>
        <v/>
      </c>
      <c r="J1322">
        <f>IF(LEN(INDEX('Aides'!$V$4:$V$503,319))=0,"",INDEX('Aides'!$V$4:$V$503,319))</f>
        <v/>
      </c>
    </row>
    <row r="1323">
      <c r="A1323">
        <f>IF(AND(LEN('Aides'!A323)&gt;0,ISNUMBER('Aides'!O323)),1,0)</f>
        <v/>
      </c>
      <c r="B1323">
        <f>B1322+A1323</f>
        <v/>
      </c>
      <c r="C1323">
        <f>IF(1320&gt;$B$1503,"",MATCH(1320-0.5,$B$3:$B$1503,1))</f>
        <v/>
      </c>
      <c r="D1323">
        <f>"In-service hours due – "&amp;IF(LEN(INDEX('Aides'!$A$4:$A$503,320))=0,"",INDEX('Aides'!$A$4:$A$503,320))</f>
        <v/>
      </c>
      <c r="E1323">
        <f>IF(ISNUMBER(INDEX('Aides'!$O$4:$O$503,320)),TEXT(INDEX('Aides'!$O$4:$O$503,320),"yyyy-mm-dd"),"")</f>
        <v/>
      </c>
      <c r="F1323">
        <f>"Training"</f>
        <v/>
      </c>
      <c r="G1323">
        <f>"Medium"</f>
        <v/>
      </c>
      <c r="H1323">
        <f>TRIM(IF(LEN(IF(LEN(INDEX('Aides'!$P$4:$P$503,320))=0,"",INDEX('Aides'!$P$4:$P$503,320)))=0,"","Hours done: "&amp;IF(LEN(INDEX('Aides'!$P$4:$P$503,320))=0,"",INDEX('Aides'!$P$4:$P$503,320))&amp;". ")&amp;IF(LEN(IF(LEN(INDEX('Aides'!$Q$4:$Q$503,320))=0,"",INDEX('Aides'!$Q$4:$Q$503,320)))=0,"","Target: "&amp;IF(LEN(INDEX('Aides'!$Q$4:$Q$503,320))=0,"",INDEX('Aides'!$Q$4:$Q$503,320))&amp;". ")&amp;IF(LEN(IF(LEN(INDEX('Aides'!$R$4:$R$503,320))=0,"",INDEX('Aides'!$R$4:$R$503,320)))=0,"","Hours still needed: "&amp;IF(LEN(INDEX('Aides'!$R$4:$R$503,320))=0,"",INDEX('Aides'!$R$4:$R$503,320))&amp;". ")&amp;IF(LEN(IF(LEN(INDEX('Aides'!$U$4:$U$503,320))=0,"",INDEX('Aides'!$U$4:$U$503,320)))=0,"","Owner: "&amp;IF(LEN(INDEX('Aides'!$U$4:$U$503,320))=0,"",INDEX('Aides'!$U$4:$U$503,320))&amp;". "))</f>
        <v/>
      </c>
      <c r="I1323">
        <f>""</f>
        <v/>
      </c>
      <c r="J1323">
        <f>IF(LEN(INDEX('Aides'!$V$4:$V$503,320))=0,"",INDEX('Aides'!$V$4:$V$503,320))</f>
        <v/>
      </c>
    </row>
    <row r="1324">
      <c r="A1324">
        <f>IF(AND(LEN('Aides'!A324)&gt;0,ISNUMBER('Aides'!O324)),1,0)</f>
        <v/>
      </c>
      <c r="B1324">
        <f>B1323+A1324</f>
        <v/>
      </c>
      <c r="C1324">
        <f>IF(1321&gt;$B$1503,"",MATCH(1321-0.5,$B$3:$B$1503,1))</f>
        <v/>
      </c>
      <c r="D1324">
        <f>"In-service hours due – "&amp;IF(LEN(INDEX('Aides'!$A$4:$A$503,321))=0,"",INDEX('Aides'!$A$4:$A$503,321))</f>
        <v/>
      </c>
      <c r="E1324">
        <f>IF(ISNUMBER(INDEX('Aides'!$O$4:$O$503,321)),TEXT(INDEX('Aides'!$O$4:$O$503,321),"yyyy-mm-dd"),"")</f>
        <v/>
      </c>
      <c r="F1324">
        <f>"Training"</f>
        <v/>
      </c>
      <c r="G1324">
        <f>"Medium"</f>
        <v/>
      </c>
      <c r="H1324">
        <f>TRIM(IF(LEN(IF(LEN(INDEX('Aides'!$P$4:$P$503,321))=0,"",INDEX('Aides'!$P$4:$P$503,321)))=0,"","Hours done: "&amp;IF(LEN(INDEX('Aides'!$P$4:$P$503,321))=0,"",INDEX('Aides'!$P$4:$P$503,321))&amp;". ")&amp;IF(LEN(IF(LEN(INDEX('Aides'!$Q$4:$Q$503,321))=0,"",INDEX('Aides'!$Q$4:$Q$503,321)))=0,"","Target: "&amp;IF(LEN(INDEX('Aides'!$Q$4:$Q$503,321))=0,"",INDEX('Aides'!$Q$4:$Q$503,321))&amp;". ")&amp;IF(LEN(IF(LEN(INDEX('Aides'!$R$4:$R$503,321))=0,"",INDEX('Aides'!$R$4:$R$503,321)))=0,"","Hours still needed: "&amp;IF(LEN(INDEX('Aides'!$R$4:$R$503,321))=0,"",INDEX('Aides'!$R$4:$R$503,321))&amp;". ")&amp;IF(LEN(IF(LEN(INDEX('Aides'!$U$4:$U$503,321))=0,"",INDEX('Aides'!$U$4:$U$503,321)))=0,"","Owner: "&amp;IF(LEN(INDEX('Aides'!$U$4:$U$503,321))=0,"",INDEX('Aides'!$U$4:$U$503,321))&amp;". "))</f>
        <v/>
      </c>
      <c r="I1324">
        <f>""</f>
        <v/>
      </c>
      <c r="J1324">
        <f>IF(LEN(INDEX('Aides'!$V$4:$V$503,321))=0,"",INDEX('Aides'!$V$4:$V$503,321))</f>
        <v/>
      </c>
    </row>
    <row r="1325">
      <c r="A1325">
        <f>IF(AND(LEN('Aides'!A325)&gt;0,ISNUMBER('Aides'!O325)),1,0)</f>
        <v/>
      </c>
      <c r="B1325">
        <f>B1324+A1325</f>
        <v/>
      </c>
      <c r="C1325">
        <f>IF(1322&gt;$B$1503,"",MATCH(1322-0.5,$B$3:$B$1503,1))</f>
        <v/>
      </c>
      <c r="D1325">
        <f>"In-service hours due – "&amp;IF(LEN(INDEX('Aides'!$A$4:$A$503,322))=0,"",INDEX('Aides'!$A$4:$A$503,322))</f>
        <v/>
      </c>
      <c r="E1325">
        <f>IF(ISNUMBER(INDEX('Aides'!$O$4:$O$503,322)),TEXT(INDEX('Aides'!$O$4:$O$503,322),"yyyy-mm-dd"),"")</f>
        <v/>
      </c>
      <c r="F1325">
        <f>"Training"</f>
        <v/>
      </c>
      <c r="G1325">
        <f>"Medium"</f>
        <v/>
      </c>
      <c r="H1325">
        <f>TRIM(IF(LEN(IF(LEN(INDEX('Aides'!$P$4:$P$503,322))=0,"",INDEX('Aides'!$P$4:$P$503,322)))=0,"","Hours done: "&amp;IF(LEN(INDEX('Aides'!$P$4:$P$503,322))=0,"",INDEX('Aides'!$P$4:$P$503,322))&amp;". ")&amp;IF(LEN(IF(LEN(INDEX('Aides'!$Q$4:$Q$503,322))=0,"",INDEX('Aides'!$Q$4:$Q$503,322)))=0,"","Target: "&amp;IF(LEN(INDEX('Aides'!$Q$4:$Q$503,322))=0,"",INDEX('Aides'!$Q$4:$Q$503,322))&amp;". ")&amp;IF(LEN(IF(LEN(INDEX('Aides'!$R$4:$R$503,322))=0,"",INDEX('Aides'!$R$4:$R$503,322)))=0,"","Hours still needed: "&amp;IF(LEN(INDEX('Aides'!$R$4:$R$503,322))=0,"",INDEX('Aides'!$R$4:$R$503,322))&amp;". ")&amp;IF(LEN(IF(LEN(INDEX('Aides'!$U$4:$U$503,322))=0,"",INDEX('Aides'!$U$4:$U$503,322)))=0,"","Owner: "&amp;IF(LEN(INDEX('Aides'!$U$4:$U$503,322))=0,"",INDEX('Aides'!$U$4:$U$503,322))&amp;". "))</f>
        <v/>
      </c>
      <c r="I1325">
        <f>""</f>
        <v/>
      </c>
      <c r="J1325">
        <f>IF(LEN(INDEX('Aides'!$V$4:$V$503,322))=0,"",INDEX('Aides'!$V$4:$V$503,322))</f>
        <v/>
      </c>
    </row>
    <row r="1326">
      <c r="A1326">
        <f>IF(AND(LEN('Aides'!A326)&gt;0,ISNUMBER('Aides'!O326)),1,0)</f>
        <v/>
      </c>
      <c r="B1326">
        <f>B1325+A1326</f>
        <v/>
      </c>
      <c r="C1326">
        <f>IF(1323&gt;$B$1503,"",MATCH(1323-0.5,$B$3:$B$1503,1))</f>
        <v/>
      </c>
      <c r="D1326">
        <f>"In-service hours due – "&amp;IF(LEN(INDEX('Aides'!$A$4:$A$503,323))=0,"",INDEX('Aides'!$A$4:$A$503,323))</f>
        <v/>
      </c>
      <c r="E1326">
        <f>IF(ISNUMBER(INDEX('Aides'!$O$4:$O$503,323)),TEXT(INDEX('Aides'!$O$4:$O$503,323),"yyyy-mm-dd"),"")</f>
        <v/>
      </c>
      <c r="F1326">
        <f>"Training"</f>
        <v/>
      </c>
      <c r="G1326">
        <f>"Medium"</f>
        <v/>
      </c>
      <c r="H1326">
        <f>TRIM(IF(LEN(IF(LEN(INDEX('Aides'!$P$4:$P$503,323))=0,"",INDEX('Aides'!$P$4:$P$503,323)))=0,"","Hours done: "&amp;IF(LEN(INDEX('Aides'!$P$4:$P$503,323))=0,"",INDEX('Aides'!$P$4:$P$503,323))&amp;". ")&amp;IF(LEN(IF(LEN(INDEX('Aides'!$Q$4:$Q$503,323))=0,"",INDEX('Aides'!$Q$4:$Q$503,323)))=0,"","Target: "&amp;IF(LEN(INDEX('Aides'!$Q$4:$Q$503,323))=0,"",INDEX('Aides'!$Q$4:$Q$503,323))&amp;". ")&amp;IF(LEN(IF(LEN(INDEX('Aides'!$R$4:$R$503,323))=0,"",INDEX('Aides'!$R$4:$R$503,323)))=0,"","Hours still needed: "&amp;IF(LEN(INDEX('Aides'!$R$4:$R$503,323))=0,"",INDEX('Aides'!$R$4:$R$503,323))&amp;". ")&amp;IF(LEN(IF(LEN(INDEX('Aides'!$U$4:$U$503,323))=0,"",INDEX('Aides'!$U$4:$U$503,323)))=0,"","Owner: "&amp;IF(LEN(INDEX('Aides'!$U$4:$U$503,323))=0,"",INDEX('Aides'!$U$4:$U$503,323))&amp;". "))</f>
        <v/>
      </c>
      <c r="I1326">
        <f>""</f>
        <v/>
      </c>
      <c r="J1326">
        <f>IF(LEN(INDEX('Aides'!$V$4:$V$503,323))=0,"",INDEX('Aides'!$V$4:$V$503,323))</f>
        <v/>
      </c>
    </row>
    <row r="1327">
      <c r="A1327">
        <f>IF(AND(LEN('Aides'!A327)&gt;0,ISNUMBER('Aides'!O327)),1,0)</f>
        <v/>
      </c>
      <c r="B1327">
        <f>B1326+A1327</f>
        <v/>
      </c>
      <c r="C1327">
        <f>IF(1324&gt;$B$1503,"",MATCH(1324-0.5,$B$3:$B$1503,1))</f>
        <v/>
      </c>
      <c r="D1327">
        <f>"In-service hours due – "&amp;IF(LEN(INDEX('Aides'!$A$4:$A$503,324))=0,"",INDEX('Aides'!$A$4:$A$503,324))</f>
        <v/>
      </c>
      <c r="E1327">
        <f>IF(ISNUMBER(INDEX('Aides'!$O$4:$O$503,324)),TEXT(INDEX('Aides'!$O$4:$O$503,324),"yyyy-mm-dd"),"")</f>
        <v/>
      </c>
      <c r="F1327">
        <f>"Training"</f>
        <v/>
      </c>
      <c r="G1327">
        <f>"Medium"</f>
        <v/>
      </c>
      <c r="H1327">
        <f>TRIM(IF(LEN(IF(LEN(INDEX('Aides'!$P$4:$P$503,324))=0,"",INDEX('Aides'!$P$4:$P$503,324)))=0,"","Hours done: "&amp;IF(LEN(INDEX('Aides'!$P$4:$P$503,324))=0,"",INDEX('Aides'!$P$4:$P$503,324))&amp;". ")&amp;IF(LEN(IF(LEN(INDEX('Aides'!$Q$4:$Q$503,324))=0,"",INDEX('Aides'!$Q$4:$Q$503,324)))=0,"","Target: "&amp;IF(LEN(INDEX('Aides'!$Q$4:$Q$503,324))=0,"",INDEX('Aides'!$Q$4:$Q$503,324))&amp;". ")&amp;IF(LEN(IF(LEN(INDEX('Aides'!$R$4:$R$503,324))=0,"",INDEX('Aides'!$R$4:$R$503,324)))=0,"","Hours still needed: "&amp;IF(LEN(INDEX('Aides'!$R$4:$R$503,324))=0,"",INDEX('Aides'!$R$4:$R$503,324))&amp;". ")&amp;IF(LEN(IF(LEN(INDEX('Aides'!$U$4:$U$503,324))=0,"",INDEX('Aides'!$U$4:$U$503,324)))=0,"","Owner: "&amp;IF(LEN(INDEX('Aides'!$U$4:$U$503,324))=0,"",INDEX('Aides'!$U$4:$U$503,324))&amp;". "))</f>
        <v/>
      </c>
      <c r="I1327">
        <f>""</f>
        <v/>
      </c>
      <c r="J1327">
        <f>IF(LEN(INDEX('Aides'!$V$4:$V$503,324))=0,"",INDEX('Aides'!$V$4:$V$503,324))</f>
        <v/>
      </c>
    </row>
    <row r="1328">
      <c r="A1328">
        <f>IF(AND(LEN('Aides'!A328)&gt;0,ISNUMBER('Aides'!O328)),1,0)</f>
        <v/>
      </c>
      <c r="B1328">
        <f>B1327+A1328</f>
        <v/>
      </c>
      <c r="C1328">
        <f>IF(1325&gt;$B$1503,"",MATCH(1325-0.5,$B$3:$B$1503,1))</f>
        <v/>
      </c>
      <c r="D1328">
        <f>"In-service hours due – "&amp;IF(LEN(INDEX('Aides'!$A$4:$A$503,325))=0,"",INDEX('Aides'!$A$4:$A$503,325))</f>
        <v/>
      </c>
      <c r="E1328">
        <f>IF(ISNUMBER(INDEX('Aides'!$O$4:$O$503,325)),TEXT(INDEX('Aides'!$O$4:$O$503,325),"yyyy-mm-dd"),"")</f>
        <v/>
      </c>
      <c r="F1328">
        <f>"Training"</f>
        <v/>
      </c>
      <c r="G1328">
        <f>"Medium"</f>
        <v/>
      </c>
      <c r="H1328">
        <f>TRIM(IF(LEN(IF(LEN(INDEX('Aides'!$P$4:$P$503,325))=0,"",INDEX('Aides'!$P$4:$P$503,325)))=0,"","Hours done: "&amp;IF(LEN(INDEX('Aides'!$P$4:$P$503,325))=0,"",INDEX('Aides'!$P$4:$P$503,325))&amp;". ")&amp;IF(LEN(IF(LEN(INDEX('Aides'!$Q$4:$Q$503,325))=0,"",INDEX('Aides'!$Q$4:$Q$503,325)))=0,"","Target: "&amp;IF(LEN(INDEX('Aides'!$Q$4:$Q$503,325))=0,"",INDEX('Aides'!$Q$4:$Q$503,325))&amp;". ")&amp;IF(LEN(IF(LEN(INDEX('Aides'!$R$4:$R$503,325))=0,"",INDEX('Aides'!$R$4:$R$503,325)))=0,"","Hours still needed: "&amp;IF(LEN(INDEX('Aides'!$R$4:$R$503,325))=0,"",INDEX('Aides'!$R$4:$R$503,325))&amp;". ")&amp;IF(LEN(IF(LEN(INDEX('Aides'!$U$4:$U$503,325))=0,"",INDEX('Aides'!$U$4:$U$503,325)))=0,"","Owner: "&amp;IF(LEN(INDEX('Aides'!$U$4:$U$503,325))=0,"",INDEX('Aides'!$U$4:$U$503,325))&amp;". "))</f>
        <v/>
      </c>
      <c r="I1328">
        <f>""</f>
        <v/>
      </c>
      <c r="J1328">
        <f>IF(LEN(INDEX('Aides'!$V$4:$V$503,325))=0,"",INDEX('Aides'!$V$4:$V$503,325))</f>
        <v/>
      </c>
    </row>
    <row r="1329">
      <c r="A1329">
        <f>IF(AND(LEN('Aides'!A329)&gt;0,ISNUMBER('Aides'!O329)),1,0)</f>
        <v/>
      </c>
      <c r="B1329">
        <f>B1328+A1329</f>
        <v/>
      </c>
      <c r="C1329">
        <f>IF(1326&gt;$B$1503,"",MATCH(1326-0.5,$B$3:$B$1503,1))</f>
        <v/>
      </c>
      <c r="D1329">
        <f>"In-service hours due – "&amp;IF(LEN(INDEX('Aides'!$A$4:$A$503,326))=0,"",INDEX('Aides'!$A$4:$A$503,326))</f>
        <v/>
      </c>
      <c r="E1329">
        <f>IF(ISNUMBER(INDEX('Aides'!$O$4:$O$503,326)),TEXT(INDEX('Aides'!$O$4:$O$503,326),"yyyy-mm-dd"),"")</f>
        <v/>
      </c>
      <c r="F1329">
        <f>"Training"</f>
        <v/>
      </c>
      <c r="G1329">
        <f>"Medium"</f>
        <v/>
      </c>
      <c r="H1329">
        <f>TRIM(IF(LEN(IF(LEN(INDEX('Aides'!$P$4:$P$503,326))=0,"",INDEX('Aides'!$P$4:$P$503,326)))=0,"","Hours done: "&amp;IF(LEN(INDEX('Aides'!$P$4:$P$503,326))=0,"",INDEX('Aides'!$P$4:$P$503,326))&amp;". ")&amp;IF(LEN(IF(LEN(INDEX('Aides'!$Q$4:$Q$503,326))=0,"",INDEX('Aides'!$Q$4:$Q$503,326)))=0,"","Target: "&amp;IF(LEN(INDEX('Aides'!$Q$4:$Q$503,326))=0,"",INDEX('Aides'!$Q$4:$Q$503,326))&amp;". ")&amp;IF(LEN(IF(LEN(INDEX('Aides'!$R$4:$R$503,326))=0,"",INDEX('Aides'!$R$4:$R$503,326)))=0,"","Hours still needed: "&amp;IF(LEN(INDEX('Aides'!$R$4:$R$503,326))=0,"",INDEX('Aides'!$R$4:$R$503,326))&amp;". ")&amp;IF(LEN(IF(LEN(INDEX('Aides'!$U$4:$U$503,326))=0,"",INDEX('Aides'!$U$4:$U$503,326)))=0,"","Owner: "&amp;IF(LEN(INDEX('Aides'!$U$4:$U$503,326))=0,"",INDEX('Aides'!$U$4:$U$503,326))&amp;". "))</f>
        <v/>
      </c>
      <c r="I1329">
        <f>""</f>
        <v/>
      </c>
      <c r="J1329">
        <f>IF(LEN(INDEX('Aides'!$V$4:$V$503,326))=0,"",INDEX('Aides'!$V$4:$V$503,326))</f>
        <v/>
      </c>
    </row>
    <row r="1330">
      <c r="A1330">
        <f>IF(AND(LEN('Aides'!A330)&gt;0,ISNUMBER('Aides'!O330)),1,0)</f>
        <v/>
      </c>
      <c r="B1330">
        <f>B1329+A1330</f>
        <v/>
      </c>
      <c r="C1330">
        <f>IF(1327&gt;$B$1503,"",MATCH(1327-0.5,$B$3:$B$1503,1))</f>
        <v/>
      </c>
      <c r="D1330">
        <f>"In-service hours due – "&amp;IF(LEN(INDEX('Aides'!$A$4:$A$503,327))=0,"",INDEX('Aides'!$A$4:$A$503,327))</f>
        <v/>
      </c>
      <c r="E1330">
        <f>IF(ISNUMBER(INDEX('Aides'!$O$4:$O$503,327)),TEXT(INDEX('Aides'!$O$4:$O$503,327),"yyyy-mm-dd"),"")</f>
        <v/>
      </c>
      <c r="F1330">
        <f>"Training"</f>
        <v/>
      </c>
      <c r="G1330">
        <f>"Medium"</f>
        <v/>
      </c>
      <c r="H1330">
        <f>TRIM(IF(LEN(IF(LEN(INDEX('Aides'!$P$4:$P$503,327))=0,"",INDEX('Aides'!$P$4:$P$503,327)))=0,"","Hours done: "&amp;IF(LEN(INDEX('Aides'!$P$4:$P$503,327))=0,"",INDEX('Aides'!$P$4:$P$503,327))&amp;". ")&amp;IF(LEN(IF(LEN(INDEX('Aides'!$Q$4:$Q$503,327))=0,"",INDEX('Aides'!$Q$4:$Q$503,327)))=0,"","Target: "&amp;IF(LEN(INDEX('Aides'!$Q$4:$Q$503,327))=0,"",INDEX('Aides'!$Q$4:$Q$503,327))&amp;". ")&amp;IF(LEN(IF(LEN(INDEX('Aides'!$R$4:$R$503,327))=0,"",INDEX('Aides'!$R$4:$R$503,327)))=0,"","Hours still needed: "&amp;IF(LEN(INDEX('Aides'!$R$4:$R$503,327))=0,"",INDEX('Aides'!$R$4:$R$503,327))&amp;". ")&amp;IF(LEN(IF(LEN(INDEX('Aides'!$U$4:$U$503,327))=0,"",INDEX('Aides'!$U$4:$U$503,327)))=0,"","Owner: "&amp;IF(LEN(INDEX('Aides'!$U$4:$U$503,327))=0,"",INDEX('Aides'!$U$4:$U$503,327))&amp;". "))</f>
        <v/>
      </c>
      <c r="I1330">
        <f>""</f>
        <v/>
      </c>
      <c r="J1330">
        <f>IF(LEN(INDEX('Aides'!$V$4:$V$503,327))=0,"",INDEX('Aides'!$V$4:$V$503,327))</f>
        <v/>
      </c>
    </row>
    <row r="1331">
      <c r="A1331">
        <f>IF(AND(LEN('Aides'!A331)&gt;0,ISNUMBER('Aides'!O331)),1,0)</f>
        <v/>
      </c>
      <c r="B1331">
        <f>B1330+A1331</f>
        <v/>
      </c>
      <c r="C1331">
        <f>IF(1328&gt;$B$1503,"",MATCH(1328-0.5,$B$3:$B$1503,1))</f>
        <v/>
      </c>
      <c r="D1331">
        <f>"In-service hours due – "&amp;IF(LEN(INDEX('Aides'!$A$4:$A$503,328))=0,"",INDEX('Aides'!$A$4:$A$503,328))</f>
        <v/>
      </c>
      <c r="E1331">
        <f>IF(ISNUMBER(INDEX('Aides'!$O$4:$O$503,328)),TEXT(INDEX('Aides'!$O$4:$O$503,328),"yyyy-mm-dd"),"")</f>
        <v/>
      </c>
      <c r="F1331">
        <f>"Training"</f>
        <v/>
      </c>
      <c r="G1331">
        <f>"Medium"</f>
        <v/>
      </c>
      <c r="H1331">
        <f>TRIM(IF(LEN(IF(LEN(INDEX('Aides'!$P$4:$P$503,328))=0,"",INDEX('Aides'!$P$4:$P$503,328)))=0,"","Hours done: "&amp;IF(LEN(INDEX('Aides'!$P$4:$P$503,328))=0,"",INDEX('Aides'!$P$4:$P$503,328))&amp;". ")&amp;IF(LEN(IF(LEN(INDEX('Aides'!$Q$4:$Q$503,328))=0,"",INDEX('Aides'!$Q$4:$Q$503,328)))=0,"","Target: "&amp;IF(LEN(INDEX('Aides'!$Q$4:$Q$503,328))=0,"",INDEX('Aides'!$Q$4:$Q$503,328))&amp;". ")&amp;IF(LEN(IF(LEN(INDEX('Aides'!$R$4:$R$503,328))=0,"",INDEX('Aides'!$R$4:$R$503,328)))=0,"","Hours still needed: "&amp;IF(LEN(INDEX('Aides'!$R$4:$R$503,328))=0,"",INDEX('Aides'!$R$4:$R$503,328))&amp;". ")&amp;IF(LEN(IF(LEN(INDEX('Aides'!$U$4:$U$503,328))=0,"",INDEX('Aides'!$U$4:$U$503,328)))=0,"","Owner: "&amp;IF(LEN(INDEX('Aides'!$U$4:$U$503,328))=0,"",INDEX('Aides'!$U$4:$U$503,328))&amp;". "))</f>
        <v/>
      </c>
      <c r="I1331">
        <f>""</f>
        <v/>
      </c>
      <c r="J1331">
        <f>IF(LEN(INDEX('Aides'!$V$4:$V$503,328))=0,"",INDEX('Aides'!$V$4:$V$503,328))</f>
        <v/>
      </c>
    </row>
    <row r="1332">
      <c r="A1332">
        <f>IF(AND(LEN('Aides'!A332)&gt;0,ISNUMBER('Aides'!O332)),1,0)</f>
        <v/>
      </c>
      <c r="B1332">
        <f>B1331+A1332</f>
        <v/>
      </c>
      <c r="C1332">
        <f>IF(1329&gt;$B$1503,"",MATCH(1329-0.5,$B$3:$B$1503,1))</f>
        <v/>
      </c>
      <c r="D1332">
        <f>"In-service hours due – "&amp;IF(LEN(INDEX('Aides'!$A$4:$A$503,329))=0,"",INDEX('Aides'!$A$4:$A$503,329))</f>
        <v/>
      </c>
      <c r="E1332">
        <f>IF(ISNUMBER(INDEX('Aides'!$O$4:$O$503,329)),TEXT(INDEX('Aides'!$O$4:$O$503,329),"yyyy-mm-dd"),"")</f>
        <v/>
      </c>
      <c r="F1332">
        <f>"Training"</f>
        <v/>
      </c>
      <c r="G1332">
        <f>"Medium"</f>
        <v/>
      </c>
      <c r="H1332">
        <f>TRIM(IF(LEN(IF(LEN(INDEX('Aides'!$P$4:$P$503,329))=0,"",INDEX('Aides'!$P$4:$P$503,329)))=0,"","Hours done: "&amp;IF(LEN(INDEX('Aides'!$P$4:$P$503,329))=0,"",INDEX('Aides'!$P$4:$P$503,329))&amp;". ")&amp;IF(LEN(IF(LEN(INDEX('Aides'!$Q$4:$Q$503,329))=0,"",INDEX('Aides'!$Q$4:$Q$503,329)))=0,"","Target: "&amp;IF(LEN(INDEX('Aides'!$Q$4:$Q$503,329))=0,"",INDEX('Aides'!$Q$4:$Q$503,329))&amp;". ")&amp;IF(LEN(IF(LEN(INDEX('Aides'!$R$4:$R$503,329))=0,"",INDEX('Aides'!$R$4:$R$503,329)))=0,"","Hours still needed: "&amp;IF(LEN(INDEX('Aides'!$R$4:$R$503,329))=0,"",INDEX('Aides'!$R$4:$R$503,329))&amp;". ")&amp;IF(LEN(IF(LEN(INDEX('Aides'!$U$4:$U$503,329))=0,"",INDEX('Aides'!$U$4:$U$503,329)))=0,"","Owner: "&amp;IF(LEN(INDEX('Aides'!$U$4:$U$503,329))=0,"",INDEX('Aides'!$U$4:$U$503,329))&amp;". "))</f>
        <v/>
      </c>
      <c r="I1332">
        <f>""</f>
        <v/>
      </c>
      <c r="J1332">
        <f>IF(LEN(INDEX('Aides'!$V$4:$V$503,329))=0,"",INDEX('Aides'!$V$4:$V$503,329))</f>
        <v/>
      </c>
    </row>
    <row r="1333">
      <c r="A1333">
        <f>IF(AND(LEN('Aides'!A333)&gt;0,ISNUMBER('Aides'!O333)),1,0)</f>
        <v/>
      </c>
      <c r="B1333">
        <f>B1332+A1333</f>
        <v/>
      </c>
      <c r="C1333">
        <f>IF(1330&gt;$B$1503,"",MATCH(1330-0.5,$B$3:$B$1503,1))</f>
        <v/>
      </c>
      <c r="D1333">
        <f>"In-service hours due – "&amp;IF(LEN(INDEX('Aides'!$A$4:$A$503,330))=0,"",INDEX('Aides'!$A$4:$A$503,330))</f>
        <v/>
      </c>
      <c r="E1333">
        <f>IF(ISNUMBER(INDEX('Aides'!$O$4:$O$503,330)),TEXT(INDEX('Aides'!$O$4:$O$503,330),"yyyy-mm-dd"),"")</f>
        <v/>
      </c>
      <c r="F1333">
        <f>"Training"</f>
        <v/>
      </c>
      <c r="G1333">
        <f>"Medium"</f>
        <v/>
      </c>
      <c r="H1333">
        <f>TRIM(IF(LEN(IF(LEN(INDEX('Aides'!$P$4:$P$503,330))=0,"",INDEX('Aides'!$P$4:$P$503,330)))=0,"","Hours done: "&amp;IF(LEN(INDEX('Aides'!$P$4:$P$503,330))=0,"",INDEX('Aides'!$P$4:$P$503,330))&amp;". ")&amp;IF(LEN(IF(LEN(INDEX('Aides'!$Q$4:$Q$503,330))=0,"",INDEX('Aides'!$Q$4:$Q$503,330)))=0,"","Target: "&amp;IF(LEN(INDEX('Aides'!$Q$4:$Q$503,330))=0,"",INDEX('Aides'!$Q$4:$Q$503,330))&amp;". ")&amp;IF(LEN(IF(LEN(INDEX('Aides'!$R$4:$R$503,330))=0,"",INDEX('Aides'!$R$4:$R$503,330)))=0,"","Hours still needed: "&amp;IF(LEN(INDEX('Aides'!$R$4:$R$503,330))=0,"",INDEX('Aides'!$R$4:$R$503,330))&amp;". ")&amp;IF(LEN(IF(LEN(INDEX('Aides'!$U$4:$U$503,330))=0,"",INDEX('Aides'!$U$4:$U$503,330)))=0,"","Owner: "&amp;IF(LEN(INDEX('Aides'!$U$4:$U$503,330))=0,"",INDEX('Aides'!$U$4:$U$503,330))&amp;". "))</f>
        <v/>
      </c>
      <c r="I1333">
        <f>""</f>
        <v/>
      </c>
      <c r="J1333">
        <f>IF(LEN(INDEX('Aides'!$V$4:$V$503,330))=0,"",INDEX('Aides'!$V$4:$V$503,330))</f>
        <v/>
      </c>
    </row>
    <row r="1334">
      <c r="A1334">
        <f>IF(AND(LEN('Aides'!A334)&gt;0,ISNUMBER('Aides'!O334)),1,0)</f>
        <v/>
      </c>
      <c r="B1334">
        <f>B1333+A1334</f>
        <v/>
      </c>
      <c r="C1334">
        <f>IF(1331&gt;$B$1503,"",MATCH(1331-0.5,$B$3:$B$1503,1))</f>
        <v/>
      </c>
      <c r="D1334">
        <f>"In-service hours due – "&amp;IF(LEN(INDEX('Aides'!$A$4:$A$503,331))=0,"",INDEX('Aides'!$A$4:$A$503,331))</f>
        <v/>
      </c>
      <c r="E1334">
        <f>IF(ISNUMBER(INDEX('Aides'!$O$4:$O$503,331)),TEXT(INDEX('Aides'!$O$4:$O$503,331),"yyyy-mm-dd"),"")</f>
        <v/>
      </c>
      <c r="F1334">
        <f>"Training"</f>
        <v/>
      </c>
      <c r="G1334">
        <f>"Medium"</f>
        <v/>
      </c>
      <c r="H1334">
        <f>TRIM(IF(LEN(IF(LEN(INDEX('Aides'!$P$4:$P$503,331))=0,"",INDEX('Aides'!$P$4:$P$503,331)))=0,"","Hours done: "&amp;IF(LEN(INDEX('Aides'!$P$4:$P$503,331))=0,"",INDEX('Aides'!$P$4:$P$503,331))&amp;". ")&amp;IF(LEN(IF(LEN(INDEX('Aides'!$Q$4:$Q$503,331))=0,"",INDEX('Aides'!$Q$4:$Q$503,331)))=0,"","Target: "&amp;IF(LEN(INDEX('Aides'!$Q$4:$Q$503,331))=0,"",INDEX('Aides'!$Q$4:$Q$503,331))&amp;". ")&amp;IF(LEN(IF(LEN(INDEX('Aides'!$R$4:$R$503,331))=0,"",INDEX('Aides'!$R$4:$R$503,331)))=0,"","Hours still needed: "&amp;IF(LEN(INDEX('Aides'!$R$4:$R$503,331))=0,"",INDEX('Aides'!$R$4:$R$503,331))&amp;". ")&amp;IF(LEN(IF(LEN(INDEX('Aides'!$U$4:$U$503,331))=0,"",INDEX('Aides'!$U$4:$U$503,331)))=0,"","Owner: "&amp;IF(LEN(INDEX('Aides'!$U$4:$U$503,331))=0,"",INDEX('Aides'!$U$4:$U$503,331))&amp;". "))</f>
        <v/>
      </c>
      <c r="I1334">
        <f>""</f>
        <v/>
      </c>
      <c r="J1334">
        <f>IF(LEN(INDEX('Aides'!$V$4:$V$503,331))=0,"",INDEX('Aides'!$V$4:$V$503,331))</f>
        <v/>
      </c>
    </row>
    <row r="1335">
      <c r="A1335">
        <f>IF(AND(LEN('Aides'!A335)&gt;0,ISNUMBER('Aides'!O335)),1,0)</f>
        <v/>
      </c>
      <c r="B1335">
        <f>B1334+A1335</f>
        <v/>
      </c>
      <c r="C1335">
        <f>IF(1332&gt;$B$1503,"",MATCH(1332-0.5,$B$3:$B$1503,1))</f>
        <v/>
      </c>
      <c r="D1335">
        <f>"In-service hours due – "&amp;IF(LEN(INDEX('Aides'!$A$4:$A$503,332))=0,"",INDEX('Aides'!$A$4:$A$503,332))</f>
        <v/>
      </c>
      <c r="E1335">
        <f>IF(ISNUMBER(INDEX('Aides'!$O$4:$O$503,332)),TEXT(INDEX('Aides'!$O$4:$O$503,332),"yyyy-mm-dd"),"")</f>
        <v/>
      </c>
      <c r="F1335">
        <f>"Training"</f>
        <v/>
      </c>
      <c r="G1335">
        <f>"Medium"</f>
        <v/>
      </c>
      <c r="H1335">
        <f>TRIM(IF(LEN(IF(LEN(INDEX('Aides'!$P$4:$P$503,332))=0,"",INDEX('Aides'!$P$4:$P$503,332)))=0,"","Hours done: "&amp;IF(LEN(INDEX('Aides'!$P$4:$P$503,332))=0,"",INDEX('Aides'!$P$4:$P$503,332))&amp;". ")&amp;IF(LEN(IF(LEN(INDEX('Aides'!$Q$4:$Q$503,332))=0,"",INDEX('Aides'!$Q$4:$Q$503,332)))=0,"","Target: "&amp;IF(LEN(INDEX('Aides'!$Q$4:$Q$503,332))=0,"",INDEX('Aides'!$Q$4:$Q$503,332))&amp;". ")&amp;IF(LEN(IF(LEN(INDEX('Aides'!$R$4:$R$503,332))=0,"",INDEX('Aides'!$R$4:$R$503,332)))=0,"","Hours still needed: "&amp;IF(LEN(INDEX('Aides'!$R$4:$R$503,332))=0,"",INDEX('Aides'!$R$4:$R$503,332))&amp;". ")&amp;IF(LEN(IF(LEN(INDEX('Aides'!$U$4:$U$503,332))=0,"",INDEX('Aides'!$U$4:$U$503,332)))=0,"","Owner: "&amp;IF(LEN(INDEX('Aides'!$U$4:$U$503,332))=0,"",INDEX('Aides'!$U$4:$U$503,332))&amp;". "))</f>
        <v/>
      </c>
      <c r="I1335">
        <f>""</f>
        <v/>
      </c>
      <c r="J1335">
        <f>IF(LEN(INDEX('Aides'!$V$4:$V$503,332))=0,"",INDEX('Aides'!$V$4:$V$503,332))</f>
        <v/>
      </c>
    </row>
    <row r="1336">
      <c r="A1336">
        <f>IF(AND(LEN('Aides'!A336)&gt;0,ISNUMBER('Aides'!O336)),1,0)</f>
        <v/>
      </c>
      <c r="B1336">
        <f>B1335+A1336</f>
        <v/>
      </c>
      <c r="C1336">
        <f>IF(1333&gt;$B$1503,"",MATCH(1333-0.5,$B$3:$B$1503,1))</f>
        <v/>
      </c>
      <c r="D1336">
        <f>"In-service hours due – "&amp;IF(LEN(INDEX('Aides'!$A$4:$A$503,333))=0,"",INDEX('Aides'!$A$4:$A$503,333))</f>
        <v/>
      </c>
      <c r="E1336">
        <f>IF(ISNUMBER(INDEX('Aides'!$O$4:$O$503,333)),TEXT(INDEX('Aides'!$O$4:$O$503,333),"yyyy-mm-dd"),"")</f>
        <v/>
      </c>
      <c r="F1336">
        <f>"Training"</f>
        <v/>
      </c>
      <c r="G1336">
        <f>"Medium"</f>
        <v/>
      </c>
      <c r="H1336">
        <f>TRIM(IF(LEN(IF(LEN(INDEX('Aides'!$P$4:$P$503,333))=0,"",INDEX('Aides'!$P$4:$P$503,333)))=0,"","Hours done: "&amp;IF(LEN(INDEX('Aides'!$P$4:$P$503,333))=0,"",INDEX('Aides'!$P$4:$P$503,333))&amp;". ")&amp;IF(LEN(IF(LEN(INDEX('Aides'!$Q$4:$Q$503,333))=0,"",INDEX('Aides'!$Q$4:$Q$503,333)))=0,"","Target: "&amp;IF(LEN(INDEX('Aides'!$Q$4:$Q$503,333))=0,"",INDEX('Aides'!$Q$4:$Q$503,333))&amp;". ")&amp;IF(LEN(IF(LEN(INDEX('Aides'!$R$4:$R$503,333))=0,"",INDEX('Aides'!$R$4:$R$503,333)))=0,"","Hours still needed: "&amp;IF(LEN(INDEX('Aides'!$R$4:$R$503,333))=0,"",INDEX('Aides'!$R$4:$R$503,333))&amp;". ")&amp;IF(LEN(IF(LEN(INDEX('Aides'!$U$4:$U$503,333))=0,"",INDEX('Aides'!$U$4:$U$503,333)))=0,"","Owner: "&amp;IF(LEN(INDEX('Aides'!$U$4:$U$503,333))=0,"",INDEX('Aides'!$U$4:$U$503,333))&amp;". "))</f>
        <v/>
      </c>
      <c r="I1336">
        <f>""</f>
        <v/>
      </c>
      <c r="J1336">
        <f>IF(LEN(INDEX('Aides'!$V$4:$V$503,333))=0,"",INDEX('Aides'!$V$4:$V$503,333))</f>
        <v/>
      </c>
    </row>
    <row r="1337">
      <c r="A1337">
        <f>IF(AND(LEN('Aides'!A337)&gt;0,ISNUMBER('Aides'!O337)),1,0)</f>
        <v/>
      </c>
      <c r="B1337">
        <f>B1336+A1337</f>
        <v/>
      </c>
      <c r="C1337">
        <f>IF(1334&gt;$B$1503,"",MATCH(1334-0.5,$B$3:$B$1503,1))</f>
        <v/>
      </c>
      <c r="D1337">
        <f>"In-service hours due – "&amp;IF(LEN(INDEX('Aides'!$A$4:$A$503,334))=0,"",INDEX('Aides'!$A$4:$A$503,334))</f>
        <v/>
      </c>
      <c r="E1337">
        <f>IF(ISNUMBER(INDEX('Aides'!$O$4:$O$503,334)),TEXT(INDEX('Aides'!$O$4:$O$503,334),"yyyy-mm-dd"),"")</f>
        <v/>
      </c>
      <c r="F1337">
        <f>"Training"</f>
        <v/>
      </c>
      <c r="G1337">
        <f>"Medium"</f>
        <v/>
      </c>
      <c r="H1337">
        <f>TRIM(IF(LEN(IF(LEN(INDEX('Aides'!$P$4:$P$503,334))=0,"",INDEX('Aides'!$P$4:$P$503,334)))=0,"","Hours done: "&amp;IF(LEN(INDEX('Aides'!$P$4:$P$503,334))=0,"",INDEX('Aides'!$P$4:$P$503,334))&amp;". ")&amp;IF(LEN(IF(LEN(INDEX('Aides'!$Q$4:$Q$503,334))=0,"",INDEX('Aides'!$Q$4:$Q$503,334)))=0,"","Target: "&amp;IF(LEN(INDEX('Aides'!$Q$4:$Q$503,334))=0,"",INDEX('Aides'!$Q$4:$Q$503,334))&amp;". ")&amp;IF(LEN(IF(LEN(INDEX('Aides'!$R$4:$R$503,334))=0,"",INDEX('Aides'!$R$4:$R$503,334)))=0,"","Hours still needed: "&amp;IF(LEN(INDEX('Aides'!$R$4:$R$503,334))=0,"",INDEX('Aides'!$R$4:$R$503,334))&amp;". ")&amp;IF(LEN(IF(LEN(INDEX('Aides'!$U$4:$U$503,334))=0,"",INDEX('Aides'!$U$4:$U$503,334)))=0,"","Owner: "&amp;IF(LEN(INDEX('Aides'!$U$4:$U$503,334))=0,"",INDEX('Aides'!$U$4:$U$503,334))&amp;". "))</f>
        <v/>
      </c>
      <c r="I1337">
        <f>""</f>
        <v/>
      </c>
      <c r="J1337">
        <f>IF(LEN(INDEX('Aides'!$V$4:$V$503,334))=0,"",INDEX('Aides'!$V$4:$V$503,334))</f>
        <v/>
      </c>
    </row>
    <row r="1338">
      <c r="A1338">
        <f>IF(AND(LEN('Aides'!A338)&gt;0,ISNUMBER('Aides'!O338)),1,0)</f>
        <v/>
      </c>
      <c r="B1338">
        <f>B1337+A1338</f>
        <v/>
      </c>
      <c r="C1338">
        <f>IF(1335&gt;$B$1503,"",MATCH(1335-0.5,$B$3:$B$1503,1))</f>
        <v/>
      </c>
      <c r="D1338">
        <f>"In-service hours due – "&amp;IF(LEN(INDEX('Aides'!$A$4:$A$503,335))=0,"",INDEX('Aides'!$A$4:$A$503,335))</f>
        <v/>
      </c>
      <c r="E1338">
        <f>IF(ISNUMBER(INDEX('Aides'!$O$4:$O$503,335)),TEXT(INDEX('Aides'!$O$4:$O$503,335),"yyyy-mm-dd"),"")</f>
        <v/>
      </c>
      <c r="F1338">
        <f>"Training"</f>
        <v/>
      </c>
      <c r="G1338">
        <f>"Medium"</f>
        <v/>
      </c>
      <c r="H1338">
        <f>TRIM(IF(LEN(IF(LEN(INDEX('Aides'!$P$4:$P$503,335))=0,"",INDEX('Aides'!$P$4:$P$503,335)))=0,"","Hours done: "&amp;IF(LEN(INDEX('Aides'!$P$4:$P$503,335))=0,"",INDEX('Aides'!$P$4:$P$503,335))&amp;". ")&amp;IF(LEN(IF(LEN(INDEX('Aides'!$Q$4:$Q$503,335))=0,"",INDEX('Aides'!$Q$4:$Q$503,335)))=0,"","Target: "&amp;IF(LEN(INDEX('Aides'!$Q$4:$Q$503,335))=0,"",INDEX('Aides'!$Q$4:$Q$503,335))&amp;". ")&amp;IF(LEN(IF(LEN(INDEX('Aides'!$R$4:$R$503,335))=0,"",INDEX('Aides'!$R$4:$R$503,335)))=0,"","Hours still needed: "&amp;IF(LEN(INDEX('Aides'!$R$4:$R$503,335))=0,"",INDEX('Aides'!$R$4:$R$503,335))&amp;". ")&amp;IF(LEN(IF(LEN(INDEX('Aides'!$U$4:$U$503,335))=0,"",INDEX('Aides'!$U$4:$U$503,335)))=0,"","Owner: "&amp;IF(LEN(INDEX('Aides'!$U$4:$U$503,335))=0,"",INDEX('Aides'!$U$4:$U$503,335))&amp;". "))</f>
        <v/>
      </c>
      <c r="I1338">
        <f>""</f>
        <v/>
      </c>
      <c r="J1338">
        <f>IF(LEN(INDEX('Aides'!$V$4:$V$503,335))=0,"",INDEX('Aides'!$V$4:$V$503,335))</f>
        <v/>
      </c>
    </row>
    <row r="1339">
      <c r="A1339">
        <f>IF(AND(LEN('Aides'!A339)&gt;0,ISNUMBER('Aides'!O339)),1,0)</f>
        <v/>
      </c>
      <c r="B1339">
        <f>B1338+A1339</f>
        <v/>
      </c>
      <c r="C1339">
        <f>IF(1336&gt;$B$1503,"",MATCH(1336-0.5,$B$3:$B$1503,1))</f>
        <v/>
      </c>
      <c r="D1339">
        <f>"In-service hours due – "&amp;IF(LEN(INDEX('Aides'!$A$4:$A$503,336))=0,"",INDEX('Aides'!$A$4:$A$503,336))</f>
        <v/>
      </c>
      <c r="E1339">
        <f>IF(ISNUMBER(INDEX('Aides'!$O$4:$O$503,336)),TEXT(INDEX('Aides'!$O$4:$O$503,336),"yyyy-mm-dd"),"")</f>
        <v/>
      </c>
      <c r="F1339">
        <f>"Training"</f>
        <v/>
      </c>
      <c r="G1339">
        <f>"Medium"</f>
        <v/>
      </c>
      <c r="H1339">
        <f>TRIM(IF(LEN(IF(LEN(INDEX('Aides'!$P$4:$P$503,336))=0,"",INDEX('Aides'!$P$4:$P$503,336)))=0,"","Hours done: "&amp;IF(LEN(INDEX('Aides'!$P$4:$P$503,336))=0,"",INDEX('Aides'!$P$4:$P$503,336))&amp;". ")&amp;IF(LEN(IF(LEN(INDEX('Aides'!$Q$4:$Q$503,336))=0,"",INDEX('Aides'!$Q$4:$Q$503,336)))=0,"","Target: "&amp;IF(LEN(INDEX('Aides'!$Q$4:$Q$503,336))=0,"",INDEX('Aides'!$Q$4:$Q$503,336))&amp;". ")&amp;IF(LEN(IF(LEN(INDEX('Aides'!$R$4:$R$503,336))=0,"",INDEX('Aides'!$R$4:$R$503,336)))=0,"","Hours still needed: "&amp;IF(LEN(INDEX('Aides'!$R$4:$R$503,336))=0,"",INDEX('Aides'!$R$4:$R$503,336))&amp;". ")&amp;IF(LEN(IF(LEN(INDEX('Aides'!$U$4:$U$503,336))=0,"",INDEX('Aides'!$U$4:$U$503,336)))=0,"","Owner: "&amp;IF(LEN(INDEX('Aides'!$U$4:$U$503,336))=0,"",INDEX('Aides'!$U$4:$U$503,336))&amp;". "))</f>
        <v/>
      </c>
      <c r="I1339">
        <f>""</f>
        <v/>
      </c>
      <c r="J1339">
        <f>IF(LEN(INDEX('Aides'!$V$4:$V$503,336))=0,"",INDEX('Aides'!$V$4:$V$503,336))</f>
        <v/>
      </c>
    </row>
    <row r="1340">
      <c r="A1340">
        <f>IF(AND(LEN('Aides'!A340)&gt;0,ISNUMBER('Aides'!O340)),1,0)</f>
        <v/>
      </c>
      <c r="B1340">
        <f>B1339+A1340</f>
        <v/>
      </c>
      <c r="C1340">
        <f>IF(1337&gt;$B$1503,"",MATCH(1337-0.5,$B$3:$B$1503,1))</f>
        <v/>
      </c>
      <c r="D1340">
        <f>"In-service hours due – "&amp;IF(LEN(INDEX('Aides'!$A$4:$A$503,337))=0,"",INDEX('Aides'!$A$4:$A$503,337))</f>
        <v/>
      </c>
      <c r="E1340">
        <f>IF(ISNUMBER(INDEX('Aides'!$O$4:$O$503,337)),TEXT(INDEX('Aides'!$O$4:$O$503,337),"yyyy-mm-dd"),"")</f>
        <v/>
      </c>
      <c r="F1340">
        <f>"Training"</f>
        <v/>
      </c>
      <c r="G1340">
        <f>"Medium"</f>
        <v/>
      </c>
      <c r="H1340">
        <f>TRIM(IF(LEN(IF(LEN(INDEX('Aides'!$P$4:$P$503,337))=0,"",INDEX('Aides'!$P$4:$P$503,337)))=0,"","Hours done: "&amp;IF(LEN(INDEX('Aides'!$P$4:$P$503,337))=0,"",INDEX('Aides'!$P$4:$P$503,337))&amp;". ")&amp;IF(LEN(IF(LEN(INDEX('Aides'!$Q$4:$Q$503,337))=0,"",INDEX('Aides'!$Q$4:$Q$503,337)))=0,"","Target: "&amp;IF(LEN(INDEX('Aides'!$Q$4:$Q$503,337))=0,"",INDEX('Aides'!$Q$4:$Q$503,337))&amp;". ")&amp;IF(LEN(IF(LEN(INDEX('Aides'!$R$4:$R$503,337))=0,"",INDEX('Aides'!$R$4:$R$503,337)))=0,"","Hours still needed: "&amp;IF(LEN(INDEX('Aides'!$R$4:$R$503,337))=0,"",INDEX('Aides'!$R$4:$R$503,337))&amp;". ")&amp;IF(LEN(IF(LEN(INDEX('Aides'!$U$4:$U$503,337))=0,"",INDEX('Aides'!$U$4:$U$503,337)))=0,"","Owner: "&amp;IF(LEN(INDEX('Aides'!$U$4:$U$503,337))=0,"",INDEX('Aides'!$U$4:$U$503,337))&amp;". "))</f>
        <v/>
      </c>
      <c r="I1340">
        <f>""</f>
        <v/>
      </c>
      <c r="J1340">
        <f>IF(LEN(INDEX('Aides'!$V$4:$V$503,337))=0,"",INDEX('Aides'!$V$4:$V$503,337))</f>
        <v/>
      </c>
    </row>
    <row r="1341">
      <c r="A1341">
        <f>IF(AND(LEN('Aides'!A341)&gt;0,ISNUMBER('Aides'!O341)),1,0)</f>
        <v/>
      </c>
      <c r="B1341">
        <f>B1340+A1341</f>
        <v/>
      </c>
      <c r="C1341">
        <f>IF(1338&gt;$B$1503,"",MATCH(1338-0.5,$B$3:$B$1503,1))</f>
        <v/>
      </c>
      <c r="D1341">
        <f>"In-service hours due – "&amp;IF(LEN(INDEX('Aides'!$A$4:$A$503,338))=0,"",INDEX('Aides'!$A$4:$A$503,338))</f>
        <v/>
      </c>
      <c r="E1341">
        <f>IF(ISNUMBER(INDEX('Aides'!$O$4:$O$503,338)),TEXT(INDEX('Aides'!$O$4:$O$503,338),"yyyy-mm-dd"),"")</f>
        <v/>
      </c>
      <c r="F1341">
        <f>"Training"</f>
        <v/>
      </c>
      <c r="G1341">
        <f>"Medium"</f>
        <v/>
      </c>
      <c r="H1341">
        <f>TRIM(IF(LEN(IF(LEN(INDEX('Aides'!$P$4:$P$503,338))=0,"",INDEX('Aides'!$P$4:$P$503,338)))=0,"","Hours done: "&amp;IF(LEN(INDEX('Aides'!$P$4:$P$503,338))=0,"",INDEX('Aides'!$P$4:$P$503,338))&amp;". ")&amp;IF(LEN(IF(LEN(INDEX('Aides'!$Q$4:$Q$503,338))=0,"",INDEX('Aides'!$Q$4:$Q$503,338)))=0,"","Target: "&amp;IF(LEN(INDEX('Aides'!$Q$4:$Q$503,338))=0,"",INDEX('Aides'!$Q$4:$Q$503,338))&amp;". ")&amp;IF(LEN(IF(LEN(INDEX('Aides'!$R$4:$R$503,338))=0,"",INDEX('Aides'!$R$4:$R$503,338)))=0,"","Hours still needed: "&amp;IF(LEN(INDEX('Aides'!$R$4:$R$503,338))=0,"",INDEX('Aides'!$R$4:$R$503,338))&amp;". ")&amp;IF(LEN(IF(LEN(INDEX('Aides'!$U$4:$U$503,338))=0,"",INDEX('Aides'!$U$4:$U$503,338)))=0,"","Owner: "&amp;IF(LEN(INDEX('Aides'!$U$4:$U$503,338))=0,"",INDEX('Aides'!$U$4:$U$503,338))&amp;". "))</f>
        <v/>
      </c>
      <c r="I1341">
        <f>""</f>
        <v/>
      </c>
      <c r="J1341">
        <f>IF(LEN(INDEX('Aides'!$V$4:$V$503,338))=0,"",INDEX('Aides'!$V$4:$V$503,338))</f>
        <v/>
      </c>
    </row>
    <row r="1342">
      <c r="A1342">
        <f>IF(AND(LEN('Aides'!A342)&gt;0,ISNUMBER('Aides'!O342)),1,0)</f>
        <v/>
      </c>
      <c r="B1342">
        <f>B1341+A1342</f>
        <v/>
      </c>
      <c r="C1342">
        <f>IF(1339&gt;$B$1503,"",MATCH(1339-0.5,$B$3:$B$1503,1))</f>
        <v/>
      </c>
      <c r="D1342">
        <f>"In-service hours due – "&amp;IF(LEN(INDEX('Aides'!$A$4:$A$503,339))=0,"",INDEX('Aides'!$A$4:$A$503,339))</f>
        <v/>
      </c>
      <c r="E1342">
        <f>IF(ISNUMBER(INDEX('Aides'!$O$4:$O$503,339)),TEXT(INDEX('Aides'!$O$4:$O$503,339),"yyyy-mm-dd"),"")</f>
        <v/>
      </c>
      <c r="F1342">
        <f>"Training"</f>
        <v/>
      </c>
      <c r="G1342">
        <f>"Medium"</f>
        <v/>
      </c>
      <c r="H1342">
        <f>TRIM(IF(LEN(IF(LEN(INDEX('Aides'!$P$4:$P$503,339))=0,"",INDEX('Aides'!$P$4:$P$503,339)))=0,"","Hours done: "&amp;IF(LEN(INDEX('Aides'!$P$4:$P$503,339))=0,"",INDEX('Aides'!$P$4:$P$503,339))&amp;". ")&amp;IF(LEN(IF(LEN(INDEX('Aides'!$Q$4:$Q$503,339))=0,"",INDEX('Aides'!$Q$4:$Q$503,339)))=0,"","Target: "&amp;IF(LEN(INDEX('Aides'!$Q$4:$Q$503,339))=0,"",INDEX('Aides'!$Q$4:$Q$503,339))&amp;". ")&amp;IF(LEN(IF(LEN(INDEX('Aides'!$R$4:$R$503,339))=0,"",INDEX('Aides'!$R$4:$R$503,339)))=0,"","Hours still needed: "&amp;IF(LEN(INDEX('Aides'!$R$4:$R$503,339))=0,"",INDEX('Aides'!$R$4:$R$503,339))&amp;". ")&amp;IF(LEN(IF(LEN(INDEX('Aides'!$U$4:$U$503,339))=0,"",INDEX('Aides'!$U$4:$U$503,339)))=0,"","Owner: "&amp;IF(LEN(INDEX('Aides'!$U$4:$U$503,339))=0,"",INDEX('Aides'!$U$4:$U$503,339))&amp;". "))</f>
        <v/>
      </c>
      <c r="I1342">
        <f>""</f>
        <v/>
      </c>
      <c r="J1342">
        <f>IF(LEN(INDEX('Aides'!$V$4:$V$503,339))=0,"",INDEX('Aides'!$V$4:$V$503,339))</f>
        <v/>
      </c>
    </row>
    <row r="1343">
      <c r="A1343">
        <f>IF(AND(LEN('Aides'!A343)&gt;0,ISNUMBER('Aides'!O343)),1,0)</f>
        <v/>
      </c>
      <c r="B1343">
        <f>B1342+A1343</f>
        <v/>
      </c>
      <c r="C1343">
        <f>IF(1340&gt;$B$1503,"",MATCH(1340-0.5,$B$3:$B$1503,1))</f>
        <v/>
      </c>
      <c r="D1343">
        <f>"In-service hours due – "&amp;IF(LEN(INDEX('Aides'!$A$4:$A$503,340))=0,"",INDEX('Aides'!$A$4:$A$503,340))</f>
        <v/>
      </c>
      <c r="E1343">
        <f>IF(ISNUMBER(INDEX('Aides'!$O$4:$O$503,340)),TEXT(INDEX('Aides'!$O$4:$O$503,340),"yyyy-mm-dd"),"")</f>
        <v/>
      </c>
      <c r="F1343">
        <f>"Training"</f>
        <v/>
      </c>
      <c r="G1343">
        <f>"Medium"</f>
        <v/>
      </c>
      <c r="H1343">
        <f>TRIM(IF(LEN(IF(LEN(INDEX('Aides'!$P$4:$P$503,340))=0,"",INDEX('Aides'!$P$4:$P$503,340)))=0,"","Hours done: "&amp;IF(LEN(INDEX('Aides'!$P$4:$P$503,340))=0,"",INDEX('Aides'!$P$4:$P$503,340))&amp;". ")&amp;IF(LEN(IF(LEN(INDEX('Aides'!$Q$4:$Q$503,340))=0,"",INDEX('Aides'!$Q$4:$Q$503,340)))=0,"","Target: "&amp;IF(LEN(INDEX('Aides'!$Q$4:$Q$503,340))=0,"",INDEX('Aides'!$Q$4:$Q$503,340))&amp;". ")&amp;IF(LEN(IF(LEN(INDEX('Aides'!$R$4:$R$503,340))=0,"",INDEX('Aides'!$R$4:$R$503,340)))=0,"","Hours still needed: "&amp;IF(LEN(INDEX('Aides'!$R$4:$R$503,340))=0,"",INDEX('Aides'!$R$4:$R$503,340))&amp;". ")&amp;IF(LEN(IF(LEN(INDEX('Aides'!$U$4:$U$503,340))=0,"",INDEX('Aides'!$U$4:$U$503,340)))=0,"","Owner: "&amp;IF(LEN(INDEX('Aides'!$U$4:$U$503,340))=0,"",INDEX('Aides'!$U$4:$U$503,340))&amp;". "))</f>
        <v/>
      </c>
      <c r="I1343">
        <f>""</f>
        <v/>
      </c>
      <c r="J1343">
        <f>IF(LEN(INDEX('Aides'!$V$4:$V$503,340))=0,"",INDEX('Aides'!$V$4:$V$503,340))</f>
        <v/>
      </c>
    </row>
    <row r="1344">
      <c r="A1344">
        <f>IF(AND(LEN('Aides'!A344)&gt;0,ISNUMBER('Aides'!O344)),1,0)</f>
        <v/>
      </c>
      <c r="B1344">
        <f>B1343+A1344</f>
        <v/>
      </c>
      <c r="C1344">
        <f>IF(1341&gt;$B$1503,"",MATCH(1341-0.5,$B$3:$B$1503,1))</f>
        <v/>
      </c>
      <c r="D1344">
        <f>"In-service hours due – "&amp;IF(LEN(INDEX('Aides'!$A$4:$A$503,341))=0,"",INDEX('Aides'!$A$4:$A$503,341))</f>
        <v/>
      </c>
      <c r="E1344">
        <f>IF(ISNUMBER(INDEX('Aides'!$O$4:$O$503,341)),TEXT(INDEX('Aides'!$O$4:$O$503,341),"yyyy-mm-dd"),"")</f>
        <v/>
      </c>
      <c r="F1344">
        <f>"Training"</f>
        <v/>
      </c>
      <c r="G1344">
        <f>"Medium"</f>
        <v/>
      </c>
      <c r="H1344">
        <f>TRIM(IF(LEN(IF(LEN(INDEX('Aides'!$P$4:$P$503,341))=0,"",INDEX('Aides'!$P$4:$P$503,341)))=0,"","Hours done: "&amp;IF(LEN(INDEX('Aides'!$P$4:$P$503,341))=0,"",INDEX('Aides'!$P$4:$P$503,341))&amp;". ")&amp;IF(LEN(IF(LEN(INDEX('Aides'!$Q$4:$Q$503,341))=0,"",INDEX('Aides'!$Q$4:$Q$503,341)))=0,"","Target: "&amp;IF(LEN(INDEX('Aides'!$Q$4:$Q$503,341))=0,"",INDEX('Aides'!$Q$4:$Q$503,341))&amp;". ")&amp;IF(LEN(IF(LEN(INDEX('Aides'!$R$4:$R$503,341))=0,"",INDEX('Aides'!$R$4:$R$503,341)))=0,"","Hours still needed: "&amp;IF(LEN(INDEX('Aides'!$R$4:$R$503,341))=0,"",INDEX('Aides'!$R$4:$R$503,341))&amp;". ")&amp;IF(LEN(IF(LEN(INDEX('Aides'!$U$4:$U$503,341))=0,"",INDEX('Aides'!$U$4:$U$503,341)))=0,"","Owner: "&amp;IF(LEN(INDEX('Aides'!$U$4:$U$503,341))=0,"",INDEX('Aides'!$U$4:$U$503,341))&amp;". "))</f>
        <v/>
      </c>
      <c r="I1344">
        <f>""</f>
        <v/>
      </c>
      <c r="J1344">
        <f>IF(LEN(INDEX('Aides'!$V$4:$V$503,341))=0,"",INDEX('Aides'!$V$4:$V$503,341))</f>
        <v/>
      </c>
    </row>
    <row r="1345">
      <c r="A1345">
        <f>IF(AND(LEN('Aides'!A345)&gt;0,ISNUMBER('Aides'!O345)),1,0)</f>
        <v/>
      </c>
      <c r="B1345">
        <f>B1344+A1345</f>
        <v/>
      </c>
      <c r="C1345">
        <f>IF(1342&gt;$B$1503,"",MATCH(1342-0.5,$B$3:$B$1503,1))</f>
        <v/>
      </c>
      <c r="D1345">
        <f>"In-service hours due – "&amp;IF(LEN(INDEX('Aides'!$A$4:$A$503,342))=0,"",INDEX('Aides'!$A$4:$A$503,342))</f>
        <v/>
      </c>
      <c r="E1345">
        <f>IF(ISNUMBER(INDEX('Aides'!$O$4:$O$503,342)),TEXT(INDEX('Aides'!$O$4:$O$503,342),"yyyy-mm-dd"),"")</f>
        <v/>
      </c>
      <c r="F1345">
        <f>"Training"</f>
        <v/>
      </c>
      <c r="G1345">
        <f>"Medium"</f>
        <v/>
      </c>
      <c r="H1345">
        <f>TRIM(IF(LEN(IF(LEN(INDEX('Aides'!$P$4:$P$503,342))=0,"",INDEX('Aides'!$P$4:$P$503,342)))=0,"","Hours done: "&amp;IF(LEN(INDEX('Aides'!$P$4:$P$503,342))=0,"",INDEX('Aides'!$P$4:$P$503,342))&amp;". ")&amp;IF(LEN(IF(LEN(INDEX('Aides'!$Q$4:$Q$503,342))=0,"",INDEX('Aides'!$Q$4:$Q$503,342)))=0,"","Target: "&amp;IF(LEN(INDEX('Aides'!$Q$4:$Q$503,342))=0,"",INDEX('Aides'!$Q$4:$Q$503,342))&amp;". ")&amp;IF(LEN(IF(LEN(INDEX('Aides'!$R$4:$R$503,342))=0,"",INDEX('Aides'!$R$4:$R$503,342)))=0,"","Hours still needed: "&amp;IF(LEN(INDEX('Aides'!$R$4:$R$503,342))=0,"",INDEX('Aides'!$R$4:$R$503,342))&amp;". ")&amp;IF(LEN(IF(LEN(INDEX('Aides'!$U$4:$U$503,342))=0,"",INDEX('Aides'!$U$4:$U$503,342)))=0,"","Owner: "&amp;IF(LEN(INDEX('Aides'!$U$4:$U$503,342))=0,"",INDEX('Aides'!$U$4:$U$503,342))&amp;". "))</f>
        <v/>
      </c>
      <c r="I1345">
        <f>""</f>
        <v/>
      </c>
      <c r="J1345">
        <f>IF(LEN(INDEX('Aides'!$V$4:$V$503,342))=0,"",INDEX('Aides'!$V$4:$V$503,342))</f>
        <v/>
      </c>
    </row>
    <row r="1346">
      <c r="A1346">
        <f>IF(AND(LEN('Aides'!A346)&gt;0,ISNUMBER('Aides'!O346)),1,0)</f>
        <v/>
      </c>
      <c r="B1346">
        <f>B1345+A1346</f>
        <v/>
      </c>
      <c r="C1346">
        <f>IF(1343&gt;$B$1503,"",MATCH(1343-0.5,$B$3:$B$1503,1))</f>
        <v/>
      </c>
      <c r="D1346">
        <f>"In-service hours due – "&amp;IF(LEN(INDEX('Aides'!$A$4:$A$503,343))=0,"",INDEX('Aides'!$A$4:$A$503,343))</f>
        <v/>
      </c>
      <c r="E1346">
        <f>IF(ISNUMBER(INDEX('Aides'!$O$4:$O$503,343)),TEXT(INDEX('Aides'!$O$4:$O$503,343),"yyyy-mm-dd"),"")</f>
        <v/>
      </c>
      <c r="F1346">
        <f>"Training"</f>
        <v/>
      </c>
      <c r="G1346">
        <f>"Medium"</f>
        <v/>
      </c>
      <c r="H1346">
        <f>TRIM(IF(LEN(IF(LEN(INDEX('Aides'!$P$4:$P$503,343))=0,"",INDEX('Aides'!$P$4:$P$503,343)))=0,"","Hours done: "&amp;IF(LEN(INDEX('Aides'!$P$4:$P$503,343))=0,"",INDEX('Aides'!$P$4:$P$503,343))&amp;". ")&amp;IF(LEN(IF(LEN(INDEX('Aides'!$Q$4:$Q$503,343))=0,"",INDEX('Aides'!$Q$4:$Q$503,343)))=0,"","Target: "&amp;IF(LEN(INDEX('Aides'!$Q$4:$Q$503,343))=0,"",INDEX('Aides'!$Q$4:$Q$503,343))&amp;". ")&amp;IF(LEN(IF(LEN(INDEX('Aides'!$R$4:$R$503,343))=0,"",INDEX('Aides'!$R$4:$R$503,343)))=0,"","Hours still needed: "&amp;IF(LEN(INDEX('Aides'!$R$4:$R$503,343))=0,"",INDEX('Aides'!$R$4:$R$503,343))&amp;". ")&amp;IF(LEN(IF(LEN(INDEX('Aides'!$U$4:$U$503,343))=0,"",INDEX('Aides'!$U$4:$U$503,343)))=0,"","Owner: "&amp;IF(LEN(INDEX('Aides'!$U$4:$U$503,343))=0,"",INDEX('Aides'!$U$4:$U$503,343))&amp;". "))</f>
        <v/>
      </c>
      <c r="I1346">
        <f>""</f>
        <v/>
      </c>
      <c r="J1346">
        <f>IF(LEN(INDEX('Aides'!$V$4:$V$503,343))=0,"",INDEX('Aides'!$V$4:$V$503,343))</f>
        <v/>
      </c>
    </row>
    <row r="1347">
      <c r="A1347">
        <f>IF(AND(LEN('Aides'!A347)&gt;0,ISNUMBER('Aides'!O347)),1,0)</f>
        <v/>
      </c>
      <c r="B1347">
        <f>B1346+A1347</f>
        <v/>
      </c>
      <c r="C1347">
        <f>IF(1344&gt;$B$1503,"",MATCH(1344-0.5,$B$3:$B$1503,1))</f>
        <v/>
      </c>
      <c r="D1347">
        <f>"In-service hours due – "&amp;IF(LEN(INDEX('Aides'!$A$4:$A$503,344))=0,"",INDEX('Aides'!$A$4:$A$503,344))</f>
        <v/>
      </c>
      <c r="E1347">
        <f>IF(ISNUMBER(INDEX('Aides'!$O$4:$O$503,344)),TEXT(INDEX('Aides'!$O$4:$O$503,344),"yyyy-mm-dd"),"")</f>
        <v/>
      </c>
      <c r="F1347">
        <f>"Training"</f>
        <v/>
      </c>
      <c r="G1347">
        <f>"Medium"</f>
        <v/>
      </c>
      <c r="H1347">
        <f>TRIM(IF(LEN(IF(LEN(INDEX('Aides'!$P$4:$P$503,344))=0,"",INDEX('Aides'!$P$4:$P$503,344)))=0,"","Hours done: "&amp;IF(LEN(INDEX('Aides'!$P$4:$P$503,344))=0,"",INDEX('Aides'!$P$4:$P$503,344))&amp;". ")&amp;IF(LEN(IF(LEN(INDEX('Aides'!$Q$4:$Q$503,344))=0,"",INDEX('Aides'!$Q$4:$Q$503,344)))=0,"","Target: "&amp;IF(LEN(INDEX('Aides'!$Q$4:$Q$503,344))=0,"",INDEX('Aides'!$Q$4:$Q$503,344))&amp;". ")&amp;IF(LEN(IF(LEN(INDEX('Aides'!$R$4:$R$503,344))=0,"",INDEX('Aides'!$R$4:$R$503,344)))=0,"","Hours still needed: "&amp;IF(LEN(INDEX('Aides'!$R$4:$R$503,344))=0,"",INDEX('Aides'!$R$4:$R$503,344))&amp;". ")&amp;IF(LEN(IF(LEN(INDEX('Aides'!$U$4:$U$503,344))=0,"",INDEX('Aides'!$U$4:$U$503,344)))=0,"","Owner: "&amp;IF(LEN(INDEX('Aides'!$U$4:$U$503,344))=0,"",INDEX('Aides'!$U$4:$U$503,344))&amp;". "))</f>
        <v/>
      </c>
      <c r="I1347">
        <f>""</f>
        <v/>
      </c>
      <c r="J1347">
        <f>IF(LEN(INDEX('Aides'!$V$4:$V$503,344))=0,"",INDEX('Aides'!$V$4:$V$503,344))</f>
        <v/>
      </c>
    </row>
    <row r="1348">
      <c r="A1348">
        <f>IF(AND(LEN('Aides'!A348)&gt;0,ISNUMBER('Aides'!O348)),1,0)</f>
        <v/>
      </c>
      <c r="B1348">
        <f>B1347+A1348</f>
        <v/>
      </c>
      <c r="C1348">
        <f>IF(1345&gt;$B$1503,"",MATCH(1345-0.5,$B$3:$B$1503,1))</f>
        <v/>
      </c>
      <c r="D1348">
        <f>"In-service hours due – "&amp;IF(LEN(INDEX('Aides'!$A$4:$A$503,345))=0,"",INDEX('Aides'!$A$4:$A$503,345))</f>
        <v/>
      </c>
      <c r="E1348">
        <f>IF(ISNUMBER(INDEX('Aides'!$O$4:$O$503,345)),TEXT(INDEX('Aides'!$O$4:$O$503,345),"yyyy-mm-dd"),"")</f>
        <v/>
      </c>
      <c r="F1348">
        <f>"Training"</f>
        <v/>
      </c>
      <c r="G1348">
        <f>"Medium"</f>
        <v/>
      </c>
      <c r="H1348">
        <f>TRIM(IF(LEN(IF(LEN(INDEX('Aides'!$P$4:$P$503,345))=0,"",INDEX('Aides'!$P$4:$P$503,345)))=0,"","Hours done: "&amp;IF(LEN(INDEX('Aides'!$P$4:$P$503,345))=0,"",INDEX('Aides'!$P$4:$P$503,345))&amp;". ")&amp;IF(LEN(IF(LEN(INDEX('Aides'!$Q$4:$Q$503,345))=0,"",INDEX('Aides'!$Q$4:$Q$503,345)))=0,"","Target: "&amp;IF(LEN(INDEX('Aides'!$Q$4:$Q$503,345))=0,"",INDEX('Aides'!$Q$4:$Q$503,345))&amp;". ")&amp;IF(LEN(IF(LEN(INDEX('Aides'!$R$4:$R$503,345))=0,"",INDEX('Aides'!$R$4:$R$503,345)))=0,"","Hours still needed: "&amp;IF(LEN(INDEX('Aides'!$R$4:$R$503,345))=0,"",INDEX('Aides'!$R$4:$R$503,345))&amp;". ")&amp;IF(LEN(IF(LEN(INDEX('Aides'!$U$4:$U$503,345))=0,"",INDEX('Aides'!$U$4:$U$503,345)))=0,"","Owner: "&amp;IF(LEN(INDEX('Aides'!$U$4:$U$503,345))=0,"",INDEX('Aides'!$U$4:$U$503,345))&amp;". "))</f>
        <v/>
      </c>
      <c r="I1348">
        <f>""</f>
        <v/>
      </c>
      <c r="J1348">
        <f>IF(LEN(INDEX('Aides'!$V$4:$V$503,345))=0,"",INDEX('Aides'!$V$4:$V$503,345))</f>
        <v/>
      </c>
    </row>
    <row r="1349">
      <c r="A1349">
        <f>IF(AND(LEN('Aides'!A349)&gt;0,ISNUMBER('Aides'!O349)),1,0)</f>
        <v/>
      </c>
      <c r="B1349">
        <f>B1348+A1349</f>
        <v/>
      </c>
      <c r="C1349">
        <f>IF(1346&gt;$B$1503,"",MATCH(1346-0.5,$B$3:$B$1503,1))</f>
        <v/>
      </c>
      <c r="D1349">
        <f>"In-service hours due – "&amp;IF(LEN(INDEX('Aides'!$A$4:$A$503,346))=0,"",INDEX('Aides'!$A$4:$A$503,346))</f>
        <v/>
      </c>
      <c r="E1349">
        <f>IF(ISNUMBER(INDEX('Aides'!$O$4:$O$503,346)),TEXT(INDEX('Aides'!$O$4:$O$503,346),"yyyy-mm-dd"),"")</f>
        <v/>
      </c>
      <c r="F1349">
        <f>"Training"</f>
        <v/>
      </c>
      <c r="G1349">
        <f>"Medium"</f>
        <v/>
      </c>
      <c r="H1349">
        <f>TRIM(IF(LEN(IF(LEN(INDEX('Aides'!$P$4:$P$503,346))=0,"",INDEX('Aides'!$P$4:$P$503,346)))=0,"","Hours done: "&amp;IF(LEN(INDEX('Aides'!$P$4:$P$503,346))=0,"",INDEX('Aides'!$P$4:$P$503,346))&amp;". ")&amp;IF(LEN(IF(LEN(INDEX('Aides'!$Q$4:$Q$503,346))=0,"",INDEX('Aides'!$Q$4:$Q$503,346)))=0,"","Target: "&amp;IF(LEN(INDEX('Aides'!$Q$4:$Q$503,346))=0,"",INDEX('Aides'!$Q$4:$Q$503,346))&amp;". ")&amp;IF(LEN(IF(LEN(INDEX('Aides'!$R$4:$R$503,346))=0,"",INDEX('Aides'!$R$4:$R$503,346)))=0,"","Hours still needed: "&amp;IF(LEN(INDEX('Aides'!$R$4:$R$503,346))=0,"",INDEX('Aides'!$R$4:$R$503,346))&amp;". ")&amp;IF(LEN(IF(LEN(INDEX('Aides'!$U$4:$U$503,346))=0,"",INDEX('Aides'!$U$4:$U$503,346)))=0,"","Owner: "&amp;IF(LEN(INDEX('Aides'!$U$4:$U$503,346))=0,"",INDEX('Aides'!$U$4:$U$503,346))&amp;". "))</f>
        <v/>
      </c>
      <c r="I1349">
        <f>""</f>
        <v/>
      </c>
      <c r="J1349">
        <f>IF(LEN(INDEX('Aides'!$V$4:$V$503,346))=0,"",INDEX('Aides'!$V$4:$V$503,346))</f>
        <v/>
      </c>
    </row>
    <row r="1350">
      <c r="A1350">
        <f>IF(AND(LEN('Aides'!A350)&gt;0,ISNUMBER('Aides'!O350)),1,0)</f>
        <v/>
      </c>
      <c r="B1350">
        <f>B1349+A1350</f>
        <v/>
      </c>
      <c r="C1350">
        <f>IF(1347&gt;$B$1503,"",MATCH(1347-0.5,$B$3:$B$1503,1))</f>
        <v/>
      </c>
      <c r="D1350">
        <f>"In-service hours due – "&amp;IF(LEN(INDEX('Aides'!$A$4:$A$503,347))=0,"",INDEX('Aides'!$A$4:$A$503,347))</f>
        <v/>
      </c>
      <c r="E1350">
        <f>IF(ISNUMBER(INDEX('Aides'!$O$4:$O$503,347)),TEXT(INDEX('Aides'!$O$4:$O$503,347),"yyyy-mm-dd"),"")</f>
        <v/>
      </c>
      <c r="F1350">
        <f>"Training"</f>
        <v/>
      </c>
      <c r="G1350">
        <f>"Medium"</f>
        <v/>
      </c>
      <c r="H1350">
        <f>TRIM(IF(LEN(IF(LEN(INDEX('Aides'!$P$4:$P$503,347))=0,"",INDEX('Aides'!$P$4:$P$503,347)))=0,"","Hours done: "&amp;IF(LEN(INDEX('Aides'!$P$4:$P$503,347))=0,"",INDEX('Aides'!$P$4:$P$503,347))&amp;". ")&amp;IF(LEN(IF(LEN(INDEX('Aides'!$Q$4:$Q$503,347))=0,"",INDEX('Aides'!$Q$4:$Q$503,347)))=0,"","Target: "&amp;IF(LEN(INDEX('Aides'!$Q$4:$Q$503,347))=0,"",INDEX('Aides'!$Q$4:$Q$503,347))&amp;". ")&amp;IF(LEN(IF(LEN(INDEX('Aides'!$R$4:$R$503,347))=0,"",INDEX('Aides'!$R$4:$R$503,347)))=0,"","Hours still needed: "&amp;IF(LEN(INDEX('Aides'!$R$4:$R$503,347))=0,"",INDEX('Aides'!$R$4:$R$503,347))&amp;". ")&amp;IF(LEN(IF(LEN(INDEX('Aides'!$U$4:$U$503,347))=0,"",INDEX('Aides'!$U$4:$U$503,347)))=0,"","Owner: "&amp;IF(LEN(INDEX('Aides'!$U$4:$U$503,347))=0,"",INDEX('Aides'!$U$4:$U$503,347))&amp;". "))</f>
        <v/>
      </c>
      <c r="I1350">
        <f>""</f>
        <v/>
      </c>
      <c r="J1350">
        <f>IF(LEN(INDEX('Aides'!$V$4:$V$503,347))=0,"",INDEX('Aides'!$V$4:$V$503,347))</f>
        <v/>
      </c>
    </row>
    <row r="1351">
      <c r="A1351">
        <f>IF(AND(LEN('Aides'!A351)&gt;0,ISNUMBER('Aides'!O351)),1,0)</f>
        <v/>
      </c>
      <c r="B1351">
        <f>B1350+A1351</f>
        <v/>
      </c>
      <c r="C1351">
        <f>IF(1348&gt;$B$1503,"",MATCH(1348-0.5,$B$3:$B$1503,1))</f>
        <v/>
      </c>
      <c r="D1351">
        <f>"In-service hours due – "&amp;IF(LEN(INDEX('Aides'!$A$4:$A$503,348))=0,"",INDEX('Aides'!$A$4:$A$503,348))</f>
        <v/>
      </c>
      <c r="E1351">
        <f>IF(ISNUMBER(INDEX('Aides'!$O$4:$O$503,348)),TEXT(INDEX('Aides'!$O$4:$O$503,348),"yyyy-mm-dd"),"")</f>
        <v/>
      </c>
      <c r="F1351">
        <f>"Training"</f>
        <v/>
      </c>
      <c r="G1351">
        <f>"Medium"</f>
        <v/>
      </c>
      <c r="H1351">
        <f>TRIM(IF(LEN(IF(LEN(INDEX('Aides'!$P$4:$P$503,348))=0,"",INDEX('Aides'!$P$4:$P$503,348)))=0,"","Hours done: "&amp;IF(LEN(INDEX('Aides'!$P$4:$P$503,348))=0,"",INDEX('Aides'!$P$4:$P$503,348))&amp;". ")&amp;IF(LEN(IF(LEN(INDEX('Aides'!$Q$4:$Q$503,348))=0,"",INDEX('Aides'!$Q$4:$Q$503,348)))=0,"","Target: "&amp;IF(LEN(INDEX('Aides'!$Q$4:$Q$503,348))=0,"",INDEX('Aides'!$Q$4:$Q$503,348))&amp;". ")&amp;IF(LEN(IF(LEN(INDEX('Aides'!$R$4:$R$503,348))=0,"",INDEX('Aides'!$R$4:$R$503,348)))=0,"","Hours still needed: "&amp;IF(LEN(INDEX('Aides'!$R$4:$R$503,348))=0,"",INDEX('Aides'!$R$4:$R$503,348))&amp;". ")&amp;IF(LEN(IF(LEN(INDEX('Aides'!$U$4:$U$503,348))=0,"",INDEX('Aides'!$U$4:$U$503,348)))=0,"","Owner: "&amp;IF(LEN(INDEX('Aides'!$U$4:$U$503,348))=0,"",INDEX('Aides'!$U$4:$U$503,348))&amp;". "))</f>
        <v/>
      </c>
      <c r="I1351">
        <f>""</f>
        <v/>
      </c>
      <c r="J1351">
        <f>IF(LEN(INDEX('Aides'!$V$4:$V$503,348))=0,"",INDEX('Aides'!$V$4:$V$503,348))</f>
        <v/>
      </c>
    </row>
    <row r="1352">
      <c r="A1352">
        <f>IF(AND(LEN('Aides'!A352)&gt;0,ISNUMBER('Aides'!O352)),1,0)</f>
        <v/>
      </c>
      <c r="B1352">
        <f>B1351+A1352</f>
        <v/>
      </c>
      <c r="C1352">
        <f>IF(1349&gt;$B$1503,"",MATCH(1349-0.5,$B$3:$B$1503,1))</f>
        <v/>
      </c>
      <c r="D1352">
        <f>"In-service hours due – "&amp;IF(LEN(INDEX('Aides'!$A$4:$A$503,349))=0,"",INDEX('Aides'!$A$4:$A$503,349))</f>
        <v/>
      </c>
      <c r="E1352">
        <f>IF(ISNUMBER(INDEX('Aides'!$O$4:$O$503,349)),TEXT(INDEX('Aides'!$O$4:$O$503,349),"yyyy-mm-dd"),"")</f>
        <v/>
      </c>
      <c r="F1352">
        <f>"Training"</f>
        <v/>
      </c>
      <c r="G1352">
        <f>"Medium"</f>
        <v/>
      </c>
      <c r="H1352">
        <f>TRIM(IF(LEN(IF(LEN(INDEX('Aides'!$P$4:$P$503,349))=0,"",INDEX('Aides'!$P$4:$P$503,349)))=0,"","Hours done: "&amp;IF(LEN(INDEX('Aides'!$P$4:$P$503,349))=0,"",INDEX('Aides'!$P$4:$P$503,349))&amp;". ")&amp;IF(LEN(IF(LEN(INDEX('Aides'!$Q$4:$Q$503,349))=0,"",INDEX('Aides'!$Q$4:$Q$503,349)))=0,"","Target: "&amp;IF(LEN(INDEX('Aides'!$Q$4:$Q$503,349))=0,"",INDEX('Aides'!$Q$4:$Q$503,349))&amp;". ")&amp;IF(LEN(IF(LEN(INDEX('Aides'!$R$4:$R$503,349))=0,"",INDEX('Aides'!$R$4:$R$503,349)))=0,"","Hours still needed: "&amp;IF(LEN(INDEX('Aides'!$R$4:$R$503,349))=0,"",INDEX('Aides'!$R$4:$R$503,349))&amp;". ")&amp;IF(LEN(IF(LEN(INDEX('Aides'!$U$4:$U$503,349))=0,"",INDEX('Aides'!$U$4:$U$503,349)))=0,"","Owner: "&amp;IF(LEN(INDEX('Aides'!$U$4:$U$503,349))=0,"",INDEX('Aides'!$U$4:$U$503,349))&amp;". "))</f>
        <v/>
      </c>
      <c r="I1352">
        <f>""</f>
        <v/>
      </c>
      <c r="J1352">
        <f>IF(LEN(INDEX('Aides'!$V$4:$V$503,349))=0,"",INDEX('Aides'!$V$4:$V$503,349))</f>
        <v/>
      </c>
    </row>
    <row r="1353">
      <c r="A1353">
        <f>IF(AND(LEN('Aides'!A353)&gt;0,ISNUMBER('Aides'!O353)),1,0)</f>
        <v/>
      </c>
      <c r="B1353">
        <f>B1352+A1353</f>
        <v/>
      </c>
      <c r="C1353">
        <f>IF(1350&gt;$B$1503,"",MATCH(1350-0.5,$B$3:$B$1503,1))</f>
        <v/>
      </c>
      <c r="D1353">
        <f>"In-service hours due – "&amp;IF(LEN(INDEX('Aides'!$A$4:$A$503,350))=0,"",INDEX('Aides'!$A$4:$A$503,350))</f>
        <v/>
      </c>
      <c r="E1353">
        <f>IF(ISNUMBER(INDEX('Aides'!$O$4:$O$503,350)),TEXT(INDEX('Aides'!$O$4:$O$503,350),"yyyy-mm-dd"),"")</f>
        <v/>
      </c>
      <c r="F1353">
        <f>"Training"</f>
        <v/>
      </c>
      <c r="G1353">
        <f>"Medium"</f>
        <v/>
      </c>
      <c r="H1353">
        <f>TRIM(IF(LEN(IF(LEN(INDEX('Aides'!$P$4:$P$503,350))=0,"",INDEX('Aides'!$P$4:$P$503,350)))=0,"","Hours done: "&amp;IF(LEN(INDEX('Aides'!$P$4:$P$503,350))=0,"",INDEX('Aides'!$P$4:$P$503,350))&amp;". ")&amp;IF(LEN(IF(LEN(INDEX('Aides'!$Q$4:$Q$503,350))=0,"",INDEX('Aides'!$Q$4:$Q$503,350)))=0,"","Target: "&amp;IF(LEN(INDEX('Aides'!$Q$4:$Q$503,350))=0,"",INDEX('Aides'!$Q$4:$Q$503,350))&amp;". ")&amp;IF(LEN(IF(LEN(INDEX('Aides'!$R$4:$R$503,350))=0,"",INDEX('Aides'!$R$4:$R$503,350)))=0,"","Hours still needed: "&amp;IF(LEN(INDEX('Aides'!$R$4:$R$503,350))=0,"",INDEX('Aides'!$R$4:$R$503,350))&amp;". ")&amp;IF(LEN(IF(LEN(INDEX('Aides'!$U$4:$U$503,350))=0,"",INDEX('Aides'!$U$4:$U$503,350)))=0,"","Owner: "&amp;IF(LEN(INDEX('Aides'!$U$4:$U$503,350))=0,"",INDEX('Aides'!$U$4:$U$503,350))&amp;". "))</f>
        <v/>
      </c>
      <c r="I1353">
        <f>""</f>
        <v/>
      </c>
      <c r="J1353">
        <f>IF(LEN(INDEX('Aides'!$V$4:$V$503,350))=0,"",INDEX('Aides'!$V$4:$V$503,350))</f>
        <v/>
      </c>
    </row>
    <row r="1354">
      <c r="A1354">
        <f>IF(AND(LEN('Aides'!A354)&gt;0,ISNUMBER('Aides'!O354)),1,0)</f>
        <v/>
      </c>
      <c r="B1354">
        <f>B1353+A1354</f>
        <v/>
      </c>
      <c r="C1354">
        <f>IF(1351&gt;$B$1503,"",MATCH(1351-0.5,$B$3:$B$1503,1))</f>
        <v/>
      </c>
      <c r="D1354">
        <f>"In-service hours due – "&amp;IF(LEN(INDEX('Aides'!$A$4:$A$503,351))=0,"",INDEX('Aides'!$A$4:$A$503,351))</f>
        <v/>
      </c>
      <c r="E1354">
        <f>IF(ISNUMBER(INDEX('Aides'!$O$4:$O$503,351)),TEXT(INDEX('Aides'!$O$4:$O$503,351),"yyyy-mm-dd"),"")</f>
        <v/>
      </c>
      <c r="F1354">
        <f>"Training"</f>
        <v/>
      </c>
      <c r="G1354">
        <f>"Medium"</f>
        <v/>
      </c>
      <c r="H1354">
        <f>TRIM(IF(LEN(IF(LEN(INDEX('Aides'!$P$4:$P$503,351))=0,"",INDEX('Aides'!$P$4:$P$503,351)))=0,"","Hours done: "&amp;IF(LEN(INDEX('Aides'!$P$4:$P$503,351))=0,"",INDEX('Aides'!$P$4:$P$503,351))&amp;". ")&amp;IF(LEN(IF(LEN(INDEX('Aides'!$Q$4:$Q$503,351))=0,"",INDEX('Aides'!$Q$4:$Q$503,351)))=0,"","Target: "&amp;IF(LEN(INDEX('Aides'!$Q$4:$Q$503,351))=0,"",INDEX('Aides'!$Q$4:$Q$503,351))&amp;". ")&amp;IF(LEN(IF(LEN(INDEX('Aides'!$R$4:$R$503,351))=0,"",INDEX('Aides'!$R$4:$R$503,351)))=0,"","Hours still needed: "&amp;IF(LEN(INDEX('Aides'!$R$4:$R$503,351))=0,"",INDEX('Aides'!$R$4:$R$503,351))&amp;". ")&amp;IF(LEN(IF(LEN(INDEX('Aides'!$U$4:$U$503,351))=0,"",INDEX('Aides'!$U$4:$U$503,351)))=0,"","Owner: "&amp;IF(LEN(INDEX('Aides'!$U$4:$U$503,351))=0,"",INDEX('Aides'!$U$4:$U$503,351))&amp;". "))</f>
        <v/>
      </c>
      <c r="I1354">
        <f>""</f>
        <v/>
      </c>
      <c r="J1354">
        <f>IF(LEN(INDEX('Aides'!$V$4:$V$503,351))=0,"",INDEX('Aides'!$V$4:$V$503,351))</f>
        <v/>
      </c>
    </row>
    <row r="1355">
      <c r="A1355">
        <f>IF(AND(LEN('Aides'!A355)&gt;0,ISNUMBER('Aides'!O355)),1,0)</f>
        <v/>
      </c>
      <c r="B1355">
        <f>B1354+A1355</f>
        <v/>
      </c>
      <c r="C1355">
        <f>IF(1352&gt;$B$1503,"",MATCH(1352-0.5,$B$3:$B$1503,1))</f>
        <v/>
      </c>
      <c r="D1355">
        <f>"In-service hours due – "&amp;IF(LEN(INDEX('Aides'!$A$4:$A$503,352))=0,"",INDEX('Aides'!$A$4:$A$503,352))</f>
        <v/>
      </c>
      <c r="E1355">
        <f>IF(ISNUMBER(INDEX('Aides'!$O$4:$O$503,352)),TEXT(INDEX('Aides'!$O$4:$O$503,352),"yyyy-mm-dd"),"")</f>
        <v/>
      </c>
      <c r="F1355">
        <f>"Training"</f>
        <v/>
      </c>
      <c r="G1355">
        <f>"Medium"</f>
        <v/>
      </c>
      <c r="H1355">
        <f>TRIM(IF(LEN(IF(LEN(INDEX('Aides'!$P$4:$P$503,352))=0,"",INDEX('Aides'!$P$4:$P$503,352)))=0,"","Hours done: "&amp;IF(LEN(INDEX('Aides'!$P$4:$P$503,352))=0,"",INDEX('Aides'!$P$4:$P$503,352))&amp;". ")&amp;IF(LEN(IF(LEN(INDEX('Aides'!$Q$4:$Q$503,352))=0,"",INDEX('Aides'!$Q$4:$Q$503,352)))=0,"","Target: "&amp;IF(LEN(INDEX('Aides'!$Q$4:$Q$503,352))=0,"",INDEX('Aides'!$Q$4:$Q$503,352))&amp;". ")&amp;IF(LEN(IF(LEN(INDEX('Aides'!$R$4:$R$503,352))=0,"",INDEX('Aides'!$R$4:$R$503,352)))=0,"","Hours still needed: "&amp;IF(LEN(INDEX('Aides'!$R$4:$R$503,352))=0,"",INDEX('Aides'!$R$4:$R$503,352))&amp;". ")&amp;IF(LEN(IF(LEN(INDEX('Aides'!$U$4:$U$503,352))=0,"",INDEX('Aides'!$U$4:$U$503,352)))=0,"","Owner: "&amp;IF(LEN(INDEX('Aides'!$U$4:$U$503,352))=0,"",INDEX('Aides'!$U$4:$U$503,352))&amp;". "))</f>
        <v/>
      </c>
      <c r="I1355">
        <f>""</f>
        <v/>
      </c>
      <c r="J1355">
        <f>IF(LEN(INDEX('Aides'!$V$4:$V$503,352))=0,"",INDEX('Aides'!$V$4:$V$503,352))</f>
        <v/>
      </c>
    </row>
    <row r="1356">
      <c r="A1356">
        <f>IF(AND(LEN('Aides'!A356)&gt;0,ISNUMBER('Aides'!O356)),1,0)</f>
        <v/>
      </c>
      <c r="B1356">
        <f>B1355+A1356</f>
        <v/>
      </c>
      <c r="C1356">
        <f>IF(1353&gt;$B$1503,"",MATCH(1353-0.5,$B$3:$B$1503,1))</f>
        <v/>
      </c>
      <c r="D1356">
        <f>"In-service hours due – "&amp;IF(LEN(INDEX('Aides'!$A$4:$A$503,353))=0,"",INDEX('Aides'!$A$4:$A$503,353))</f>
        <v/>
      </c>
      <c r="E1356">
        <f>IF(ISNUMBER(INDEX('Aides'!$O$4:$O$503,353)),TEXT(INDEX('Aides'!$O$4:$O$503,353),"yyyy-mm-dd"),"")</f>
        <v/>
      </c>
      <c r="F1356">
        <f>"Training"</f>
        <v/>
      </c>
      <c r="G1356">
        <f>"Medium"</f>
        <v/>
      </c>
      <c r="H1356">
        <f>TRIM(IF(LEN(IF(LEN(INDEX('Aides'!$P$4:$P$503,353))=0,"",INDEX('Aides'!$P$4:$P$503,353)))=0,"","Hours done: "&amp;IF(LEN(INDEX('Aides'!$P$4:$P$503,353))=0,"",INDEX('Aides'!$P$4:$P$503,353))&amp;". ")&amp;IF(LEN(IF(LEN(INDEX('Aides'!$Q$4:$Q$503,353))=0,"",INDEX('Aides'!$Q$4:$Q$503,353)))=0,"","Target: "&amp;IF(LEN(INDEX('Aides'!$Q$4:$Q$503,353))=0,"",INDEX('Aides'!$Q$4:$Q$503,353))&amp;". ")&amp;IF(LEN(IF(LEN(INDEX('Aides'!$R$4:$R$503,353))=0,"",INDEX('Aides'!$R$4:$R$503,353)))=0,"","Hours still needed: "&amp;IF(LEN(INDEX('Aides'!$R$4:$R$503,353))=0,"",INDEX('Aides'!$R$4:$R$503,353))&amp;". ")&amp;IF(LEN(IF(LEN(INDEX('Aides'!$U$4:$U$503,353))=0,"",INDEX('Aides'!$U$4:$U$503,353)))=0,"","Owner: "&amp;IF(LEN(INDEX('Aides'!$U$4:$U$503,353))=0,"",INDEX('Aides'!$U$4:$U$503,353))&amp;". "))</f>
        <v/>
      </c>
      <c r="I1356">
        <f>""</f>
        <v/>
      </c>
      <c r="J1356">
        <f>IF(LEN(INDEX('Aides'!$V$4:$V$503,353))=0,"",INDEX('Aides'!$V$4:$V$503,353))</f>
        <v/>
      </c>
    </row>
    <row r="1357">
      <c r="A1357">
        <f>IF(AND(LEN('Aides'!A357)&gt;0,ISNUMBER('Aides'!O357)),1,0)</f>
        <v/>
      </c>
      <c r="B1357">
        <f>B1356+A1357</f>
        <v/>
      </c>
      <c r="C1357">
        <f>IF(1354&gt;$B$1503,"",MATCH(1354-0.5,$B$3:$B$1503,1))</f>
        <v/>
      </c>
      <c r="D1357">
        <f>"In-service hours due – "&amp;IF(LEN(INDEX('Aides'!$A$4:$A$503,354))=0,"",INDEX('Aides'!$A$4:$A$503,354))</f>
        <v/>
      </c>
      <c r="E1357">
        <f>IF(ISNUMBER(INDEX('Aides'!$O$4:$O$503,354)),TEXT(INDEX('Aides'!$O$4:$O$503,354),"yyyy-mm-dd"),"")</f>
        <v/>
      </c>
      <c r="F1357">
        <f>"Training"</f>
        <v/>
      </c>
      <c r="G1357">
        <f>"Medium"</f>
        <v/>
      </c>
      <c r="H1357">
        <f>TRIM(IF(LEN(IF(LEN(INDEX('Aides'!$P$4:$P$503,354))=0,"",INDEX('Aides'!$P$4:$P$503,354)))=0,"","Hours done: "&amp;IF(LEN(INDEX('Aides'!$P$4:$P$503,354))=0,"",INDEX('Aides'!$P$4:$P$503,354))&amp;". ")&amp;IF(LEN(IF(LEN(INDEX('Aides'!$Q$4:$Q$503,354))=0,"",INDEX('Aides'!$Q$4:$Q$503,354)))=0,"","Target: "&amp;IF(LEN(INDEX('Aides'!$Q$4:$Q$503,354))=0,"",INDEX('Aides'!$Q$4:$Q$503,354))&amp;". ")&amp;IF(LEN(IF(LEN(INDEX('Aides'!$R$4:$R$503,354))=0,"",INDEX('Aides'!$R$4:$R$503,354)))=0,"","Hours still needed: "&amp;IF(LEN(INDEX('Aides'!$R$4:$R$503,354))=0,"",INDEX('Aides'!$R$4:$R$503,354))&amp;". ")&amp;IF(LEN(IF(LEN(INDEX('Aides'!$U$4:$U$503,354))=0,"",INDEX('Aides'!$U$4:$U$503,354)))=0,"","Owner: "&amp;IF(LEN(INDEX('Aides'!$U$4:$U$503,354))=0,"",INDEX('Aides'!$U$4:$U$503,354))&amp;". "))</f>
        <v/>
      </c>
      <c r="I1357">
        <f>""</f>
        <v/>
      </c>
      <c r="J1357">
        <f>IF(LEN(INDEX('Aides'!$V$4:$V$503,354))=0,"",INDEX('Aides'!$V$4:$V$503,354))</f>
        <v/>
      </c>
    </row>
    <row r="1358">
      <c r="A1358">
        <f>IF(AND(LEN('Aides'!A358)&gt;0,ISNUMBER('Aides'!O358)),1,0)</f>
        <v/>
      </c>
      <c r="B1358">
        <f>B1357+A1358</f>
        <v/>
      </c>
      <c r="C1358">
        <f>IF(1355&gt;$B$1503,"",MATCH(1355-0.5,$B$3:$B$1503,1))</f>
        <v/>
      </c>
      <c r="D1358">
        <f>"In-service hours due – "&amp;IF(LEN(INDEX('Aides'!$A$4:$A$503,355))=0,"",INDEX('Aides'!$A$4:$A$503,355))</f>
        <v/>
      </c>
      <c r="E1358">
        <f>IF(ISNUMBER(INDEX('Aides'!$O$4:$O$503,355)),TEXT(INDEX('Aides'!$O$4:$O$503,355),"yyyy-mm-dd"),"")</f>
        <v/>
      </c>
      <c r="F1358">
        <f>"Training"</f>
        <v/>
      </c>
      <c r="G1358">
        <f>"Medium"</f>
        <v/>
      </c>
      <c r="H1358">
        <f>TRIM(IF(LEN(IF(LEN(INDEX('Aides'!$P$4:$P$503,355))=0,"",INDEX('Aides'!$P$4:$P$503,355)))=0,"","Hours done: "&amp;IF(LEN(INDEX('Aides'!$P$4:$P$503,355))=0,"",INDEX('Aides'!$P$4:$P$503,355))&amp;". ")&amp;IF(LEN(IF(LEN(INDEX('Aides'!$Q$4:$Q$503,355))=0,"",INDEX('Aides'!$Q$4:$Q$503,355)))=0,"","Target: "&amp;IF(LEN(INDEX('Aides'!$Q$4:$Q$503,355))=0,"",INDEX('Aides'!$Q$4:$Q$503,355))&amp;". ")&amp;IF(LEN(IF(LEN(INDEX('Aides'!$R$4:$R$503,355))=0,"",INDEX('Aides'!$R$4:$R$503,355)))=0,"","Hours still needed: "&amp;IF(LEN(INDEX('Aides'!$R$4:$R$503,355))=0,"",INDEX('Aides'!$R$4:$R$503,355))&amp;". ")&amp;IF(LEN(IF(LEN(INDEX('Aides'!$U$4:$U$503,355))=0,"",INDEX('Aides'!$U$4:$U$503,355)))=0,"","Owner: "&amp;IF(LEN(INDEX('Aides'!$U$4:$U$503,355))=0,"",INDEX('Aides'!$U$4:$U$503,355))&amp;". "))</f>
        <v/>
      </c>
      <c r="I1358">
        <f>""</f>
        <v/>
      </c>
      <c r="J1358">
        <f>IF(LEN(INDEX('Aides'!$V$4:$V$503,355))=0,"",INDEX('Aides'!$V$4:$V$503,355))</f>
        <v/>
      </c>
    </row>
    <row r="1359">
      <c r="A1359">
        <f>IF(AND(LEN('Aides'!A359)&gt;0,ISNUMBER('Aides'!O359)),1,0)</f>
        <v/>
      </c>
      <c r="B1359">
        <f>B1358+A1359</f>
        <v/>
      </c>
      <c r="C1359">
        <f>IF(1356&gt;$B$1503,"",MATCH(1356-0.5,$B$3:$B$1503,1))</f>
        <v/>
      </c>
      <c r="D1359">
        <f>"In-service hours due – "&amp;IF(LEN(INDEX('Aides'!$A$4:$A$503,356))=0,"",INDEX('Aides'!$A$4:$A$503,356))</f>
        <v/>
      </c>
      <c r="E1359">
        <f>IF(ISNUMBER(INDEX('Aides'!$O$4:$O$503,356)),TEXT(INDEX('Aides'!$O$4:$O$503,356),"yyyy-mm-dd"),"")</f>
        <v/>
      </c>
      <c r="F1359">
        <f>"Training"</f>
        <v/>
      </c>
      <c r="G1359">
        <f>"Medium"</f>
        <v/>
      </c>
      <c r="H1359">
        <f>TRIM(IF(LEN(IF(LEN(INDEX('Aides'!$P$4:$P$503,356))=0,"",INDEX('Aides'!$P$4:$P$503,356)))=0,"","Hours done: "&amp;IF(LEN(INDEX('Aides'!$P$4:$P$503,356))=0,"",INDEX('Aides'!$P$4:$P$503,356))&amp;". ")&amp;IF(LEN(IF(LEN(INDEX('Aides'!$Q$4:$Q$503,356))=0,"",INDEX('Aides'!$Q$4:$Q$503,356)))=0,"","Target: "&amp;IF(LEN(INDEX('Aides'!$Q$4:$Q$503,356))=0,"",INDEX('Aides'!$Q$4:$Q$503,356))&amp;". ")&amp;IF(LEN(IF(LEN(INDEX('Aides'!$R$4:$R$503,356))=0,"",INDEX('Aides'!$R$4:$R$503,356)))=0,"","Hours still needed: "&amp;IF(LEN(INDEX('Aides'!$R$4:$R$503,356))=0,"",INDEX('Aides'!$R$4:$R$503,356))&amp;". ")&amp;IF(LEN(IF(LEN(INDEX('Aides'!$U$4:$U$503,356))=0,"",INDEX('Aides'!$U$4:$U$503,356)))=0,"","Owner: "&amp;IF(LEN(INDEX('Aides'!$U$4:$U$503,356))=0,"",INDEX('Aides'!$U$4:$U$503,356))&amp;". "))</f>
        <v/>
      </c>
      <c r="I1359">
        <f>""</f>
        <v/>
      </c>
      <c r="J1359">
        <f>IF(LEN(INDEX('Aides'!$V$4:$V$503,356))=0,"",INDEX('Aides'!$V$4:$V$503,356))</f>
        <v/>
      </c>
    </row>
    <row r="1360">
      <c r="A1360">
        <f>IF(AND(LEN('Aides'!A360)&gt;0,ISNUMBER('Aides'!O360)),1,0)</f>
        <v/>
      </c>
      <c r="B1360">
        <f>B1359+A1360</f>
        <v/>
      </c>
      <c r="C1360">
        <f>IF(1357&gt;$B$1503,"",MATCH(1357-0.5,$B$3:$B$1503,1))</f>
        <v/>
      </c>
      <c r="D1360">
        <f>"In-service hours due – "&amp;IF(LEN(INDEX('Aides'!$A$4:$A$503,357))=0,"",INDEX('Aides'!$A$4:$A$503,357))</f>
        <v/>
      </c>
      <c r="E1360">
        <f>IF(ISNUMBER(INDEX('Aides'!$O$4:$O$503,357)),TEXT(INDEX('Aides'!$O$4:$O$503,357),"yyyy-mm-dd"),"")</f>
        <v/>
      </c>
      <c r="F1360">
        <f>"Training"</f>
        <v/>
      </c>
      <c r="G1360">
        <f>"Medium"</f>
        <v/>
      </c>
      <c r="H1360">
        <f>TRIM(IF(LEN(IF(LEN(INDEX('Aides'!$P$4:$P$503,357))=0,"",INDEX('Aides'!$P$4:$P$503,357)))=0,"","Hours done: "&amp;IF(LEN(INDEX('Aides'!$P$4:$P$503,357))=0,"",INDEX('Aides'!$P$4:$P$503,357))&amp;". ")&amp;IF(LEN(IF(LEN(INDEX('Aides'!$Q$4:$Q$503,357))=0,"",INDEX('Aides'!$Q$4:$Q$503,357)))=0,"","Target: "&amp;IF(LEN(INDEX('Aides'!$Q$4:$Q$503,357))=0,"",INDEX('Aides'!$Q$4:$Q$503,357))&amp;". ")&amp;IF(LEN(IF(LEN(INDEX('Aides'!$R$4:$R$503,357))=0,"",INDEX('Aides'!$R$4:$R$503,357)))=0,"","Hours still needed: "&amp;IF(LEN(INDEX('Aides'!$R$4:$R$503,357))=0,"",INDEX('Aides'!$R$4:$R$503,357))&amp;". ")&amp;IF(LEN(IF(LEN(INDEX('Aides'!$U$4:$U$503,357))=0,"",INDEX('Aides'!$U$4:$U$503,357)))=0,"","Owner: "&amp;IF(LEN(INDEX('Aides'!$U$4:$U$503,357))=0,"",INDEX('Aides'!$U$4:$U$503,357))&amp;". "))</f>
        <v/>
      </c>
      <c r="I1360">
        <f>""</f>
        <v/>
      </c>
      <c r="J1360">
        <f>IF(LEN(INDEX('Aides'!$V$4:$V$503,357))=0,"",INDEX('Aides'!$V$4:$V$503,357))</f>
        <v/>
      </c>
    </row>
    <row r="1361">
      <c r="A1361">
        <f>IF(AND(LEN('Aides'!A361)&gt;0,ISNUMBER('Aides'!O361)),1,0)</f>
        <v/>
      </c>
      <c r="B1361">
        <f>B1360+A1361</f>
        <v/>
      </c>
      <c r="C1361">
        <f>IF(1358&gt;$B$1503,"",MATCH(1358-0.5,$B$3:$B$1503,1))</f>
        <v/>
      </c>
      <c r="D1361">
        <f>"In-service hours due – "&amp;IF(LEN(INDEX('Aides'!$A$4:$A$503,358))=0,"",INDEX('Aides'!$A$4:$A$503,358))</f>
        <v/>
      </c>
      <c r="E1361">
        <f>IF(ISNUMBER(INDEX('Aides'!$O$4:$O$503,358)),TEXT(INDEX('Aides'!$O$4:$O$503,358),"yyyy-mm-dd"),"")</f>
        <v/>
      </c>
      <c r="F1361">
        <f>"Training"</f>
        <v/>
      </c>
      <c r="G1361">
        <f>"Medium"</f>
        <v/>
      </c>
      <c r="H1361">
        <f>TRIM(IF(LEN(IF(LEN(INDEX('Aides'!$P$4:$P$503,358))=0,"",INDEX('Aides'!$P$4:$P$503,358)))=0,"","Hours done: "&amp;IF(LEN(INDEX('Aides'!$P$4:$P$503,358))=0,"",INDEX('Aides'!$P$4:$P$503,358))&amp;". ")&amp;IF(LEN(IF(LEN(INDEX('Aides'!$Q$4:$Q$503,358))=0,"",INDEX('Aides'!$Q$4:$Q$503,358)))=0,"","Target: "&amp;IF(LEN(INDEX('Aides'!$Q$4:$Q$503,358))=0,"",INDEX('Aides'!$Q$4:$Q$503,358))&amp;". ")&amp;IF(LEN(IF(LEN(INDEX('Aides'!$R$4:$R$503,358))=0,"",INDEX('Aides'!$R$4:$R$503,358)))=0,"","Hours still needed: "&amp;IF(LEN(INDEX('Aides'!$R$4:$R$503,358))=0,"",INDEX('Aides'!$R$4:$R$503,358))&amp;". ")&amp;IF(LEN(IF(LEN(INDEX('Aides'!$U$4:$U$503,358))=0,"",INDEX('Aides'!$U$4:$U$503,358)))=0,"","Owner: "&amp;IF(LEN(INDEX('Aides'!$U$4:$U$503,358))=0,"",INDEX('Aides'!$U$4:$U$503,358))&amp;". "))</f>
        <v/>
      </c>
      <c r="I1361">
        <f>""</f>
        <v/>
      </c>
      <c r="J1361">
        <f>IF(LEN(INDEX('Aides'!$V$4:$V$503,358))=0,"",INDEX('Aides'!$V$4:$V$503,358))</f>
        <v/>
      </c>
    </row>
    <row r="1362">
      <c r="A1362">
        <f>IF(AND(LEN('Aides'!A362)&gt;0,ISNUMBER('Aides'!O362)),1,0)</f>
        <v/>
      </c>
      <c r="B1362">
        <f>B1361+A1362</f>
        <v/>
      </c>
      <c r="C1362">
        <f>IF(1359&gt;$B$1503,"",MATCH(1359-0.5,$B$3:$B$1503,1))</f>
        <v/>
      </c>
      <c r="D1362">
        <f>"In-service hours due – "&amp;IF(LEN(INDEX('Aides'!$A$4:$A$503,359))=0,"",INDEX('Aides'!$A$4:$A$503,359))</f>
        <v/>
      </c>
      <c r="E1362">
        <f>IF(ISNUMBER(INDEX('Aides'!$O$4:$O$503,359)),TEXT(INDEX('Aides'!$O$4:$O$503,359),"yyyy-mm-dd"),"")</f>
        <v/>
      </c>
      <c r="F1362">
        <f>"Training"</f>
        <v/>
      </c>
      <c r="G1362">
        <f>"Medium"</f>
        <v/>
      </c>
      <c r="H1362">
        <f>TRIM(IF(LEN(IF(LEN(INDEX('Aides'!$P$4:$P$503,359))=0,"",INDEX('Aides'!$P$4:$P$503,359)))=0,"","Hours done: "&amp;IF(LEN(INDEX('Aides'!$P$4:$P$503,359))=0,"",INDEX('Aides'!$P$4:$P$503,359))&amp;". ")&amp;IF(LEN(IF(LEN(INDEX('Aides'!$Q$4:$Q$503,359))=0,"",INDEX('Aides'!$Q$4:$Q$503,359)))=0,"","Target: "&amp;IF(LEN(INDEX('Aides'!$Q$4:$Q$503,359))=0,"",INDEX('Aides'!$Q$4:$Q$503,359))&amp;". ")&amp;IF(LEN(IF(LEN(INDEX('Aides'!$R$4:$R$503,359))=0,"",INDEX('Aides'!$R$4:$R$503,359)))=0,"","Hours still needed: "&amp;IF(LEN(INDEX('Aides'!$R$4:$R$503,359))=0,"",INDEX('Aides'!$R$4:$R$503,359))&amp;". ")&amp;IF(LEN(IF(LEN(INDEX('Aides'!$U$4:$U$503,359))=0,"",INDEX('Aides'!$U$4:$U$503,359)))=0,"","Owner: "&amp;IF(LEN(INDEX('Aides'!$U$4:$U$503,359))=0,"",INDEX('Aides'!$U$4:$U$503,359))&amp;". "))</f>
        <v/>
      </c>
      <c r="I1362">
        <f>""</f>
        <v/>
      </c>
      <c r="J1362">
        <f>IF(LEN(INDEX('Aides'!$V$4:$V$503,359))=0,"",INDEX('Aides'!$V$4:$V$503,359))</f>
        <v/>
      </c>
    </row>
    <row r="1363">
      <c r="A1363">
        <f>IF(AND(LEN('Aides'!A363)&gt;0,ISNUMBER('Aides'!O363)),1,0)</f>
        <v/>
      </c>
      <c r="B1363">
        <f>B1362+A1363</f>
        <v/>
      </c>
      <c r="C1363">
        <f>IF(1360&gt;$B$1503,"",MATCH(1360-0.5,$B$3:$B$1503,1))</f>
        <v/>
      </c>
      <c r="D1363">
        <f>"In-service hours due – "&amp;IF(LEN(INDEX('Aides'!$A$4:$A$503,360))=0,"",INDEX('Aides'!$A$4:$A$503,360))</f>
        <v/>
      </c>
      <c r="E1363">
        <f>IF(ISNUMBER(INDEX('Aides'!$O$4:$O$503,360)),TEXT(INDEX('Aides'!$O$4:$O$503,360),"yyyy-mm-dd"),"")</f>
        <v/>
      </c>
      <c r="F1363">
        <f>"Training"</f>
        <v/>
      </c>
      <c r="G1363">
        <f>"Medium"</f>
        <v/>
      </c>
      <c r="H1363">
        <f>TRIM(IF(LEN(IF(LEN(INDEX('Aides'!$P$4:$P$503,360))=0,"",INDEX('Aides'!$P$4:$P$503,360)))=0,"","Hours done: "&amp;IF(LEN(INDEX('Aides'!$P$4:$P$503,360))=0,"",INDEX('Aides'!$P$4:$P$503,360))&amp;". ")&amp;IF(LEN(IF(LEN(INDEX('Aides'!$Q$4:$Q$503,360))=0,"",INDEX('Aides'!$Q$4:$Q$503,360)))=0,"","Target: "&amp;IF(LEN(INDEX('Aides'!$Q$4:$Q$503,360))=0,"",INDEX('Aides'!$Q$4:$Q$503,360))&amp;". ")&amp;IF(LEN(IF(LEN(INDEX('Aides'!$R$4:$R$503,360))=0,"",INDEX('Aides'!$R$4:$R$503,360)))=0,"","Hours still needed: "&amp;IF(LEN(INDEX('Aides'!$R$4:$R$503,360))=0,"",INDEX('Aides'!$R$4:$R$503,360))&amp;". ")&amp;IF(LEN(IF(LEN(INDEX('Aides'!$U$4:$U$503,360))=0,"",INDEX('Aides'!$U$4:$U$503,360)))=0,"","Owner: "&amp;IF(LEN(INDEX('Aides'!$U$4:$U$503,360))=0,"",INDEX('Aides'!$U$4:$U$503,360))&amp;". "))</f>
        <v/>
      </c>
      <c r="I1363">
        <f>""</f>
        <v/>
      </c>
      <c r="J1363">
        <f>IF(LEN(INDEX('Aides'!$V$4:$V$503,360))=0,"",INDEX('Aides'!$V$4:$V$503,360))</f>
        <v/>
      </c>
    </row>
    <row r="1364">
      <c r="A1364">
        <f>IF(AND(LEN('Aides'!A364)&gt;0,ISNUMBER('Aides'!O364)),1,0)</f>
        <v/>
      </c>
      <c r="B1364">
        <f>B1363+A1364</f>
        <v/>
      </c>
      <c r="C1364">
        <f>IF(1361&gt;$B$1503,"",MATCH(1361-0.5,$B$3:$B$1503,1))</f>
        <v/>
      </c>
      <c r="D1364">
        <f>"In-service hours due – "&amp;IF(LEN(INDEX('Aides'!$A$4:$A$503,361))=0,"",INDEX('Aides'!$A$4:$A$503,361))</f>
        <v/>
      </c>
      <c r="E1364">
        <f>IF(ISNUMBER(INDEX('Aides'!$O$4:$O$503,361)),TEXT(INDEX('Aides'!$O$4:$O$503,361),"yyyy-mm-dd"),"")</f>
        <v/>
      </c>
      <c r="F1364">
        <f>"Training"</f>
        <v/>
      </c>
      <c r="G1364">
        <f>"Medium"</f>
        <v/>
      </c>
      <c r="H1364">
        <f>TRIM(IF(LEN(IF(LEN(INDEX('Aides'!$P$4:$P$503,361))=0,"",INDEX('Aides'!$P$4:$P$503,361)))=0,"","Hours done: "&amp;IF(LEN(INDEX('Aides'!$P$4:$P$503,361))=0,"",INDEX('Aides'!$P$4:$P$503,361))&amp;". ")&amp;IF(LEN(IF(LEN(INDEX('Aides'!$Q$4:$Q$503,361))=0,"",INDEX('Aides'!$Q$4:$Q$503,361)))=0,"","Target: "&amp;IF(LEN(INDEX('Aides'!$Q$4:$Q$503,361))=0,"",INDEX('Aides'!$Q$4:$Q$503,361))&amp;". ")&amp;IF(LEN(IF(LEN(INDEX('Aides'!$R$4:$R$503,361))=0,"",INDEX('Aides'!$R$4:$R$503,361)))=0,"","Hours still needed: "&amp;IF(LEN(INDEX('Aides'!$R$4:$R$503,361))=0,"",INDEX('Aides'!$R$4:$R$503,361))&amp;". ")&amp;IF(LEN(IF(LEN(INDEX('Aides'!$U$4:$U$503,361))=0,"",INDEX('Aides'!$U$4:$U$503,361)))=0,"","Owner: "&amp;IF(LEN(INDEX('Aides'!$U$4:$U$503,361))=0,"",INDEX('Aides'!$U$4:$U$503,361))&amp;". "))</f>
        <v/>
      </c>
      <c r="I1364">
        <f>""</f>
        <v/>
      </c>
      <c r="J1364">
        <f>IF(LEN(INDEX('Aides'!$V$4:$V$503,361))=0,"",INDEX('Aides'!$V$4:$V$503,361))</f>
        <v/>
      </c>
    </row>
    <row r="1365">
      <c r="A1365">
        <f>IF(AND(LEN('Aides'!A365)&gt;0,ISNUMBER('Aides'!O365)),1,0)</f>
        <v/>
      </c>
      <c r="B1365">
        <f>B1364+A1365</f>
        <v/>
      </c>
      <c r="C1365">
        <f>IF(1362&gt;$B$1503,"",MATCH(1362-0.5,$B$3:$B$1503,1))</f>
        <v/>
      </c>
      <c r="D1365">
        <f>"In-service hours due – "&amp;IF(LEN(INDEX('Aides'!$A$4:$A$503,362))=0,"",INDEX('Aides'!$A$4:$A$503,362))</f>
        <v/>
      </c>
      <c r="E1365">
        <f>IF(ISNUMBER(INDEX('Aides'!$O$4:$O$503,362)),TEXT(INDEX('Aides'!$O$4:$O$503,362),"yyyy-mm-dd"),"")</f>
        <v/>
      </c>
      <c r="F1365">
        <f>"Training"</f>
        <v/>
      </c>
      <c r="G1365">
        <f>"Medium"</f>
        <v/>
      </c>
      <c r="H1365">
        <f>TRIM(IF(LEN(IF(LEN(INDEX('Aides'!$P$4:$P$503,362))=0,"",INDEX('Aides'!$P$4:$P$503,362)))=0,"","Hours done: "&amp;IF(LEN(INDEX('Aides'!$P$4:$P$503,362))=0,"",INDEX('Aides'!$P$4:$P$503,362))&amp;". ")&amp;IF(LEN(IF(LEN(INDEX('Aides'!$Q$4:$Q$503,362))=0,"",INDEX('Aides'!$Q$4:$Q$503,362)))=0,"","Target: "&amp;IF(LEN(INDEX('Aides'!$Q$4:$Q$503,362))=0,"",INDEX('Aides'!$Q$4:$Q$503,362))&amp;". ")&amp;IF(LEN(IF(LEN(INDEX('Aides'!$R$4:$R$503,362))=0,"",INDEX('Aides'!$R$4:$R$503,362)))=0,"","Hours still needed: "&amp;IF(LEN(INDEX('Aides'!$R$4:$R$503,362))=0,"",INDEX('Aides'!$R$4:$R$503,362))&amp;". ")&amp;IF(LEN(IF(LEN(INDEX('Aides'!$U$4:$U$503,362))=0,"",INDEX('Aides'!$U$4:$U$503,362)))=0,"","Owner: "&amp;IF(LEN(INDEX('Aides'!$U$4:$U$503,362))=0,"",INDEX('Aides'!$U$4:$U$503,362))&amp;". "))</f>
        <v/>
      </c>
      <c r="I1365">
        <f>""</f>
        <v/>
      </c>
      <c r="J1365">
        <f>IF(LEN(INDEX('Aides'!$V$4:$V$503,362))=0,"",INDEX('Aides'!$V$4:$V$503,362))</f>
        <v/>
      </c>
    </row>
    <row r="1366">
      <c r="A1366">
        <f>IF(AND(LEN('Aides'!A366)&gt;0,ISNUMBER('Aides'!O366)),1,0)</f>
        <v/>
      </c>
      <c r="B1366">
        <f>B1365+A1366</f>
        <v/>
      </c>
      <c r="C1366">
        <f>IF(1363&gt;$B$1503,"",MATCH(1363-0.5,$B$3:$B$1503,1))</f>
        <v/>
      </c>
      <c r="D1366">
        <f>"In-service hours due – "&amp;IF(LEN(INDEX('Aides'!$A$4:$A$503,363))=0,"",INDEX('Aides'!$A$4:$A$503,363))</f>
        <v/>
      </c>
      <c r="E1366">
        <f>IF(ISNUMBER(INDEX('Aides'!$O$4:$O$503,363)),TEXT(INDEX('Aides'!$O$4:$O$503,363),"yyyy-mm-dd"),"")</f>
        <v/>
      </c>
      <c r="F1366">
        <f>"Training"</f>
        <v/>
      </c>
      <c r="G1366">
        <f>"Medium"</f>
        <v/>
      </c>
      <c r="H1366">
        <f>TRIM(IF(LEN(IF(LEN(INDEX('Aides'!$P$4:$P$503,363))=0,"",INDEX('Aides'!$P$4:$P$503,363)))=0,"","Hours done: "&amp;IF(LEN(INDEX('Aides'!$P$4:$P$503,363))=0,"",INDEX('Aides'!$P$4:$P$503,363))&amp;". ")&amp;IF(LEN(IF(LEN(INDEX('Aides'!$Q$4:$Q$503,363))=0,"",INDEX('Aides'!$Q$4:$Q$503,363)))=0,"","Target: "&amp;IF(LEN(INDEX('Aides'!$Q$4:$Q$503,363))=0,"",INDEX('Aides'!$Q$4:$Q$503,363))&amp;". ")&amp;IF(LEN(IF(LEN(INDEX('Aides'!$R$4:$R$503,363))=0,"",INDEX('Aides'!$R$4:$R$503,363)))=0,"","Hours still needed: "&amp;IF(LEN(INDEX('Aides'!$R$4:$R$503,363))=0,"",INDEX('Aides'!$R$4:$R$503,363))&amp;". ")&amp;IF(LEN(IF(LEN(INDEX('Aides'!$U$4:$U$503,363))=0,"",INDEX('Aides'!$U$4:$U$503,363)))=0,"","Owner: "&amp;IF(LEN(INDEX('Aides'!$U$4:$U$503,363))=0,"",INDEX('Aides'!$U$4:$U$503,363))&amp;". "))</f>
        <v/>
      </c>
      <c r="I1366">
        <f>""</f>
        <v/>
      </c>
      <c r="J1366">
        <f>IF(LEN(INDEX('Aides'!$V$4:$V$503,363))=0,"",INDEX('Aides'!$V$4:$V$503,363))</f>
        <v/>
      </c>
    </row>
    <row r="1367">
      <c r="A1367">
        <f>IF(AND(LEN('Aides'!A367)&gt;0,ISNUMBER('Aides'!O367)),1,0)</f>
        <v/>
      </c>
      <c r="B1367">
        <f>B1366+A1367</f>
        <v/>
      </c>
      <c r="C1367">
        <f>IF(1364&gt;$B$1503,"",MATCH(1364-0.5,$B$3:$B$1503,1))</f>
        <v/>
      </c>
      <c r="D1367">
        <f>"In-service hours due – "&amp;IF(LEN(INDEX('Aides'!$A$4:$A$503,364))=0,"",INDEX('Aides'!$A$4:$A$503,364))</f>
        <v/>
      </c>
      <c r="E1367">
        <f>IF(ISNUMBER(INDEX('Aides'!$O$4:$O$503,364)),TEXT(INDEX('Aides'!$O$4:$O$503,364),"yyyy-mm-dd"),"")</f>
        <v/>
      </c>
      <c r="F1367">
        <f>"Training"</f>
        <v/>
      </c>
      <c r="G1367">
        <f>"Medium"</f>
        <v/>
      </c>
      <c r="H1367">
        <f>TRIM(IF(LEN(IF(LEN(INDEX('Aides'!$P$4:$P$503,364))=0,"",INDEX('Aides'!$P$4:$P$503,364)))=0,"","Hours done: "&amp;IF(LEN(INDEX('Aides'!$P$4:$P$503,364))=0,"",INDEX('Aides'!$P$4:$P$503,364))&amp;". ")&amp;IF(LEN(IF(LEN(INDEX('Aides'!$Q$4:$Q$503,364))=0,"",INDEX('Aides'!$Q$4:$Q$503,364)))=0,"","Target: "&amp;IF(LEN(INDEX('Aides'!$Q$4:$Q$503,364))=0,"",INDEX('Aides'!$Q$4:$Q$503,364))&amp;". ")&amp;IF(LEN(IF(LEN(INDEX('Aides'!$R$4:$R$503,364))=0,"",INDEX('Aides'!$R$4:$R$503,364)))=0,"","Hours still needed: "&amp;IF(LEN(INDEX('Aides'!$R$4:$R$503,364))=0,"",INDEX('Aides'!$R$4:$R$503,364))&amp;". ")&amp;IF(LEN(IF(LEN(INDEX('Aides'!$U$4:$U$503,364))=0,"",INDEX('Aides'!$U$4:$U$503,364)))=0,"","Owner: "&amp;IF(LEN(INDEX('Aides'!$U$4:$U$503,364))=0,"",INDEX('Aides'!$U$4:$U$503,364))&amp;". "))</f>
        <v/>
      </c>
      <c r="I1367">
        <f>""</f>
        <v/>
      </c>
      <c r="J1367">
        <f>IF(LEN(INDEX('Aides'!$V$4:$V$503,364))=0,"",INDEX('Aides'!$V$4:$V$503,364))</f>
        <v/>
      </c>
    </row>
    <row r="1368">
      <c r="A1368">
        <f>IF(AND(LEN('Aides'!A368)&gt;0,ISNUMBER('Aides'!O368)),1,0)</f>
        <v/>
      </c>
      <c r="B1368">
        <f>B1367+A1368</f>
        <v/>
      </c>
      <c r="C1368">
        <f>IF(1365&gt;$B$1503,"",MATCH(1365-0.5,$B$3:$B$1503,1))</f>
        <v/>
      </c>
      <c r="D1368">
        <f>"In-service hours due – "&amp;IF(LEN(INDEX('Aides'!$A$4:$A$503,365))=0,"",INDEX('Aides'!$A$4:$A$503,365))</f>
        <v/>
      </c>
      <c r="E1368">
        <f>IF(ISNUMBER(INDEX('Aides'!$O$4:$O$503,365)),TEXT(INDEX('Aides'!$O$4:$O$503,365),"yyyy-mm-dd"),"")</f>
        <v/>
      </c>
      <c r="F1368">
        <f>"Training"</f>
        <v/>
      </c>
      <c r="G1368">
        <f>"Medium"</f>
        <v/>
      </c>
      <c r="H1368">
        <f>TRIM(IF(LEN(IF(LEN(INDEX('Aides'!$P$4:$P$503,365))=0,"",INDEX('Aides'!$P$4:$P$503,365)))=0,"","Hours done: "&amp;IF(LEN(INDEX('Aides'!$P$4:$P$503,365))=0,"",INDEX('Aides'!$P$4:$P$503,365))&amp;". ")&amp;IF(LEN(IF(LEN(INDEX('Aides'!$Q$4:$Q$503,365))=0,"",INDEX('Aides'!$Q$4:$Q$503,365)))=0,"","Target: "&amp;IF(LEN(INDEX('Aides'!$Q$4:$Q$503,365))=0,"",INDEX('Aides'!$Q$4:$Q$503,365))&amp;". ")&amp;IF(LEN(IF(LEN(INDEX('Aides'!$R$4:$R$503,365))=0,"",INDEX('Aides'!$R$4:$R$503,365)))=0,"","Hours still needed: "&amp;IF(LEN(INDEX('Aides'!$R$4:$R$503,365))=0,"",INDEX('Aides'!$R$4:$R$503,365))&amp;". ")&amp;IF(LEN(IF(LEN(INDEX('Aides'!$U$4:$U$503,365))=0,"",INDEX('Aides'!$U$4:$U$503,365)))=0,"","Owner: "&amp;IF(LEN(INDEX('Aides'!$U$4:$U$503,365))=0,"",INDEX('Aides'!$U$4:$U$503,365))&amp;". "))</f>
        <v/>
      </c>
      <c r="I1368">
        <f>""</f>
        <v/>
      </c>
      <c r="J1368">
        <f>IF(LEN(INDEX('Aides'!$V$4:$V$503,365))=0,"",INDEX('Aides'!$V$4:$V$503,365))</f>
        <v/>
      </c>
    </row>
    <row r="1369">
      <c r="A1369">
        <f>IF(AND(LEN('Aides'!A369)&gt;0,ISNUMBER('Aides'!O369)),1,0)</f>
        <v/>
      </c>
      <c r="B1369">
        <f>B1368+A1369</f>
        <v/>
      </c>
      <c r="C1369">
        <f>IF(1366&gt;$B$1503,"",MATCH(1366-0.5,$B$3:$B$1503,1))</f>
        <v/>
      </c>
      <c r="D1369">
        <f>"In-service hours due – "&amp;IF(LEN(INDEX('Aides'!$A$4:$A$503,366))=0,"",INDEX('Aides'!$A$4:$A$503,366))</f>
        <v/>
      </c>
      <c r="E1369">
        <f>IF(ISNUMBER(INDEX('Aides'!$O$4:$O$503,366)),TEXT(INDEX('Aides'!$O$4:$O$503,366),"yyyy-mm-dd"),"")</f>
        <v/>
      </c>
      <c r="F1369">
        <f>"Training"</f>
        <v/>
      </c>
      <c r="G1369">
        <f>"Medium"</f>
        <v/>
      </c>
      <c r="H1369">
        <f>TRIM(IF(LEN(IF(LEN(INDEX('Aides'!$P$4:$P$503,366))=0,"",INDEX('Aides'!$P$4:$P$503,366)))=0,"","Hours done: "&amp;IF(LEN(INDEX('Aides'!$P$4:$P$503,366))=0,"",INDEX('Aides'!$P$4:$P$503,366))&amp;". ")&amp;IF(LEN(IF(LEN(INDEX('Aides'!$Q$4:$Q$503,366))=0,"",INDEX('Aides'!$Q$4:$Q$503,366)))=0,"","Target: "&amp;IF(LEN(INDEX('Aides'!$Q$4:$Q$503,366))=0,"",INDEX('Aides'!$Q$4:$Q$503,366))&amp;". ")&amp;IF(LEN(IF(LEN(INDEX('Aides'!$R$4:$R$503,366))=0,"",INDEX('Aides'!$R$4:$R$503,366)))=0,"","Hours still needed: "&amp;IF(LEN(INDEX('Aides'!$R$4:$R$503,366))=0,"",INDEX('Aides'!$R$4:$R$503,366))&amp;". ")&amp;IF(LEN(IF(LEN(INDEX('Aides'!$U$4:$U$503,366))=0,"",INDEX('Aides'!$U$4:$U$503,366)))=0,"","Owner: "&amp;IF(LEN(INDEX('Aides'!$U$4:$U$503,366))=0,"",INDEX('Aides'!$U$4:$U$503,366))&amp;". "))</f>
        <v/>
      </c>
      <c r="I1369">
        <f>""</f>
        <v/>
      </c>
      <c r="J1369">
        <f>IF(LEN(INDEX('Aides'!$V$4:$V$503,366))=0,"",INDEX('Aides'!$V$4:$V$503,366))</f>
        <v/>
      </c>
    </row>
    <row r="1370">
      <c r="A1370">
        <f>IF(AND(LEN('Aides'!A370)&gt;0,ISNUMBER('Aides'!O370)),1,0)</f>
        <v/>
      </c>
      <c r="B1370">
        <f>B1369+A1370</f>
        <v/>
      </c>
      <c r="C1370">
        <f>IF(1367&gt;$B$1503,"",MATCH(1367-0.5,$B$3:$B$1503,1))</f>
        <v/>
      </c>
      <c r="D1370">
        <f>"In-service hours due – "&amp;IF(LEN(INDEX('Aides'!$A$4:$A$503,367))=0,"",INDEX('Aides'!$A$4:$A$503,367))</f>
        <v/>
      </c>
      <c r="E1370">
        <f>IF(ISNUMBER(INDEX('Aides'!$O$4:$O$503,367)),TEXT(INDEX('Aides'!$O$4:$O$503,367),"yyyy-mm-dd"),"")</f>
        <v/>
      </c>
      <c r="F1370">
        <f>"Training"</f>
        <v/>
      </c>
      <c r="G1370">
        <f>"Medium"</f>
        <v/>
      </c>
      <c r="H1370">
        <f>TRIM(IF(LEN(IF(LEN(INDEX('Aides'!$P$4:$P$503,367))=0,"",INDEX('Aides'!$P$4:$P$503,367)))=0,"","Hours done: "&amp;IF(LEN(INDEX('Aides'!$P$4:$P$503,367))=0,"",INDEX('Aides'!$P$4:$P$503,367))&amp;". ")&amp;IF(LEN(IF(LEN(INDEX('Aides'!$Q$4:$Q$503,367))=0,"",INDEX('Aides'!$Q$4:$Q$503,367)))=0,"","Target: "&amp;IF(LEN(INDEX('Aides'!$Q$4:$Q$503,367))=0,"",INDEX('Aides'!$Q$4:$Q$503,367))&amp;". ")&amp;IF(LEN(IF(LEN(INDEX('Aides'!$R$4:$R$503,367))=0,"",INDEX('Aides'!$R$4:$R$503,367)))=0,"","Hours still needed: "&amp;IF(LEN(INDEX('Aides'!$R$4:$R$503,367))=0,"",INDEX('Aides'!$R$4:$R$503,367))&amp;". ")&amp;IF(LEN(IF(LEN(INDEX('Aides'!$U$4:$U$503,367))=0,"",INDEX('Aides'!$U$4:$U$503,367)))=0,"","Owner: "&amp;IF(LEN(INDEX('Aides'!$U$4:$U$503,367))=0,"",INDEX('Aides'!$U$4:$U$503,367))&amp;". "))</f>
        <v/>
      </c>
      <c r="I1370">
        <f>""</f>
        <v/>
      </c>
      <c r="J1370">
        <f>IF(LEN(INDEX('Aides'!$V$4:$V$503,367))=0,"",INDEX('Aides'!$V$4:$V$503,367))</f>
        <v/>
      </c>
    </row>
    <row r="1371">
      <c r="A1371">
        <f>IF(AND(LEN('Aides'!A371)&gt;0,ISNUMBER('Aides'!O371)),1,0)</f>
        <v/>
      </c>
      <c r="B1371">
        <f>B1370+A1371</f>
        <v/>
      </c>
      <c r="C1371">
        <f>IF(1368&gt;$B$1503,"",MATCH(1368-0.5,$B$3:$B$1503,1))</f>
        <v/>
      </c>
      <c r="D1371">
        <f>"In-service hours due – "&amp;IF(LEN(INDEX('Aides'!$A$4:$A$503,368))=0,"",INDEX('Aides'!$A$4:$A$503,368))</f>
        <v/>
      </c>
      <c r="E1371">
        <f>IF(ISNUMBER(INDEX('Aides'!$O$4:$O$503,368)),TEXT(INDEX('Aides'!$O$4:$O$503,368),"yyyy-mm-dd"),"")</f>
        <v/>
      </c>
      <c r="F1371">
        <f>"Training"</f>
        <v/>
      </c>
      <c r="G1371">
        <f>"Medium"</f>
        <v/>
      </c>
      <c r="H1371">
        <f>TRIM(IF(LEN(IF(LEN(INDEX('Aides'!$P$4:$P$503,368))=0,"",INDEX('Aides'!$P$4:$P$503,368)))=0,"","Hours done: "&amp;IF(LEN(INDEX('Aides'!$P$4:$P$503,368))=0,"",INDEX('Aides'!$P$4:$P$503,368))&amp;". ")&amp;IF(LEN(IF(LEN(INDEX('Aides'!$Q$4:$Q$503,368))=0,"",INDEX('Aides'!$Q$4:$Q$503,368)))=0,"","Target: "&amp;IF(LEN(INDEX('Aides'!$Q$4:$Q$503,368))=0,"",INDEX('Aides'!$Q$4:$Q$503,368))&amp;". ")&amp;IF(LEN(IF(LEN(INDEX('Aides'!$R$4:$R$503,368))=0,"",INDEX('Aides'!$R$4:$R$503,368)))=0,"","Hours still needed: "&amp;IF(LEN(INDEX('Aides'!$R$4:$R$503,368))=0,"",INDEX('Aides'!$R$4:$R$503,368))&amp;". ")&amp;IF(LEN(IF(LEN(INDEX('Aides'!$U$4:$U$503,368))=0,"",INDEX('Aides'!$U$4:$U$503,368)))=0,"","Owner: "&amp;IF(LEN(INDEX('Aides'!$U$4:$U$503,368))=0,"",INDEX('Aides'!$U$4:$U$503,368))&amp;". "))</f>
        <v/>
      </c>
      <c r="I1371">
        <f>""</f>
        <v/>
      </c>
      <c r="J1371">
        <f>IF(LEN(INDEX('Aides'!$V$4:$V$503,368))=0,"",INDEX('Aides'!$V$4:$V$503,368))</f>
        <v/>
      </c>
    </row>
    <row r="1372">
      <c r="A1372">
        <f>IF(AND(LEN('Aides'!A372)&gt;0,ISNUMBER('Aides'!O372)),1,0)</f>
        <v/>
      </c>
      <c r="B1372">
        <f>B1371+A1372</f>
        <v/>
      </c>
      <c r="C1372">
        <f>IF(1369&gt;$B$1503,"",MATCH(1369-0.5,$B$3:$B$1503,1))</f>
        <v/>
      </c>
      <c r="D1372">
        <f>"In-service hours due – "&amp;IF(LEN(INDEX('Aides'!$A$4:$A$503,369))=0,"",INDEX('Aides'!$A$4:$A$503,369))</f>
        <v/>
      </c>
      <c r="E1372">
        <f>IF(ISNUMBER(INDEX('Aides'!$O$4:$O$503,369)),TEXT(INDEX('Aides'!$O$4:$O$503,369),"yyyy-mm-dd"),"")</f>
        <v/>
      </c>
      <c r="F1372">
        <f>"Training"</f>
        <v/>
      </c>
      <c r="G1372">
        <f>"Medium"</f>
        <v/>
      </c>
      <c r="H1372">
        <f>TRIM(IF(LEN(IF(LEN(INDEX('Aides'!$P$4:$P$503,369))=0,"",INDEX('Aides'!$P$4:$P$503,369)))=0,"","Hours done: "&amp;IF(LEN(INDEX('Aides'!$P$4:$P$503,369))=0,"",INDEX('Aides'!$P$4:$P$503,369))&amp;". ")&amp;IF(LEN(IF(LEN(INDEX('Aides'!$Q$4:$Q$503,369))=0,"",INDEX('Aides'!$Q$4:$Q$503,369)))=0,"","Target: "&amp;IF(LEN(INDEX('Aides'!$Q$4:$Q$503,369))=0,"",INDEX('Aides'!$Q$4:$Q$503,369))&amp;". ")&amp;IF(LEN(IF(LEN(INDEX('Aides'!$R$4:$R$503,369))=0,"",INDEX('Aides'!$R$4:$R$503,369)))=0,"","Hours still needed: "&amp;IF(LEN(INDEX('Aides'!$R$4:$R$503,369))=0,"",INDEX('Aides'!$R$4:$R$503,369))&amp;". ")&amp;IF(LEN(IF(LEN(INDEX('Aides'!$U$4:$U$503,369))=0,"",INDEX('Aides'!$U$4:$U$503,369)))=0,"","Owner: "&amp;IF(LEN(INDEX('Aides'!$U$4:$U$503,369))=0,"",INDEX('Aides'!$U$4:$U$503,369))&amp;". "))</f>
        <v/>
      </c>
      <c r="I1372">
        <f>""</f>
        <v/>
      </c>
      <c r="J1372">
        <f>IF(LEN(INDEX('Aides'!$V$4:$V$503,369))=0,"",INDEX('Aides'!$V$4:$V$503,369))</f>
        <v/>
      </c>
    </row>
    <row r="1373">
      <c r="A1373">
        <f>IF(AND(LEN('Aides'!A373)&gt;0,ISNUMBER('Aides'!O373)),1,0)</f>
        <v/>
      </c>
      <c r="B1373">
        <f>B1372+A1373</f>
        <v/>
      </c>
      <c r="C1373">
        <f>IF(1370&gt;$B$1503,"",MATCH(1370-0.5,$B$3:$B$1503,1))</f>
        <v/>
      </c>
      <c r="D1373">
        <f>"In-service hours due – "&amp;IF(LEN(INDEX('Aides'!$A$4:$A$503,370))=0,"",INDEX('Aides'!$A$4:$A$503,370))</f>
        <v/>
      </c>
      <c r="E1373">
        <f>IF(ISNUMBER(INDEX('Aides'!$O$4:$O$503,370)),TEXT(INDEX('Aides'!$O$4:$O$503,370),"yyyy-mm-dd"),"")</f>
        <v/>
      </c>
      <c r="F1373">
        <f>"Training"</f>
        <v/>
      </c>
      <c r="G1373">
        <f>"Medium"</f>
        <v/>
      </c>
      <c r="H1373">
        <f>TRIM(IF(LEN(IF(LEN(INDEX('Aides'!$P$4:$P$503,370))=0,"",INDEX('Aides'!$P$4:$P$503,370)))=0,"","Hours done: "&amp;IF(LEN(INDEX('Aides'!$P$4:$P$503,370))=0,"",INDEX('Aides'!$P$4:$P$503,370))&amp;". ")&amp;IF(LEN(IF(LEN(INDEX('Aides'!$Q$4:$Q$503,370))=0,"",INDEX('Aides'!$Q$4:$Q$503,370)))=0,"","Target: "&amp;IF(LEN(INDEX('Aides'!$Q$4:$Q$503,370))=0,"",INDEX('Aides'!$Q$4:$Q$503,370))&amp;". ")&amp;IF(LEN(IF(LEN(INDEX('Aides'!$R$4:$R$503,370))=0,"",INDEX('Aides'!$R$4:$R$503,370)))=0,"","Hours still needed: "&amp;IF(LEN(INDEX('Aides'!$R$4:$R$503,370))=0,"",INDEX('Aides'!$R$4:$R$503,370))&amp;". ")&amp;IF(LEN(IF(LEN(INDEX('Aides'!$U$4:$U$503,370))=0,"",INDEX('Aides'!$U$4:$U$503,370)))=0,"","Owner: "&amp;IF(LEN(INDEX('Aides'!$U$4:$U$503,370))=0,"",INDEX('Aides'!$U$4:$U$503,370))&amp;". "))</f>
        <v/>
      </c>
      <c r="I1373">
        <f>""</f>
        <v/>
      </c>
      <c r="J1373">
        <f>IF(LEN(INDEX('Aides'!$V$4:$V$503,370))=0,"",INDEX('Aides'!$V$4:$V$503,370))</f>
        <v/>
      </c>
    </row>
    <row r="1374">
      <c r="A1374">
        <f>IF(AND(LEN('Aides'!A374)&gt;0,ISNUMBER('Aides'!O374)),1,0)</f>
        <v/>
      </c>
      <c r="B1374">
        <f>B1373+A1374</f>
        <v/>
      </c>
      <c r="C1374">
        <f>IF(1371&gt;$B$1503,"",MATCH(1371-0.5,$B$3:$B$1503,1))</f>
        <v/>
      </c>
      <c r="D1374">
        <f>"In-service hours due – "&amp;IF(LEN(INDEX('Aides'!$A$4:$A$503,371))=0,"",INDEX('Aides'!$A$4:$A$503,371))</f>
        <v/>
      </c>
      <c r="E1374">
        <f>IF(ISNUMBER(INDEX('Aides'!$O$4:$O$503,371)),TEXT(INDEX('Aides'!$O$4:$O$503,371),"yyyy-mm-dd"),"")</f>
        <v/>
      </c>
      <c r="F1374">
        <f>"Training"</f>
        <v/>
      </c>
      <c r="G1374">
        <f>"Medium"</f>
        <v/>
      </c>
      <c r="H1374">
        <f>TRIM(IF(LEN(IF(LEN(INDEX('Aides'!$P$4:$P$503,371))=0,"",INDEX('Aides'!$P$4:$P$503,371)))=0,"","Hours done: "&amp;IF(LEN(INDEX('Aides'!$P$4:$P$503,371))=0,"",INDEX('Aides'!$P$4:$P$503,371))&amp;". ")&amp;IF(LEN(IF(LEN(INDEX('Aides'!$Q$4:$Q$503,371))=0,"",INDEX('Aides'!$Q$4:$Q$503,371)))=0,"","Target: "&amp;IF(LEN(INDEX('Aides'!$Q$4:$Q$503,371))=0,"",INDEX('Aides'!$Q$4:$Q$503,371))&amp;". ")&amp;IF(LEN(IF(LEN(INDEX('Aides'!$R$4:$R$503,371))=0,"",INDEX('Aides'!$R$4:$R$503,371)))=0,"","Hours still needed: "&amp;IF(LEN(INDEX('Aides'!$R$4:$R$503,371))=0,"",INDEX('Aides'!$R$4:$R$503,371))&amp;". ")&amp;IF(LEN(IF(LEN(INDEX('Aides'!$U$4:$U$503,371))=0,"",INDEX('Aides'!$U$4:$U$503,371)))=0,"","Owner: "&amp;IF(LEN(INDEX('Aides'!$U$4:$U$503,371))=0,"",INDEX('Aides'!$U$4:$U$503,371))&amp;". "))</f>
        <v/>
      </c>
      <c r="I1374">
        <f>""</f>
        <v/>
      </c>
      <c r="J1374">
        <f>IF(LEN(INDEX('Aides'!$V$4:$V$503,371))=0,"",INDEX('Aides'!$V$4:$V$503,371))</f>
        <v/>
      </c>
    </row>
    <row r="1375">
      <c r="A1375">
        <f>IF(AND(LEN('Aides'!A375)&gt;0,ISNUMBER('Aides'!O375)),1,0)</f>
        <v/>
      </c>
      <c r="B1375">
        <f>B1374+A1375</f>
        <v/>
      </c>
      <c r="C1375">
        <f>IF(1372&gt;$B$1503,"",MATCH(1372-0.5,$B$3:$B$1503,1))</f>
        <v/>
      </c>
      <c r="D1375">
        <f>"In-service hours due – "&amp;IF(LEN(INDEX('Aides'!$A$4:$A$503,372))=0,"",INDEX('Aides'!$A$4:$A$503,372))</f>
        <v/>
      </c>
      <c r="E1375">
        <f>IF(ISNUMBER(INDEX('Aides'!$O$4:$O$503,372)),TEXT(INDEX('Aides'!$O$4:$O$503,372),"yyyy-mm-dd"),"")</f>
        <v/>
      </c>
      <c r="F1375">
        <f>"Training"</f>
        <v/>
      </c>
      <c r="G1375">
        <f>"Medium"</f>
        <v/>
      </c>
      <c r="H1375">
        <f>TRIM(IF(LEN(IF(LEN(INDEX('Aides'!$P$4:$P$503,372))=0,"",INDEX('Aides'!$P$4:$P$503,372)))=0,"","Hours done: "&amp;IF(LEN(INDEX('Aides'!$P$4:$P$503,372))=0,"",INDEX('Aides'!$P$4:$P$503,372))&amp;". ")&amp;IF(LEN(IF(LEN(INDEX('Aides'!$Q$4:$Q$503,372))=0,"",INDEX('Aides'!$Q$4:$Q$503,372)))=0,"","Target: "&amp;IF(LEN(INDEX('Aides'!$Q$4:$Q$503,372))=0,"",INDEX('Aides'!$Q$4:$Q$503,372))&amp;". ")&amp;IF(LEN(IF(LEN(INDEX('Aides'!$R$4:$R$503,372))=0,"",INDEX('Aides'!$R$4:$R$503,372)))=0,"","Hours still needed: "&amp;IF(LEN(INDEX('Aides'!$R$4:$R$503,372))=0,"",INDEX('Aides'!$R$4:$R$503,372))&amp;". ")&amp;IF(LEN(IF(LEN(INDEX('Aides'!$U$4:$U$503,372))=0,"",INDEX('Aides'!$U$4:$U$503,372)))=0,"","Owner: "&amp;IF(LEN(INDEX('Aides'!$U$4:$U$503,372))=0,"",INDEX('Aides'!$U$4:$U$503,372))&amp;". "))</f>
        <v/>
      </c>
      <c r="I1375">
        <f>""</f>
        <v/>
      </c>
      <c r="J1375">
        <f>IF(LEN(INDEX('Aides'!$V$4:$V$503,372))=0,"",INDEX('Aides'!$V$4:$V$503,372))</f>
        <v/>
      </c>
    </row>
    <row r="1376">
      <c r="A1376">
        <f>IF(AND(LEN('Aides'!A376)&gt;0,ISNUMBER('Aides'!O376)),1,0)</f>
        <v/>
      </c>
      <c r="B1376">
        <f>B1375+A1376</f>
        <v/>
      </c>
      <c r="C1376">
        <f>IF(1373&gt;$B$1503,"",MATCH(1373-0.5,$B$3:$B$1503,1))</f>
        <v/>
      </c>
      <c r="D1376">
        <f>"In-service hours due – "&amp;IF(LEN(INDEX('Aides'!$A$4:$A$503,373))=0,"",INDEX('Aides'!$A$4:$A$503,373))</f>
        <v/>
      </c>
      <c r="E1376">
        <f>IF(ISNUMBER(INDEX('Aides'!$O$4:$O$503,373)),TEXT(INDEX('Aides'!$O$4:$O$503,373),"yyyy-mm-dd"),"")</f>
        <v/>
      </c>
      <c r="F1376">
        <f>"Training"</f>
        <v/>
      </c>
      <c r="G1376">
        <f>"Medium"</f>
        <v/>
      </c>
      <c r="H1376">
        <f>TRIM(IF(LEN(IF(LEN(INDEX('Aides'!$P$4:$P$503,373))=0,"",INDEX('Aides'!$P$4:$P$503,373)))=0,"","Hours done: "&amp;IF(LEN(INDEX('Aides'!$P$4:$P$503,373))=0,"",INDEX('Aides'!$P$4:$P$503,373))&amp;". ")&amp;IF(LEN(IF(LEN(INDEX('Aides'!$Q$4:$Q$503,373))=0,"",INDEX('Aides'!$Q$4:$Q$503,373)))=0,"","Target: "&amp;IF(LEN(INDEX('Aides'!$Q$4:$Q$503,373))=0,"",INDEX('Aides'!$Q$4:$Q$503,373))&amp;". ")&amp;IF(LEN(IF(LEN(INDEX('Aides'!$R$4:$R$503,373))=0,"",INDEX('Aides'!$R$4:$R$503,373)))=0,"","Hours still needed: "&amp;IF(LEN(INDEX('Aides'!$R$4:$R$503,373))=0,"",INDEX('Aides'!$R$4:$R$503,373))&amp;". ")&amp;IF(LEN(IF(LEN(INDEX('Aides'!$U$4:$U$503,373))=0,"",INDEX('Aides'!$U$4:$U$503,373)))=0,"","Owner: "&amp;IF(LEN(INDEX('Aides'!$U$4:$U$503,373))=0,"",INDEX('Aides'!$U$4:$U$503,373))&amp;". "))</f>
        <v/>
      </c>
      <c r="I1376">
        <f>""</f>
        <v/>
      </c>
      <c r="J1376">
        <f>IF(LEN(INDEX('Aides'!$V$4:$V$503,373))=0,"",INDEX('Aides'!$V$4:$V$503,373))</f>
        <v/>
      </c>
    </row>
    <row r="1377">
      <c r="A1377">
        <f>IF(AND(LEN('Aides'!A377)&gt;0,ISNUMBER('Aides'!O377)),1,0)</f>
        <v/>
      </c>
      <c r="B1377">
        <f>B1376+A1377</f>
        <v/>
      </c>
      <c r="C1377">
        <f>IF(1374&gt;$B$1503,"",MATCH(1374-0.5,$B$3:$B$1503,1))</f>
        <v/>
      </c>
      <c r="D1377">
        <f>"In-service hours due – "&amp;IF(LEN(INDEX('Aides'!$A$4:$A$503,374))=0,"",INDEX('Aides'!$A$4:$A$503,374))</f>
        <v/>
      </c>
      <c r="E1377">
        <f>IF(ISNUMBER(INDEX('Aides'!$O$4:$O$503,374)),TEXT(INDEX('Aides'!$O$4:$O$503,374),"yyyy-mm-dd"),"")</f>
        <v/>
      </c>
      <c r="F1377">
        <f>"Training"</f>
        <v/>
      </c>
      <c r="G1377">
        <f>"Medium"</f>
        <v/>
      </c>
      <c r="H1377">
        <f>TRIM(IF(LEN(IF(LEN(INDEX('Aides'!$P$4:$P$503,374))=0,"",INDEX('Aides'!$P$4:$P$503,374)))=0,"","Hours done: "&amp;IF(LEN(INDEX('Aides'!$P$4:$P$503,374))=0,"",INDEX('Aides'!$P$4:$P$503,374))&amp;". ")&amp;IF(LEN(IF(LEN(INDEX('Aides'!$Q$4:$Q$503,374))=0,"",INDEX('Aides'!$Q$4:$Q$503,374)))=0,"","Target: "&amp;IF(LEN(INDEX('Aides'!$Q$4:$Q$503,374))=0,"",INDEX('Aides'!$Q$4:$Q$503,374))&amp;". ")&amp;IF(LEN(IF(LEN(INDEX('Aides'!$R$4:$R$503,374))=0,"",INDEX('Aides'!$R$4:$R$503,374)))=0,"","Hours still needed: "&amp;IF(LEN(INDEX('Aides'!$R$4:$R$503,374))=0,"",INDEX('Aides'!$R$4:$R$503,374))&amp;". ")&amp;IF(LEN(IF(LEN(INDEX('Aides'!$U$4:$U$503,374))=0,"",INDEX('Aides'!$U$4:$U$503,374)))=0,"","Owner: "&amp;IF(LEN(INDEX('Aides'!$U$4:$U$503,374))=0,"",INDEX('Aides'!$U$4:$U$503,374))&amp;". "))</f>
        <v/>
      </c>
      <c r="I1377">
        <f>""</f>
        <v/>
      </c>
      <c r="J1377">
        <f>IF(LEN(INDEX('Aides'!$V$4:$V$503,374))=0,"",INDEX('Aides'!$V$4:$V$503,374))</f>
        <v/>
      </c>
    </row>
    <row r="1378">
      <c r="A1378">
        <f>IF(AND(LEN('Aides'!A378)&gt;0,ISNUMBER('Aides'!O378)),1,0)</f>
        <v/>
      </c>
      <c r="B1378">
        <f>B1377+A1378</f>
        <v/>
      </c>
      <c r="C1378">
        <f>IF(1375&gt;$B$1503,"",MATCH(1375-0.5,$B$3:$B$1503,1))</f>
        <v/>
      </c>
      <c r="D1378">
        <f>"In-service hours due – "&amp;IF(LEN(INDEX('Aides'!$A$4:$A$503,375))=0,"",INDEX('Aides'!$A$4:$A$503,375))</f>
        <v/>
      </c>
      <c r="E1378">
        <f>IF(ISNUMBER(INDEX('Aides'!$O$4:$O$503,375)),TEXT(INDEX('Aides'!$O$4:$O$503,375),"yyyy-mm-dd"),"")</f>
        <v/>
      </c>
      <c r="F1378">
        <f>"Training"</f>
        <v/>
      </c>
      <c r="G1378">
        <f>"Medium"</f>
        <v/>
      </c>
      <c r="H1378">
        <f>TRIM(IF(LEN(IF(LEN(INDEX('Aides'!$P$4:$P$503,375))=0,"",INDEX('Aides'!$P$4:$P$503,375)))=0,"","Hours done: "&amp;IF(LEN(INDEX('Aides'!$P$4:$P$503,375))=0,"",INDEX('Aides'!$P$4:$P$503,375))&amp;". ")&amp;IF(LEN(IF(LEN(INDEX('Aides'!$Q$4:$Q$503,375))=0,"",INDEX('Aides'!$Q$4:$Q$503,375)))=0,"","Target: "&amp;IF(LEN(INDEX('Aides'!$Q$4:$Q$503,375))=0,"",INDEX('Aides'!$Q$4:$Q$503,375))&amp;". ")&amp;IF(LEN(IF(LEN(INDEX('Aides'!$R$4:$R$503,375))=0,"",INDEX('Aides'!$R$4:$R$503,375)))=0,"","Hours still needed: "&amp;IF(LEN(INDEX('Aides'!$R$4:$R$503,375))=0,"",INDEX('Aides'!$R$4:$R$503,375))&amp;". ")&amp;IF(LEN(IF(LEN(INDEX('Aides'!$U$4:$U$503,375))=0,"",INDEX('Aides'!$U$4:$U$503,375)))=0,"","Owner: "&amp;IF(LEN(INDEX('Aides'!$U$4:$U$503,375))=0,"",INDEX('Aides'!$U$4:$U$503,375))&amp;". "))</f>
        <v/>
      </c>
      <c r="I1378">
        <f>""</f>
        <v/>
      </c>
      <c r="J1378">
        <f>IF(LEN(INDEX('Aides'!$V$4:$V$503,375))=0,"",INDEX('Aides'!$V$4:$V$503,375))</f>
        <v/>
      </c>
    </row>
    <row r="1379">
      <c r="A1379">
        <f>IF(AND(LEN('Aides'!A379)&gt;0,ISNUMBER('Aides'!O379)),1,0)</f>
        <v/>
      </c>
      <c r="B1379">
        <f>B1378+A1379</f>
        <v/>
      </c>
      <c r="C1379">
        <f>IF(1376&gt;$B$1503,"",MATCH(1376-0.5,$B$3:$B$1503,1))</f>
        <v/>
      </c>
      <c r="D1379">
        <f>"In-service hours due – "&amp;IF(LEN(INDEX('Aides'!$A$4:$A$503,376))=0,"",INDEX('Aides'!$A$4:$A$503,376))</f>
        <v/>
      </c>
      <c r="E1379">
        <f>IF(ISNUMBER(INDEX('Aides'!$O$4:$O$503,376)),TEXT(INDEX('Aides'!$O$4:$O$503,376),"yyyy-mm-dd"),"")</f>
        <v/>
      </c>
      <c r="F1379">
        <f>"Training"</f>
        <v/>
      </c>
      <c r="G1379">
        <f>"Medium"</f>
        <v/>
      </c>
      <c r="H1379">
        <f>TRIM(IF(LEN(IF(LEN(INDEX('Aides'!$P$4:$P$503,376))=0,"",INDEX('Aides'!$P$4:$P$503,376)))=0,"","Hours done: "&amp;IF(LEN(INDEX('Aides'!$P$4:$P$503,376))=0,"",INDEX('Aides'!$P$4:$P$503,376))&amp;". ")&amp;IF(LEN(IF(LEN(INDEX('Aides'!$Q$4:$Q$503,376))=0,"",INDEX('Aides'!$Q$4:$Q$503,376)))=0,"","Target: "&amp;IF(LEN(INDEX('Aides'!$Q$4:$Q$503,376))=0,"",INDEX('Aides'!$Q$4:$Q$503,376))&amp;". ")&amp;IF(LEN(IF(LEN(INDEX('Aides'!$R$4:$R$503,376))=0,"",INDEX('Aides'!$R$4:$R$503,376)))=0,"","Hours still needed: "&amp;IF(LEN(INDEX('Aides'!$R$4:$R$503,376))=0,"",INDEX('Aides'!$R$4:$R$503,376))&amp;". ")&amp;IF(LEN(IF(LEN(INDEX('Aides'!$U$4:$U$503,376))=0,"",INDEX('Aides'!$U$4:$U$503,376)))=0,"","Owner: "&amp;IF(LEN(INDEX('Aides'!$U$4:$U$503,376))=0,"",INDEX('Aides'!$U$4:$U$503,376))&amp;". "))</f>
        <v/>
      </c>
      <c r="I1379">
        <f>""</f>
        <v/>
      </c>
      <c r="J1379">
        <f>IF(LEN(INDEX('Aides'!$V$4:$V$503,376))=0,"",INDEX('Aides'!$V$4:$V$503,376))</f>
        <v/>
      </c>
    </row>
    <row r="1380">
      <c r="A1380">
        <f>IF(AND(LEN('Aides'!A380)&gt;0,ISNUMBER('Aides'!O380)),1,0)</f>
        <v/>
      </c>
      <c r="B1380">
        <f>B1379+A1380</f>
        <v/>
      </c>
      <c r="C1380">
        <f>IF(1377&gt;$B$1503,"",MATCH(1377-0.5,$B$3:$B$1503,1))</f>
        <v/>
      </c>
      <c r="D1380">
        <f>"In-service hours due – "&amp;IF(LEN(INDEX('Aides'!$A$4:$A$503,377))=0,"",INDEX('Aides'!$A$4:$A$503,377))</f>
        <v/>
      </c>
      <c r="E1380">
        <f>IF(ISNUMBER(INDEX('Aides'!$O$4:$O$503,377)),TEXT(INDEX('Aides'!$O$4:$O$503,377),"yyyy-mm-dd"),"")</f>
        <v/>
      </c>
      <c r="F1380">
        <f>"Training"</f>
        <v/>
      </c>
      <c r="G1380">
        <f>"Medium"</f>
        <v/>
      </c>
      <c r="H1380">
        <f>TRIM(IF(LEN(IF(LEN(INDEX('Aides'!$P$4:$P$503,377))=0,"",INDEX('Aides'!$P$4:$P$503,377)))=0,"","Hours done: "&amp;IF(LEN(INDEX('Aides'!$P$4:$P$503,377))=0,"",INDEX('Aides'!$P$4:$P$503,377))&amp;". ")&amp;IF(LEN(IF(LEN(INDEX('Aides'!$Q$4:$Q$503,377))=0,"",INDEX('Aides'!$Q$4:$Q$503,377)))=0,"","Target: "&amp;IF(LEN(INDEX('Aides'!$Q$4:$Q$503,377))=0,"",INDEX('Aides'!$Q$4:$Q$503,377))&amp;". ")&amp;IF(LEN(IF(LEN(INDEX('Aides'!$R$4:$R$503,377))=0,"",INDEX('Aides'!$R$4:$R$503,377)))=0,"","Hours still needed: "&amp;IF(LEN(INDEX('Aides'!$R$4:$R$503,377))=0,"",INDEX('Aides'!$R$4:$R$503,377))&amp;". ")&amp;IF(LEN(IF(LEN(INDEX('Aides'!$U$4:$U$503,377))=0,"",INDEX('Aides'!$U$4:$U$503,377)))=0,"","Owner: "&amp;IF(LEN(INDEX('Aides'!$U$4:$U$503,377))=0,"",INDEX('Aides'!$U$4:$U$503,377))&amp;". "))</f>
        <v/>
      </c>
      <c r="I1380">
        <f>""</f>
        <v/>
      </c>
      <c r="J1380">
        <f>IF(LEN(INDEX('Aides'!$V$4:$V$503,377))=0,"",INDEX('Aides'!$V$4:$V$503,377))</f>
        <v/>
      </c>
    </row>
    <row r="1381">
      <c r="A1381">
        <f>IF(AND(LEN('Aides'!A381)&gt;0,ISNUMBER('Aides'!O381)),1,0)</f>
        <v/>
      </c>
      <c r="B1381">
        <f>B1380+A1381</f>
        <v/>
      </c>
      <c r="C1381">
        <f>IF(1378&gt;$B$1503,"",MATCH(1378-0.5,$B$3:$B$1503,1))</f>
        <v/>
      </c>
      <c r="D1381">
        <f>"In-service hours due – "&amp;IF(LEN(INDEX('Aides'!$A$4:$A$503,378))=0,"",INDEX('Aides'!$A$4:$A$503,378))</f>
        <v/>
      </c>
      <c r="E1381">
        <f>IF(ISNUMBER(INDEX('Aides'!$O$4:$O$503,378)),TEXT(INDEX('Aides'!$O$4:$O$503,378),"yyyy-mm-dd"),"")</f>
        <v/>
      </c>
      <c r="F1381">
        <f>"Training"</f>
        <v/>
      </c>
      <c r="G1381">
        <f>"Medium"</f>
        <v/>
      </c>
      <c r="H1381">
        <f>TRIM(IF(LEN(IF(LEN(INDEX('Aides'!$P$4:$P$503,378))=0,"",INDEX('Aides'!$P$4:$P$503,378)))=0,"","Hours done: "&amp;IF(LEN(INDEX('Aides'!$P$4:$P$503,378))=0,"",INDEX('Aides'!$P$4:$P$503,378))&amp;". ")&amp;IF(LEN(IF(LEN(INDEX('Aides'!$Q$4:$Q$503,378))=0,"",INDEX('Aides'!$Q$4:$Q$503,378)))=0,"","Target: "&amp;IF(LEN(INDEX('Aides'!$Q$4:$Q$503,378))=0,"",INDEX('Aides'!$Q$4:$Q$503,378))&amp;". ")&amp;IF(LEN(IF(LEN(INDEX('Aides'!$R$4:$R$503,378))=0,"",INDEX('Aides'!$R$4:$R$503,378)))=0,"","Hours still needed: "&amp;IF(LEN(INDEX('Aides'!$R$4:$R$503,378))=0,"",INDEX('Aides'!$R$4:$R$503,378))&amp;". ")&amp;IF(LEN(IF(LEN(INDEX('Aides'!$U$4:$U$503,378))=0,"",INDEX('Aides'!$U$4:$U$503,378)))=0,"","Owner: "&amp;IF(LEN(INDEX('Aides'!$U$4:$U$503,378))=0,"",INDEX('Aides'!$U$4:$U$503,378))&amp;". "))</f>
        <v/>
      </c>
      <c r="I1381">
        <f>""</f>
        <v/>
      </c>
      <c r="J1381">
        <f>IF(LEN(INDEX('Aides'!$V$4:$V$503,378))=0,"",INDEX('Aides'!$V$4:$V$503,378))</f>
        <v/>
      </c>
    </row>
    <row r="1382">
      <c r="A1382">
        <f>IF(AND(LEN('Aides'!A382)&gt;0,ISNUMBER('Aides'!O382)),1,0)</f>
        <v/>
      </c>
      <c r="B1382">
        <f>B1381+A1382</f>
        <v/>
      </c>
      <c r="C1382">
        <f>IF(1379&gt;$B$1503,"",MATCH(1379-0.5,$B$3:$B$1503,1))</f>
        <v/>
      </c>
      <c r="D1382">
        <f>"In-service hours due – "&amp;IF(LEN(INDEX('Aides'!$A$4:$A$503,379))=0,"",INDEX('Aides'!$A$4:$A$503,379))</f>
        <v/>
      </c>
      <c r="E1382">
        <f>IF(ISNUMBER(INDEX('Aides'!$O$4:$O$503,379)),TEXT(INDEX('Aides'!$O$4:$O$503,379),"yyyy-mm-dd"),"")</f>
        <v/>
      </c>
      <c r="F1382">
        <f>"Training"</f>
        <v/>
      </c>
      <c r="G1382">
        <f>"Medium"</f>
        <v/>
      </c>
      <c r="H1382">
        <f>TRIM(IF(LEN(IF(LEN(INDEX('Aides'!$P$4:$P$503,379))=0,"",INDEX('Aides'!$P$4:$P$503,379)))=0,"","Hours done: "&amp;IF(LEN(INDEX('Aides'!$P$4:$P$503,379))=0,"",INDEX('Aides'!$P$4:$P$503,379))&amp;". ")&amp;IF(LEN(IF(LEN(INDEX('Aides'!$Q$4:$Q$503,379))=0,"",INDEX('Aides'!$Q$4:$Q$503,379)))=0,"","Target: "&amp;IF(LEN(INDEX('Aides'!$Q$4:$Q$503,379))=0,"",INDEX('Aides'!$Q$4:$Q$503,379))&amp;". ")&amp;IF(LEN(IF(LEN(INDEX('Aides'!$R$4:$R$503,379))=0,"",INDEX('Aides'!$R$4:$R$503,379)))=0,"","Hours still needed: "&amp;IF(LEN(INDEX('Aides'!$R$4:$R$503,379))=0,"",INDEX('Aides'!$R$4:$R$503,379))&amp;". ")&amp;IF(LEN(IF(LEN(INDEX('Aides'!$U$4:$U$503,379))=0,"",INDEX('Aides'!$U$4:$U$503,379)))=0,"","Owner: "&amp;IF(LEN(INDEX('Aides'!$U$4:$U$503,379))=0,"",INDEX('Aides'!$U$4:$U$503,379))&amp;". "))</f>
        <v/>
      </c>
      <c r="I1382">
        <f>""</f>
        <v/>
      </c>
      <c r="J1382">
        <f>IF(LEN(INDEX('Aides'!$V$4:$V$503,379))=0,"",INDEX('Aides'!$V$4:$V$503,379))</f>
        <v/>
      </c>
    </row>
    <row r="1383">
      <c r="A1383">
        <f>IF(AND(LEN('Aides'!A383)&gt;0,ISNUMBER('Aides'!O383)),1,0)</f>
        <v/>
      </c>
      <c r="B1383">
        <f>B1382+A1383</f>
        <v/>
      </c>
      <c r="C1383">
        <f>IF(1380&gt;$B$1503,"",MATCH(1380-0.5,$B$3:$B$1503,1))</f>
        <v/>
      </c>
      <c r="D1383">
        <f>"In-service hours due – "&amp;IF(LEN(INDEX('Aides'!$A$4:$A$503,380))=0,"",INDEX('Aides'!$A$4:$A$503,380))</f>
        <v/>
      </c>
      <c r="E1383">
        <f>IF(ISNUMBER(INDEX('Aides'!$O$4:$O$503,380)),TEXT(INDEX('Aides'!$O$4:$O$503,380),"yyyy-mm-dd"),"")</f>
        <v/>
      </c>
      <c r="F1383">
        <f>"Training"</f>
        <v/>
      </c>
      <c r="G1383">
        <f>"Medium"</f>
        <v/>
      </c>
      <c r="H1383">
        <f>TRIM(IF(LEN(IF(LEN(INDEX('Aides'!$P$4:$P$503,380))=0,"",INDEX('Aides'!$P$4:$P$503,380)))=0,"","Hours done: "&amp;IF(LEN(INDEX('Aides'!$P$4:$P$503,380))=0,"",INDEX('Aides'!$P$4:$P$503,380))&amp;". ")&amp;IF(LEN(IF(LEN(INDEX('Aides'!$Q$4:$Q$503,380))=0,"",INDEX('Aides'!$Q$4:$Q$503,380)))=0,"","Target: "&amp;IF(LEN(INDEX('Aides'!$Q$4:$Q$503,380))=0,"",INDEX('Aides'!$Q$4:$Q$503,380))&amp;". ")&amp;IF(LEN(IF(LEN(INDEX('Aides'!$R$4:$R$503,380))=0,"",INDEX('Aides'!$R$4:$R$503,380)))=0,"","Hours still needed: "&amp;IF(LEN(INDEX('Aides'!$R$4:$R$503,380))=0,"",INDEX('Aides'!$R$4:$R$503,380))&amp;". ")&amp;IF(LEN(IF(LEN(INDEX('Aides'!$U$4:$U$503,380))=0,"",INDEX('Aides'!$U$4:$U$503,380)))=0,"","Owner: "&amp;IF(LEN(INDEX('Aides'!$U$4:$U$503,380))=0,"",INDEX('Aides'!$U$4:$U$503,380))&amp;". "))</f>
        <v/>
      </c>
      <c r="I1383">
        <f>""</f>
        <v/>
      </c>
      <c r="J1383">
        <f>IF(LEN(INDEX('Aides'!$V$4:$V$503,380))=0,"",INDEX('Aides'!$V$4:$V$503,380))</f>
        <v/>
      </c>
    </row>
    <row r="1384">
      <c r="A1384">
        <f>IF(AND(LEN('Aides'!A384)&gt;0,ISNUMBER('Aides'!O384)),1,0)</f>
        <v/>
      </c>
      <c r="B1384">
        <f>B1383+A1384</f>
        <v/>
      </c>
      <c r="C1384">
        <f>IF(1381&gt;$B$1503,"",MATCH(1381-0.5,$B$3:$B$1503,1))</f>
        <v/>
      </c>
      <c r="D1384">
        <f>"In-service hours due – "&amp;IF(LEN(INDEX('Aides'!$A$4:$A$503,381))=0,"",INDEX('Aides'!$A$4:$A$503,381))</f>
        <v/>
      </c>
      <c r="E1384">
        <f>IF(ISNUMBER(INDEX('Aides'!$O$4:$O$503,381)),TEXT(INDEX('Aides'!$O$4:$O$503,381),"yyyy-mm-dd"),"")</f>
        <v/>
      </c>
      <c r="F1384">
        <f>"Training"</f>
        <v/>
      </c>
      <c r="G1384">
        <f>"Medium"</f>
        <v/>
      </c>
      <c r="H1384">
        <f>TRIM(IF(LEN(IF(LEN(INDEX('Aides'!$P$4:$P$503,381))=0,"",INDEX('Aides'!$P$4:$P$503,381)))=0,"","Hours done: "&amp;IF(LEN(INDEX('Aides'!$P$4:$P$503,381))=0,"",INDEX('Aides'!$P$4:$P$503,381))&amp;". ")&amp;IF(LEN(IF(LEN(INDEX('Aides'!$Q$4:$Q$503,381))=0,"",INDEX('Aides'!$Q$4:$Q$503,381)))=0,"","Target: "&amp;IF(LEN(INDEX('Aides'!$Q$4:$Q$503,381))=0,"",INDEX('Aides'!$Q$4:$Q$503,381))&amp;". ")&amp;IF(LEN(IF(LEN(INDEX('Aides'!$R$4:$R$503,381))=0,"",INDEX('Aides'!$R$4:$R$503,381)))=0,"","Hours still needed: "&amp;IF(LEN(INDEX('Aides'!$R$4:$R$503,381))=0,"",INDEX('Aides'!$R$4:$R$503,381))&amp;". ")&amp;IF(LEN(IF(LEN(INDEX('Aides'!$U$4:$U$503,381))=0,"",INDEX('Aides'!$U$4:$U$503,381)))=0,"","Owner: "&amp;IF(LEN(INDEX('Aides'!$U$4:$U$503,381))=0,"",INDEX('Aides'!$U$4:$U$503,381))&amp;". "))</f>
        <v/>
      </c>
      <c r="I1384">
        <f>""</f>
        <v/>
      </c>
      <c r="J1384">
        <f>IF(LEN(INDEX('Aides'!$V$4:$V$503,381))=0,"",INDEX('Aides'!$V$4:$V$503,381))</f>
        <v/>
      </c>
    </row>
    <row r="1385">
      <c r="A1385">
        <f>IF(AND(LEN('Aides'!A385)&gt;0,ISNUMBER('Aides'!O385)),1,0)</f>
        <v/>
      </c>
      <c r="B1385">
        <f>B1384+A1385</f>
        <v/>
      </c>
      <c r="C1385">
        <f>IF(1382&gt;$B$1503,"",MATCH(1382-0.5,$B$3:$B$1503,1))</f>
        <v/>
      </c>
      <c r="D1385">
        <f>"In-service hours due – "&amp;IF(LEN(INDEX('Aides'!$A$4:$A$503,382))=0,"",INDEX('Aides'!$A$4:$A$503,382))</f>
        <v/>
      </c>
      <c r="E1385">
        <f>IF(ISNUMBER(INDEX('Aides'!$O$4:$O$503,382)),TEXT(INDEX('Aides'!$O$4:$O$503,382),"yyyy-mm-dd"),"")</f>
        <v/>
      </c>
      <c r="F1385">
        <f>"Training"</f>
        <v/>
      </c>
      <c r="G1385">
        <f>"Medium"</f>
        <v/>
      </c>
      <c r="H1385">
        <f>TRIM(IF(LEN(IF(LEN(INDEX('Aides'!$P$4:$P$503,382))=0,"",INDEX('Aides'!$P$4:$P$503,382)))=0,"","Hours done: "&amp;IF(LEN(INDEX('Aides'!$P$4:$P$503,382))=0,"",INDEX('Aides'!$P$4:$P$503,382))&amp;". ")&amp;IF(LEN(IF(LEN(INDEX('Aides'!$Q$4:$Q$503,382))=0,"",INDEX('Aides'!$Q$4:$Q$503,382)))=0,"","Target: "&amp;IF(LEN(INDEX('Aides'!$Q$4:$Q$503,382))=0,"",INDEX('Aides'!$Q$4:$Q$503,382))&amp;". ")&amp;IF(LEN(IF(LEN(INDEX('Aides'!$R$4:$R$503,382))=0,"",INDEX('Aides'!$R$4:$R$503,382)))=0,"","Hours still needed: "&amp;IF(LEN(INDEX('Aides'!$R$4:$R$503,382))=0,"",INDEX('Aides'!$R$4:$R$503,382))&amp;". ")&amp;IF(LEN(IF(LEN(INDEX('Aides'!$U$4:$U$503,382))=0,"",INDEX('Aides'!$U$4:$U$503,382)))=0,"","Owner: "&amp;IF(LEN(INDEX('Aides'!$U$4:$U$503,382))=0,"",INDEX('Aides'!$U$4:$U$503,382))&amp;". "))</f>
        <v/>
      </c>
      <c r="I1385">
        <f>""</f>
        <v/>
      </c>
      <c r="J1385">
        <f>IF(LEN(INDEX('Aides'!$V$4:$V$503,382))=0,"",INDEX('Aides'!$V$4:$V$503,382))</f>
        <v/>
      </c>
    </row>
    <row r="1386">
      <c r="A1386">
        <f>IF(AND(LEN('Aides'!A386)&gt;0,ISNUMBER('Aides'!O386)),1,0)</f>
        <v/>
      </c>
      <c r="B1386">
        <f>B1385+A1386</f>
        <v/>
      </c>
      <c r="C1386">
        <f>IF(1383&gt;$B$1503,"",MATCH(1383-0.5,$B$3:$B$1503,1))</f>
        <v/>
      </c>
      <c r="D1386">
        <f>"In-service hours due – "&amp;IF(LEN(INDEX('Aides'!$A$4:$A$503,383))=0,"",INDEX('Aides'!$A$4:$A$503,383))</f>
        <v/>
      </c>
      <c r="E1386">
        <f>IF(ISNUMBER(INDEX('Aides'!$O$4:$O$503,383)),TEXT(INDEX('Aides'!$O$4:$O$503,383),"yyyy-mm-dd"),"")</f>
        <v/>
      </c>
      <c r="F1386">
        <f>"Training"</f>
        <v/>
      </c>
      <c r="G1386">
        <f>"Medium"</f>
        <v/>
      </c>
      <c r="H1386">
        <f>TRIM(IF(LEN(IF(LEN(INDEX('Aides'!$P$4:$P$503,383))=0,"",INDEX('Aides'!$P$4:$P$503,383)))=0,"","Hours done: "&amp;IF(LEN(INDEX('Aides'!$P$4:$P$503,383))=0,"",INDEX('Aides'!$P$4:$P$503,383))&amp;". ")&amp;IF(LEN(IF(LEN(INDEX('Aides'!$Q$4:$Q$503,383))=0,"",INDEX('Aides'!$Q$4:$Q$503,383)))=0,"","Target: "&amp;IF(LEN(INDEX('Aides'!$Q$4:$Q$503,383))=0,"",INDEX('Aides'!$Q$4:$Q$503,383))&amp;". ")&amp;IF(LEN(IF(LEN(INDEX('Aides'!$R$4:$R$503,383))=0,"",INDEX('Aides'!$R$4:$R$503,383)))=0,"","Hours still needed: "&amp;IF(LEN(INDEX('Aides'!$R$4:$R$503,383))=0,"",INDEX('Aides'!$R$4:$R$503,383))&amp;". ")&amp;IF(LEN(IF(LEN(INDEX('Aides'!$U$4:$U$503,383))=0,"",INDEX('Aides'!$U$4:$U$503,383)))=0,"","Owner: "&amp;IF(LEN(INDEX('Aides'!$U$4:$U$503,383))=0,"",INDEX('Aides'!$U$4:$U$503,383))&amp;". "))</f>
        <v/>
      </c>
      <c r="I1386">
        <f>""</f>
        <v/>
      </c>
      <c r="J1386">
        <f>IF(LEN(INDEX('Aides'!$V$4:$V$503,383))=0,"",INDEX('Aides'!$V$4:$V$503,383))</f>
        <v/>
      </c>
    </row>
    <row r="1387">
      <c r="A1387">
        <f>IF(AND(LEN('Aides'!A387)&gt;0,ISNUMBER('Aides'!O387)),1,0)</f>
        <v/>
      </c>
      <c r="B1387">
        <f>B1386+A1387</f>
        <v/>
      </c>
      <c r="C1387">
        <f>IF(1384&gt;$B$1503,"",MATCH(1384-0.5,$B$3:$B$1503,1))</f>
        <v/>
      </c>
      <c r="D1387">
        <f>"In-service hours due – "&amp;IF(LEN(INDEX('Aides'!$A$4:$A$503,384))=0,"",INDEX('Aides'!$A$4:$A$503,384))</f>
        <v/>
      </c>
      <c r="E1387">
        <f>IF(ISNUMBER(INDEX('Aides'!$O$4:$O$503,384)),TEXT(INDEX('Aides'!$O$4:$O$503,384),"yyyy-mm-dd"),"")</f>
        <v/>
      </c>
      <c r="F1387">
        <f>"Training"</f>
        <v/>
      </c>
      <c r="G1387">
        <f>"Medium"</f>
        <v/>
      </c>
      <c r="H1387">
        <f>TRIM(IF(LEN(IF(LEN(INDEX('Aides'!$P$4:$P$503,384))=0,"",INDEX('Aides'!$P$4:$P$503,384)))=0,"","Hours done: "&amp;IF(LEN(INDEX('Aides'!$P$4:$P$503,384))=0,"",INDEX('Aides'!$P$4:$P$503,384))&amp;". ")&amp;IF(LEN(IF(LEN(INDEX('Aides'!$Q$4:$Q$503,384))=0,"",INDEX('Aides'!$Q$4:$Q$503,384)))=0,"","Target: "&amp;IF(LEN(INDEX('Aides'!$Q$4:$Q$503,384))=0,"",INDEX('Aides'!$Q$4:$Q$503,384))&amp;". ")&amp;IF(LEN(IF(LEN(INDEX('Aides'!$R$4:$R$503,384))=0,"",INDEX('Aides'!$R$4:$R$503,384)))=0,"","Hours still needed: "&amp;IF(LEN(INDEX('Aides'!$R$4:$R$503,384))=0,"",INDEX('Aides'!$R$4:$R$503,384))&amp;". ")&amp;IF(LEN(IF(LEN(INDEX('Aides'!$U$4:$U$503,384))=0,"",INDEX('Aides'!$U$4:$U$503,384)))=0,"","Owner: "&amp;IF(LEN(INDEX('Aides'!$U$4:$U$503,384))=0,"",INDEX('Aides'!$U$4:$U$503,384))&amp;". "))</f>
        <v/>
      </c>
      <c r="I1387">
        <f>""</f>
        <v/>
      </c>
      <c r="J1387">
        <f>IF(LEN(INDEX('Aides'!$V$4:$V$503,384))=0,"",INDEX('Aides'!$V$4:$V$503,384))</f>
        <v/>
      </c>
    </row>
    <row r="1388">
      <c r="A1388">
        <f>IF(AND(LEN('Aides'!A388)&gt;0,ISNUMBER('Aides'!O388)),1,0)</f>
        <v/>
      </c>
      <c r="B1388">
        <f>B1387+A1388</f>
        <v/>
      </c>
      <c r="C1388">
        <f>IF(1385&gt;$B$1503,"",MATCH(1385-0.5,$B$3:$B$1503,1))</f>
        <v/>
      </c>
      <c r="D1388">
        <f>"In-service hours due – "&amp;IF(LEN(INDEX('Aides'!$A$4:$A$503,385))=0,"",INDEX('Aides'!$A$4:$A$503,385))</f>
        <v/>
      </c>
      <c r="E1388">
        <f>IF(ISNUMBER(INDEX('Aides'!$O$4:$O$503,385)),TEXT(INDEX('Aides'!$O$4:$O$503,385),"yyyy-mm-dd"),"")</f>
        <v/>
      </c>
      <c r="F1388">
        <f>"Training"</f>
        <v/>
      </c>
      <c r="G1388">
        <f>"Medium"</f>
        <v/>
      </c>
      <c r="H1388">
        <f>TRIM(IF(LEN(IF(LEN(INDEX('Aides'!$P$4:$P$503,385))=0,"",INDEX('Aides'!$P$4:$P$503,385)))=0,"","Hours done: "&amp;IF(LEN(INDEX('Aides'!$P$4:$P$503,385))=0,"",INDEX('Aides'!$P$4:$P$503,385))&amp;". ")&amp;IF(LEN(IF(LEN(INDEX('Aides'!$Q$4:$Q$503,385))=0,"",INDEX('Aides'!$Q$4:$Q$503,385)))=0,"","Target: "&amp;IF(LEN(INDEX('Aides'!$Q$4:$Q$503,385))=0,"",INDEX('Aides'!$Q$4:$Q$503,385))&amp;". ")&amp;IF(LEN(IF(LEN(INDEX('Aides'!$R$4:$R$503,385))=0,"",INDEX('Aides'!$R$4:$R$503,385)))=0,"","Hours still needed: "&amp;IF(LEN(INDEX('Aides'!$R$4:$R$503,385))=0,"",INDEX('Aides'!$R$4:$R$503,385))&amp;". ")&amp;IF(LEN(IF(LEN(INDEX('Aides'!$U$4:$U$503,385))=0,"",INDEX('Aides'!$U$4:$U$503,385)))=0,"","Owner: "&amp;IF(LEN(INDEX('Aides'!$U$4:$U$503,385))=0,"",INDEX('Aides'!$U$4:$U$503,385))&amp;". "))</f>
        <v/>
      </c>
      <c r="I1388">
        <f>""</f>
        <v/>
      </c>
      <c r="J1388">
        <f>IF(LEN(INDEX('Aides'!$V$4:$V$503,385))=0,"",INDEX('Aides'!$V$4:$V$503,385))</f>
        <v/>
      </c>
    </row>
    <row r="1389">
      <c r="A1389">
        <f>IF(AND(LEN('Aides'!A389)&gt;0,ISNUMBER('Aides'!O389)),1,0)</f>
        <v/>
      </c>
      <c r="B1389">
        <f>B1388+A1389</f>
        <v/>
      </c>
      <c r="C1389">
        <f>IF(1386&gt;$B$1503,"",MATCH(1386-0.5,$B$3:$B$1503,1))</f>
        <v/>
      </c>
      <c r="D1389">
        <f>"In-service hours due – "&amp;IF(LEN(INDEX('Aides'!$A$4:$A$503,386))=0,"",INDEX('Aides'!$A$4:$A$503,386))</f>
        <v/>
      </c>
      <c r="E1389">
        <f>IF(ISNUMBER(INDEX('Aides'!$O$4:$O$503,386)),TEXT(INDEX('Aides'!$O$4:$O$503,386),"yyyy-mm-dd"),"")</f>
        <v/>
      </c>
      <c r="F1389">
        <f>"Training"</f>
        <v/>
      </c>
      <c r="G1389">
        <f>"Medium"</f>
        <v/>
      </c>
      <c r="H1389">
        <f>TRIM(IF(LEN(IF(LEN(INDEX('Aides'!$P$4:$P$503,386))=0,"",INDEX('Aides'!$P$4:$P$503,386)))=0,"","Hours done: "&amp;IF(LEN(INDEX('Aides'!$P$4:$P$503,386))=0,"",INDEX('Aides'!$P$4:$P$503,386))&amp;". ")&amp;IF(LEN(IF(LEN(INDEX('Aides'!$Q$4:$Q$503,386))=0,"",INDEX('Aides'!$Q$4:$Q$503,386)))=0,"","Target: "&amp;IF(LEN(INDEX('Aides'!$Q$4:$Q$503,386))=0,"",INDEX('Aides'!$Q$4:$Q$503,386))&amp;". ")&amp;IF(LEN(IF(LEN(INDEX('Aides'!$R$4:$R$503,386))=0,"",INDEX('Aides'!$R$4:$R$503,386)))=0,"","Hours still needed: "&amp;IF(LEN(INDEX('Aides'!$R$4:$R$503,386))=0,"",INDEX('Aides'!$R$4:$R$503,386))&amp;". ")&amp;IF(LEN(IF(LEN(INDEX('Aides'!$U$4:$U$503,386))=0,"",INDEX('Aides'!$U$4:$U$503,386)))=0,"","Owner: "&amp;IF(LEN(INDEX('Aides'!$U$4:$U$503,386))=0,"",INDEX('Aides'!$U$4:$U$503,386))&amp;". "))</f>
        <v/>
      </c>
      <c r="I1389">
        <f>""</f>
        <v/>
      </c>
      <c r="J1389">
        <f>IF(LEN(INDEX('Aides'!$V$4:$V$503,386))=0,"",INDEX('Aides'!$V$4:$V$503,386))</f>
        <v/>
      </c>
    </row>
    <row r="1390">
      <c r="A1390">
        <f>IF(AND(LEN('Aides'!A390)&gt;0,ISNUMBER('Aides'!O390)),1,0)</f>
        <v/>
      </c>
      <c r="B1390">
        <f>B1389+A1390</f>
        <v/>
      </c>
      <c r="C1390">
        <f>IF(1387&gt;$B$1503,"",MATCH(1387-0.5,$B$3:$B$1503,1))</f>
        <v/>
      </c>
      <c r="D1390">
        <f>"In-service hours due – "&amp;IF(LEN(INDEX('Aides'!$A$4:$A$503,387))=0,"",INDEX('Aides'!$A$4:$A$503,387))</f>
        <v/>
      </c>
      <c r="E1390">
        <f>IF(ISNUMBER(INDEX('Aides'!$O$4:$O$503,387)),TEXT(INDEX('Aides'!$O$4:$O$503,387),"yyyy-mm-dd"),"")</f>
        <v/>
      </c>
      <c r="F1390">
        <f>"Training"</f>
        <v/>
      </c>
      <c r="G1390">
        <f>"Medium"</f>
        <v/>
      </c>
      <c r="H1390">
        <f>TRIM(IF(LEN(IF(LEN(INDEX('Aides'!$P$4:$P$503,387))=0,"",INDEX('Aides'!$P$4:$P$503,387)))=0,"","Hours done: "&amp;IF(LEN(INDEX('Aides'!$P$4:$P$503,387))=0,"",INDEX('Aides'!$P$4:$P$503,387))&amp;". ")&amp;IF(LEN(IF(LEN(INDEX('Aides'!$Q$4:$Q$503,387))=0,"",INDEX('Aides'!$Q$4:$Q$503,387)))=0,"","Target: "&amp;IF(LEN(INDEX('Aides'!$Q$4:$Q$503,387))=0,"",INDEX('Aides'!$Q$4:$Q$503,387))&amp;". ")&amp;IF(LEN(IF(LEN(INDEX('Aides'!$R$4:$R$503,387))=0,"",INDEX('Aides'!$R$4:$R$503,387)))=0,"","Hours still needed: "&amp;IF(LEN(INDEX('Aides'!$R$4:$R$503,387))=0,"",INDEX('Aides'!$R$4:$R$503,387))&amp;". ")&amp;IF(LEN(IF(LEN(INDEX('Aides'!$U$4:$U$503,387))=0,"",INDEX('Aides'!$U$4:$U$503,387)))=0,"","Owner: "&amp;IF(LEN(INDEX('Aides'!$U$4:$U$503,387))=0,"",INDEX('Aides'!$U$4:$U$503,387))&amp;". "))</f>
        <v/>
      </c>
      <c r="I1390">
        <f>""</f>
        <v/>
      </c>
      <c r="J1390">
        <f>IF(LEN(INDEX('Aides'!$V$4:$V$503,387))=0,"",INDEX('Aides'!$V$4:$V$503,387))</f>
        <v/>
      </c>
    </row>
    <row r="1391">
      <c r="A1391">
        <f>IF(AND(LEN('Aides'!A391)&gt;0,ISNUMBER('Aides'!O391)),1,0)</f>
        <v/>
      </c>
      <c r="B1391">
        <f>B1390+A1391</f>
        <v/>
      </c>
      <c r="C1391">
        <f>IF(1388&gt;$B$1503,"",MATCH(1388-0.5,$B$3:$B$1503,1))</f>
        <v/>
      </c>
      <c r="D1391">
        <f>"In-service hours due – "&amp;IF(LEN(INDEX('Aides'!$A$4:$A$503,388))=0,"",INDEX('Aides'!$A$4:$A$503,388))</f>
        <v/>
      </c>
      <c r="E1391">
        <f>IF(ISNUMBER(INDEX('Aides'!$O$4:$O$503,388)),TEXT(INDEX('Aides'!$O$4:$O$503,388),"yyyy-mm-dd"),"")</f>
        <v/>
      </c>
      <c r="F1391">
        <f>"Training"</f>
        <v/>
      </c>
      <c r="G1391">
        <f>"Medium"</f>
        <v/>
      </c>
      <c r="H1391">
        <f>TRIM(IF(LEN(IF(LEN(INDEX('Aides'!$P$4:$P$503,388))=0,"",INDEX('Aides'!$P$4:$P$503,388)))=0,"","Hours done: "&amp;IF(LEN(INDEX('Aides'!$P$4:$P$503,388))=0,"",INDEX('Aides'!$P$4:$P$503,388))&amp;". ")&amp;IF(LEN(IF(LEN(INDEX('Aides'!$Q$4:$Q$503,388))=0,"",INDEX('Aides'!$Q$4:$Q$503,388)))=0,"","Target: "&amp;IF(LEN(INDEX('Aides'!$Q$4:$Q$503,388))=0,"",INDEX('Aides'!$Q$4:$Q$503,388))&amp;". ")&amp;IF(LEN(IF(LEN(INDEX('Aides'!$R$4:$R$503,388))=0,"",INDEX('Aides'!$R$4:$R$503,388)))=0,"","Hours still needed: "&amp;IF(LEN(INDEX('Aides'!$R$4:$R$503,388))=0,"",INDEX('Aides'!$R$4:$R$503,388))&amp;". ")&amp;IF(LEN(IF(LEN(INDEX('Aides'!$U$4:$U$503,388))=0,"",INDEX('Aides'!$U$4:$U$503,388)))=0,"","Owner: "&amp;IF(LEN(INDEX('Aides'!$U$4:$U$503,388))=0,"",INDEX('Aides'!$U$4:$U$503,388))&amp;". "))</f>
        <v/>
      </c>
      <c r="I1391">
        <f>""</f>
        <v/>
      </c>
      <c r="J1391">
        <f>IF(LEN(INDEX('Aides'!$V$4:$V$503,388))=0,"",INDEX('Aides'!$V$4:$V$503,388))</f>
        <v/>
      </c>
    </row>
    <row r="1392">
      <c r="A1392">
        <f>IF(AND(LEN('Aides'!A392)&gt;0,ISNUMBER('Aides'!O392)),1,0)</f>
        <v/>
      </c>
      <c r="B1392">
        <f>B1391+A1392</f>
        <v/>
      </c>
      <c r="C1392">
        <f>IF(1389&gt;$B$1503,"",MATCH(1389-0.5,$B$3:$B$1503,1))</f>
        <v/>
      </c>
      <c r="D1392">
        <f>"In-service hours due – "&amp;IF(LEN(INDEX('Aides'!$A$4:$A$503,389))=0,"",INDEX('Aides'!$A$4:$A$503,389))</f>
        <v/>
      </c>
      <c r="E1392">
        <f>IF(ISNUMBER(INDEX('Aides'!$O$4:$O$503,389)),TEXT(INDEX('Aides'!$O$4:$O$503,389),"yyyy-mm-dd"),"")</f>
        <v/>
      </c>
      <c r="F1392">
        <f>"Training"</f>
        <v/>
      </c>
      <c r="G1392">
        <f>"Medium"</f>
        <v/>
      </c>
      <c r="H1392">
        <f>TRIM(IF(LEN(IF(LEN(INDEX('Aides'!$P$4:$P$503,389))=0,"",INDEX('Aides'!$P$4:$P$503,389)))=0,"","Hours done: "&amp;IF(LEN(INDEX('Aides'!$P$4:$P$503,389))=0,"",INDEX('Aides'!$P$4:$P$503,389))&amp;". ")&amp;IF(LEN(IF(LEN(INDEX('Aides'!$Q$4:$Q$503,389))=0,"",INDEX('Aides'!$Q$4:$Q$503,389)))=0,"","Target: "&amp;IF(LEN(INDEX('Aides'!$Q$4:$Q$503,389))=0,"",INDEX('Aides'!$Q$4:$Q$503,389))&amp;". ")&amp;IF(LEN(IF(LEN(INDEX('Aides'!$R$4:$R$503,389))=0,"",INDEX('Aides'!$R$4:$R$503,389)))=0,"","Hours still needed: "&amp;IF(LEN(INDEX('Aides'!$R$4:$R$503,389))=0,"",INDEX('Aides'!$R$4:$R$503,389))&amp;". ")&amp;IF(LEN(IF(LEN(INDEX('Aides'!$U$4:$U$503,389))=0,"",INDEX('Aides'!$U$4:$U$503,389)))=0,"","Owner: "&amp;IF(LEN(INDEX('Aides'!$U$4:$U$503,389))=0,"",INDEX('Aides'!$U$4:$U$503,389))&amp;". "))</f>
        <v/>
      </c>
      <c r="I1392">
        <f>""</f>
        <v/>
      </c>
      <c r="J1392">
        <f>IF(LEN(INDEX('Aides'!$V$4:$V$503,389))=0,"",INDEX('Aides'!$V$4:$V$503,389))</f>
        <v/>
      </c>
    </row>
    <row r="1393">
      <c r="A1393">
        <f>IF(AND(LEN('Aides'!A393)&gt;0,ISNUMBER('Aides'!O393)),1,0)</f>
        <v/>
      </c>
      <c r="B1393">
        <f>B1392+A1393</f>
        <v/>
      </c>
      <c r="C1393">
        <f>IF(1390&gt;$B$1503,"",MATCH(1390-0.5,$B$3:$B$1503,1))</f>
        <v/>
      </c>
      <c r="D1393">
        <f>"In-service hours due – "&amp;IF(LEN(INDEX('Aides'!$A$4:$A$503,390))=0,"",INDEX('Aides'!$A$4:$A$503,390))</f>
        <v/>
      </c>
      <c r="E1393">
        <f>IF(ISNUMBER(INDEX('Aides'!$O$4:$O$503,390)),TEXT(INDEX('Aides'!$O$4:$O$503,390),"yyyy-mm-dd"),"")</f>
        <v/>
      </c>
      <c r="F1393">
        <f>"Training"</f>
        <v/>
      </c>
      <c r="G1393">
        <f>"Medium"</f>
        <v/>
      </c>
      <c r="H1393">
        <f>TRIM(IF(LEN(IF(LEN(INDEX('Aides'!$P$4:$P$503,390))=0,"",INDEX('Aides'!$P$4:$P$503,390)))=0,"","Hours done: "&amp;IF(LEN(INDEX('Aides'!$P$4:$P$503,390))=0,"",INDEX('Aides'!$P$4:$P$503,390))&amp;". ")&amp;IF(LEN(IF(LEN(INDEX('Aides'!$Q$4:$Q$503,390))=0,"",INDEX('Aides'!$Q$4:$Q$503,390)))=0,"","Target: "&amp;IF(LEN(INDEX('Aides'!$Q$4:$Q$503,390))=0,"",INDEX('Aides'!$Q$4:$Q$503,390))&amp;". ")&amp;IF(LEN(IF(LEN(INDEX('Aides'!$R$4:$R$503,390))=0,"",INDEX('Aides'!$R$4:$R$503,390)))=0,"","Hours still needed: "&amp;IF(LEN(INDEX('Aides'!$R$4:$R$503,390))=0,"",INDEX('Aides'!$R$4:$R$503,390))&amp;". ")&amp;IF(LEN(IF(LEN(INDEX('Aides'!$U$4:$U$503,390))=0,"",INDEX('Aides'!$U$4:$U$503,390)))=0,"","Owner: "&amp;IF(LEN(INDEX('Aides'!$U$4:$U$503,390))=0,"",INDEX('Aides'!$U$4:$U$503,390))&amp;". "))</f>
        <v/>
      </c>
      <c r="I1393">
        <f>""</f>
        <v/>
      </c>
      <c r="J1393">
        <f>IF(LEN(INDEX('Aides'!$V$4:$V$503,390))=0,"",INDEX('Aides'!$V$4:$V$503,390))</f>
        <v/>
      </c>
    </row>
    <row r="1394">
      <c r="A1394">
        <f>IF(AND(LEN('Aides'!A394)&gt;0,ISNUMBER('Aides'!O394)),1,0)</f>
        <v/>
      </c>
      <c r="B1394">
        <f>B1393+A1394</f>
        <v/>
      </c>
      <c r="C1394">
        <f>IF(1391&gt;$B$1503,"",MATCH(1391-0.5,$B$3:$B$1503,1))</f>
        <v/>
      </c>
      <c r="D1394">
        <f>"In-service hours due – "&amp;IF(LEN(INDEX('Aides'!$A$4:$A$503,391))=0,"",INDEX('Aides'!$A$4:$A$503,391))</f>
        <v/>
      </c>
      <c r="E1394">
        <f>IF(ISNUMBER(INDEX('Aides'!$O$4:$O$503,391)),TEXT(INDEX('Aides'!$O$4:$O$503,391),"yyyy-mm-dd"),"")</f>
        <v/>
      </c>
      <c r="F1394">
        <f>"Training"</f>
        <v/>
      </c>
      <c r="G1394">
        <f>"Medium"</f>
        <v/>
      </c>
      <c r="H1394">
        <f>TRIM(IF(LEN(IF(LEN(INDEX('Aides'!$P$4:$P$503,391))=0,"",INDEX('Aides'!$P$4:$P$503,391)))=0,"","Hours done: "&amp;IF(LEN(INDEX('Aides'!$P$4:$P$503,391))=0,"",INDEX('Aides'!$P$4:$P$503,391))&amp;". ")&amp;IF(LEN(IF(LEN(INDEX('Aides'!$Q$4:$Q$503,391))=0,"",INDEX('Aides'!$Q$4:$Q$503,391)))=0,"","Target: "&amp;IF(LEN(INDEX('Aides'!$Q$4:$Q$503,391))=0,"",INDEX('Aides'!$Q$4:$Q$503,391))&amp;". ")&amp;IF(LEN(IF(LEN(INDEX('Aides'!$R$4:$R$503,391))=0,"",INDEX('Aides'!$R$4:$R$503,391)))=0,"","Hours still needed: "&amp;IF(LEN(INDEX('Aides'!$R$4:$R$503,391))=0,"",INDEX('Aides'!$R$4:$R$503,391))&amp;". ")&amp;IF(LEN(IF(LEN(INDEX('Aides'!$U$4:$U$503,391))=0,"",INDEX('Aides'!$U$4:$U$503,391)))=0,"","Owner: "&amp;IF(LEN(INDEX('Aides'!$U$4:$U$503,391))=0,"",INDEX('Aides'!$U$4:$U$503,391))&amp;". "))</f>
        <v/>
      </c>
      <c r="I1394">
        <f>""</f>
        <v/>
      </c>
      <c r="J1394">
        <f>IF(LEN(INDEX('Aides'!$V$4:$V$503,391))=0,"",INDEX('Aides'!$V$4:$V$503,391))</f>
        <v/>
      </c>
    </row>
    <row r="1395">
      <c r="A1395">
        <f>IF(AND(LEN('Aides'!A395)&gt;0,ISNUMBER('Aides'!O395)),1,0)</f>
        <v/>
      </c>
      <c r="B1395">
        <f>B1394+A1395</f>
        <v/>
      </c>
      <c r="C1395">
        <f>IF(1392&gt;$B$1503,"",MATCH(1392-0.5,$B$3:$B$1503,1))</f>
        <v/>
      </c>
      <c r="D1395">
        <f>"In-service hours due – "&amp;IF(LEN(INDEX('Aides'!$A$4:$A$503,392))=0,"",INDEX('Aides'!$A$4:$A$503,392))</f>
        <v/>
      </c>
      <c r="E1395">
        <f>IF(ISNUMBER(INDEX('Aides'!$O$4:$O$503,392)),TEXT(INDEX('Aides'!$O$4:$O$503,392),"yyyy-mm-dd"),"")</f>
        <v/>
      </c>
      <c r="F1395">
        <f>"Training"</f>
        <v/>
      </c>
      <c r="G1395">
        <f>"Medium"</f>
        <v/>
      </c>
      <c r="H1395">
        <f>TRIM(IF(LEN(IF(LEN(INDEX('Aides'!$P$4:$P$503,392))=0,"",INDEX('Aides'!$P$4:$P$503,392)))=0,"","Hours done: "&amp;IF(LEN(INDEX('Aides'!$P$4:$P$503,392))=0,"",INDEX('Aides'!$P$4:$P$503,392))&amp;". ")&amp;IF(LEN(IF(LEN(INDEX('Aides'!$Q$4:$Q$503,392))=0,"",INDEX('Aides'!$Q$4:$Q$503,392)))=0,"","Target: "&amp;IF(LEN(INDEX('Aides'!$Q$4:$Q$503,392))=0,"",INDEX('Aides'!$Q$4:$Q$503,392))&amp;". ")&amp;IF(LEN(IF(LEN(INDEX('Aides'!$R$4:$R$503,392))=0,"",INDEX('Aides'!$R$4:$R$503,392)))=0,"","Hours still needed: "&amp;IF(LEN(INDEX('Aides'!$R$4:$R$503,392))=0,"",INDEX('Aides'!$R$4:$R$503,392))&amp;". ")&amp;IF(LEN(IF(LEN(INDEX('Aides'!$U$4:$U$503,392))=0,"",INDEX('Aides'!$U$4:$U$503,392)))=0,"","Owner: "&amp;IF(LEN(INDEX('Aides'!$U$4:$U$503,392))=0,"",INDEX('Aides'!$U$4:$U$503,392))&amp;". "))</f>
        <v/>
      </c>
      <c r="I1395">
        <f>""</f>
        <v/>
      </c>
      <c r="J1395">
        <f>IF(LEN(INDEX('Aides'!$V$4:$V$503,392))=0,"",INDEX('Aides'!$V$4:$V$503,392))</f>
        <v/>
      </c>
    </row>
    <row r="1396">
      <c r="A1396">
        <f>IF(AND(LEN('Aides'!A396)&gt;0,ISNUMBER('Aides'!O396)),1,0)</f>
        <v/>
      </c>
      <c r="B1396">
        <f>B1395+A1396</f>
        <v/>
      </c>
      <c r="C1396">
        <f>IF(1393&gt;$B$1503,"",MATCH(1393-0.5,$B$3:$B$1503,1))</f>
        <v/>
      </c>
      <c r="D1396">
        <f>"In-service hours due – "&amp;IF(LEN(INDEX('Aides'!$A$4:$A$503,393))=0,"",INDEX('Aides'!$A$4:$A$503,393))</f>
        <v/>
      </c>
      <c r="E1396">
        <f>IF(ISNUMBER(INDEX('Aides'!$O$4:$O$503,393)),TEXT(INDEX('Aides'!$O$4:$O$503,393),"yyyy-mm-dd"),"")</f>
        <v/>
      </c>
      <c r="F1396">
        <f>"Training"</f>
        <v/>
      </c>
      <c r="G1396">
        <f>"Medium"</f>
        <v/>
      </c>
      <c r="H1396">
        <f>TRIM(IF(LEN(IF(LEN(INDEX('Aides'!$P$4:$P$503,393))=0,"",INDEX('Aides'!$P$4:$P$503,393)))=0,"","Hours done: "&amp;IF(LEN(INDEX('Aides'!$P$4:$P$503,393))=0,"",INDEX('Aides'!$P$4:$P$503,393))&amp;". ")&amp;IF(LEN(IF(LEN(INDEX('Aides'!$Q$4:$Q$503,393))=0,"",INDEX('Aides'!$Q$4:$Q$503,393)))=0,"","Target: "&amp;IF(LEN(INDEX('Aides'!$Q$4:$Q$503,393))=0,"",INDEX('Aides'!$Q$4:$Q$503,393))&amp;". ")&amp;IF(LEN(IF(LEN(INDEX('Aides'!$R$4:$R$503,393))=0,"",INDEX('Aides'!$R$4:$R$503,393)))=0,"","Hours still needed: "&amp;IF(LEN(INDEX('Aides'!$R$4:$R$503,393))=0,"",INDEX('Aides'!$R$4:$R$503,393))&amp;". ")&amp;IF(LEN(IF(LEN(INDEX('Aides'!$U$4:$U$503,393))=0,"",INDEX('Aides'!$U$4:$U$503,393)))=0,"","Owner: "&amp;IF(LEN(INDEX('Aides'!$U$4:$U$503,393))=0,"",INDEX('Aides'!$U$4:$U$503,393))&amp;". "))</f>
        <v/>
      </c>
      <c r="I1396">
        <f>""</f>
        <v/>
      </c>
      <c r="J1396">
        <f>IF(LEN(INDEX('Aides'!$V$4:$V$503,393))=0,"",INDEX('Aides'!$V$4:$V$503,393))</f>
        <v/>
      </c>
    </row>
    <row r="1397">
      <c r="A1397">
        <f>IF(AND(LEN('Aides'!A397)&gt;0,ISNUMBER('Aides'!O397)),1,0)</f>
        <v/>
      </c>
      <c r="B1397">
        <f>B1396+A1397</f>
        <v/>
      </c>
      <c r="C1397">
        <f>IF(1394&gt;$B$1503,"",MATCH(1394-0.5,$B$3:$B$1503,1))</f>
        <v/>
      </c>
      <c r="D1397">
        <f>"In-service hours due – "&amp;IF(LEN(INDEX('Aides'!$A$4:$A$503,394))=0,"",INDEX('Aides'!$A$4:$A$503,394))</f>
        <v/>
      </c>
      <c r="E1397">
        <f>IF(ISNUMBER(INDEX('Aides'!$O$4:$O$503,394)),TEXT(INDEX('Aides'!$O$4:$O$503,394),"yyyy-mm-dd"),"")</f>
        <v/>
      </c>
      <c r="F1397">
        <f>"Training"</f>
        <v/>
      </c>
      <c r="G1397">
        <f>"Medium"</f>
        <v/>
      </c>
      <c r="H1397">
        <f>TRIM(IF(LEN(IF(LEN(INDEX('Aides'!$P$4:$P$503,394))=0,"",INDEX('Aides'!$P$4:$P$503,394)))=0,"","Hours done: "&amp;IF(LEN(INDEX('Aides'!$P$4:$P$503,394))=0,"",INDEX('Aides'!$P$4:$P$503,394))&amp;". ")&amp;IF(LEN(IF(LEN(INDEX('Aides'!$Q$4:$Q$503,394))=0,"",INDEX('Aides'!$Q$4:$Q$503,394)))=0,"","Target: "&amp;IF(LEN(INDEX('Aides'!$Q$4:$Q$503,394))=0,"",INDEX('Aides'!$Q$4:$Q$503,394))&amp;". ")&amp;IF(LEN(IF(LEN(INDEX('Aides'!$R$4:$R$503,394))=0,"",INDEX('Aides'!$R$4:$R$503,394)))=0,"","Hours still needed: "&amp;IF(LEN(INDEX('Aides'!$R$4:$R$503,394))=0,"",INDEX('Aides'!$R$4:$R$503,394))&amp;". ")&amp;IF(LEN(IF(LEN(INDEX('Aides'!$U$4:$U$503,394))=0,"",INDEX('Aides'!$U$4:$U$503,394)))=0,"","Owner: "&amp;IF(LEN(INDEX('Aides'!$U$4:$U$503,394))=0,"",INDEX('Aides'!$U$4:$U$503,394))&amp;". "))</f>
        <v/>
      </c>
      <c r="I1397">
        <f>""</f>
        <v/>
      </c>
      <c r="J1397">
        <f>IF(LEN(INDEX('Aides'!$V$4:$V$503,394))=0,"",INDEX('Aides'!$V$4:$V$503,394))</f>
        <v/>
      </c>
    </row>
    <row r="1398">
      <c r="A1398">
        <f>IF(AND(LEN('Aides'!A398)&gt;0,ISNUMBER('Aides'!O398)),1,0)</f>
        <v/>
      </c>
      <c r="B1398">
        <f>B1397+A1398</f>
        <v/>
      </c>
      <c r="C1398">
        <f>IF(1395&gt;$B$1503,"",MATCH(1395-0.5,$B$3:$B$1503,1))</f>
        <v/>
      </c>
      <c r="D1398">
        <f>"In-service hours due – "&amp;IF(LEN(INDEX('Aides'!$A$4:$A$503,395))=0,"",INDEX('Aides'!$A$4:$A$503,395))</f>
        <v/>
      </c>
      <c r="E1398">
        <f>IF(ISNUMBER(INDEX('Aides'!$O$4:$O$503,395)),TEXT(INDEX('Aides'!$O$4:$O$503,395),"yyyy-mm-dd"),"")</f>
        <v/>
      </c>
      <c r="F1398">
        <f>"Training"</f>
        <v/>
      </c>
      <c r="G1398">
        <f>"Medium"</f>
        <v/>
      </c>
      <c r="H1398">
        <f>TRIM(IF(LEN(IF(LEN(INDEX('Aides'!$P$4:$P$503,395))=0,"",INDEX('Aides'!$P$4:$P$503,395)))=0,"","Hours done: "&amp;IF(LEN(INDEX('Aides'!$P$4:$P$503,395))=0,"",INDEX('Aides'!$P$4:$P$503,395))&amp;". ")&amp;IF(LEN(IF(LEN(INDEX('Aides'!$Q$4:$Q$503,395))=0,"",INDEX('Aides'!$Q$4:$Q$503,395)))=0,"","Target: "&amp;IF(LEN(INDEX('Aides'!$Q$4:$Q$503,395))=0,"",INDEX('Aides'!$Q$4:$Q$503,395))&amp;". ")&amp;IF(LEN(IF(LEN(INDEX('Aides'!$R$4:$R$503,395))=0,"",INDEX('Aides'!$R$4:$R$503,395)))=0,"","Hours still needed: "&amp;IF(LEN(INDEX('Aides'!$R$4:$R$503,395))=0,"",INDEX('Aides'!$R$4:$R$503,395))&amp;". ")&amp;IF(LEN(IF(LEN(INDEX('Aides'!$U$4:$U$503,395))=0,"",INDEX('Aides'!$U$4:$U$503,395)))=0,"","Owner: "&amp;IF(LEN(INDEX('Aides'!$U$4:$U$503,395))=0,"",INDEX('Aides'!$U$4:$U$503,395))&amp;". "))</f>
        <v/>
      </c>
      <c r="I1398">
        <f>""</f>
        <v/>
      </c>
      <c r="J1398">
        <f>IF(LEN(INDEX('Aides'!$V$4:$V$503,395))=0,"",INDEX('Aides'!$V$4:$V$503,395))</f>
        <v/>
      </c>
    </row>
    <row r="1399">
      <c r="A1399">
        <f>IF(AND(LEN('Aides'!A399)&gt;0,ISNUMBER('Aides'!O399)),1,0)</f>
        <v/>
      </c>
      <c r="B1399">
        <f>B1398+A1399</f>
        <v/>
      </c>
      <c r="C1399">
        <f>IF(1396&gt;$B$1503,"",MATCH(1396-0.5,$B$3:$B$1503,1))</f>
        <v/>
      </c>
      <c r="D1399">
        <f>"In-service hours due – "&amp;IF(LEN(INDEX('Aides'!$A$4:$A$503,396))=0,"",INDEX('Aides'!$A$4:$A$503,396))</f>
        <v/>
      </c>
      <c r="E1399">
        <f>IF(ISNUMBER(INDEX('Aides'!$O$4:$O$503,396)),TEXT(INDEX('Aides'!$O$4:$O$503,396),"yyyy-mm-dd"),"")</f>
        <v/>
      </c>
      <c r="F1399">
        <f>"Training"</f>
        <v/>
      </c>
      <c r="G1399">
        <f>"Medium"</f>
        <v/>
      </c>
      <c r="H1399">
        <f>TRIM(IF(LEN(IF(LEN(INDEX('Aides'!$P$4:$P$503,396))=0,"",INDEX('Aides'!$P$4:$P$503,396)))=0,"","Hours done: "&amp;IF(LEN(INDEX('Aides'!$P$4:$P$503,396))=0,"",INDEX('Aides'!$P$4:$P$503,396))&amp;". ")&amp;IF(LEN(IF(LEN(INDEX('Aides'!$Q$4:$Q$503,396))=0,"",INDEX('Aides'!$Q$4:$Q$503,396)))=0,"","Target: "&amp;IF(LEN(INDEX('Aides'!$Q$4:$Q$503,396))=0,"",INDEX('Aides'!$Q$4:$Q$503,396))&amp;". ")&amp;IF(LEN(IF(LEN(INDEX('Aides'!$R$4:$R$503,396))=0,"",INDEX('Aides'!$R$4:$R$503,396)))=0,"","Hours still needed: "&amp;IF(LEN(INDEX('Aides'!$R$4:$R$503,396))=0,"",INDEX('Aides'!$R$4:$R$503,396))&amp;". ")&amp;IF(LEN(IF(LEN(INDEX('Aides'!$U$4:$U$503,396))=0,"",INDEX('Aides'!$U$4:$U$503,396)))=0,"","Owner: "&amp;IF(LEN(INDEX('Aides'!$U$4:$U$503,396))=0,"",INDEX('Aides'!$U$4:$U$503,396))&amp;". "))</f>
        <v/>
      </c>
      <c r="I1399">
        <f>""</f>
        <v/>
      </c>
      <c r="J1399">
        <f>IF(LEN(INDEX('Aides'!$V$4:$V$503,396))=0,"",INDEX('Aides'!$V$4:$V$503,396))</f>
        <v/>
      </c>
    </row>
    <row r="1400">
      <c r="A1400">
        <f>IF(AND(LEN('Aides'!A400)&gt;0,ISNUMBER('Aides'!O400)),1,0)</f>
        <v/>
      </c>
      <c r="B1400">
        <f>B1399+A1400</f>
        <v/>
      </c>
      <c r="C1400">
        <f>IF(1397&gt;$B$1503,"",MATCH(1397-0.5,$B$3:$B$1503,1))</f>
        <v/>
      </c>
      <c r="D1400">
        <f>"In-service hours due – "&amp;IF(LEN(INDEX('Aides'!$A$4:$A$503,397))=0,"",INDEX('Aides'!$A$4:$A$503,397))</f>
        <v/>
      </c>
      <c r="E1400">
        <f>IF(ISNUMBER(INDEX('Aides'!$O$4:$O$503,397)),TEXT(INDEX('Aides'!$O$4:$O$503,397),"yyyy-mm-dd"),"")</f>
        <v/>
      </c>
      <c r="F1400">
        <f>"Training"</f>
        <v/>
      </c>
      <c r="G1400">
        <f>"Medium"</f>
        <v/>
      </c>
      <c r="H1400">
        <f>TRIM(IF(LEN(IF(LEN(INDEX('Aides'!$P$4:$P$503,397))=0,"",INDEX('Aides'!$P$4:$P$503,397)))=0,"","Hours done: "&amp;IF(LEN(INDEX('Aides'!$P$4:$P$503,397))=0,"",INDEX('Aides'!$P$4:$P$503,397))&amp;". ")&amp;IF(LEN(IF(LEN(INDEX('Aides'!$Q$4:$Q$503,397))=0,"",INDEX('Aides'!$Q$4:$Q$503,397)))=0,"","Target: "&amp;IF(LEN(INDEX('Aides'!$Q$4:$Q$503,397))=0,"",INDEX('Aides'!$Q$4:$Q$503,397))&amp;". ")&amp;IF(LEN(IF(LEN(INDEX('Aides'!$R$4:$R$503,397))=0,"",INDEX('Aides'!$R$4:$R$503,397)))=0,"","Hours still needed: "&amp;IF(LEN(INDEX('Aides'!$R$4:$R$503,397))=0,"",INDEX('Aides'!$R$4:$R$503,397))&amp;". ")&amp;IF(LEN(IF(LEN(INDEX('Aides'!$U$4:$U$503,397))=0,"",INDEX('Aides'!$U$4:$U$503,397)))=0,"","Owner: "&amp;IF(LEN(INDEX('Aides'!$U$4:$U$503,397))=0,"",INDEX('Aides'!$U$4:$U$503,397))&amp;". "))</f>
        <v/>
      </c>
      <c r="I1400">
        <f>""</f>
        <v/>
      </c>
      <c r="J1400">
        <f>IF(LEN(INDEX('Aides'!$V$4:$V$503,397))=0,"",INDEX('Aides'!$V$4:$V$503,397))</f>
        <v/>
      </c>
    </row>
    <row r="1401">
      <c r="A1401">
        <f>IF(AND(LEN('Aides'!A401)&gt;0,ISNUMBER('Aides'!O401)),1,0)</f>
        <v/>
      </c>
      <c r="B1401">
        <f>B1400+A1401</f>
        <v/>
      </c>
      <c r="C1401">
        <f>IF(1398&gt;$B$1503,"",MATCH(1398-0.5,$B$3:$B$1503,1))</f>
        <v/>
      </c>
      <c r="D1401">
        <f>"In-service hours due – "&amp;IF(LEN(INDEX('Aides'!$A$4:$A$503,398))=0,"",INDEX('Aides'!$A$4:$A$503,398))</f>
        <v/>
      </c>
      <c r="E1401">
        <f>IF(ISNUMBER(INDEX('Aides'!$O$4:$O$503,398)),TEXT(INDEX('Aides'!$O$4:$O$503,398),"yyyy-mm-dd"),"")</f>
        <v/>
      </c>
      <c r="F1401">
        <f>"Training"</f>
        <v/>
      </c>
      <c r="G1401">
        <f>"Medium"</f>
        <v/>
      </c>
      <c r="H1401">
        <f>TRIM(IF(LEN(IF(LEN(INDEX('Aides'!$P$4:$P$503,398))=0,"",INDEX('Aides'!$P$4:$P$503,398)))=0,"","Hours done: "&amp;IF(LEN(INDEX('Aides'!$P$4:$P$503,398))=0,"",INDEX('Aides'!$P$4:$P$503,398))&amp;". ")&amp;IF(LEN(IF(LEN(INDEX('Aides'!$Q$4:$Q$503,398))=0,"",INDEX('Aides'!$Q$4:$Q$503,398)))=0,"","Target: "&amp;IF(LEN(INDEX('Aides'!$Q$4:$Q$503,398))=0,"",INDEX('Aides'!$Q$4:$Q$503,398))&amp;". ")&amp;IF(LEN(IF(LEN(INDEX('Aides'!$R$4:$R$503,398))=0,"",INDEX('Aides'!$R$4:$R$503,398)))=0,"","Hours still needed: "&amp;IF(LEN(INDEX('Aides'!$R$4:$R$503,398))=0,"",INDEX('Aides'!$R$4:$R$503,398))&amp;". ")&amp;IF(LEN(IF(LEN(INDEX('Aides'!$U$4:$U$503,398))=0,"",INDEX('Aides'!$U$4:$U$503,398)))=0,"","Owner: "&amp;IF(LEN(INDEX('Aides'!$U$4:$U$503,398))=0,"",INDEX('Aides'!$U$4:$U$503,398))&amp;". "))</f>
        <v/>
      </c>
      <c r="I1401">
        <f>""</f>
        <v/>
      </c>
      <c r="J1401">
        <f>IF(LEN(INDEX('Aides'!$V$4:$V$503,398))=0,"",INDEX('Aides'!$V$4:$V$503,398))</f>
        <v/>
      </c>
    </row>
    <row r="1402">
      <c r="A1402">
        <f>IF(AND(LEN('Aides'!A402)&gt;0,ISNUMBER('Aides'!O402)),1,0)</f>
        <v/>
      </c>
      <c r="B1402">
        <f>B1401+A1402</f>
        <v/>
      </c>
      <c r="C1402">
        <f>IF(1399&gt;$B$1503,"",MATCH(1399-0.5,$B$3:$B$1503,1))</f>
        <v/>
      </c>
      <c r="D1402">
        <f>"In-service hours due – "&amp;IF(LEN(INDEX('Aides'!$A$4:$A$503,399))=0,"",INDEX('Aides'!$A$4:$A$503,399))</f>
        <v/>
      </c>
      <c r="E1402">
        <f>IF(ISNUMBER(INDEX('Aides'!$O$4:$O$503,399)),TEXT(INDEX('Aides'!$O$4:$O$503,399),"yyyy-mm-dd"),"")</f>
        <v/>
      </c>
      <c r="F1402">
        <f>"Training"</f>
        <v/>
      </c>
      <c r="G1402">
        <f>"Medium"</f>
        <v/>
      </c>
      <c r="H1402">
        <f>TRIM(IF(LEN(IF(LEN(INDEX('Aides'!$P$4:$P$503,399))=0,"",INDEX('Aides'!$P$4:$P$503,399)))=0,"","Hours done: "&amp;IF(LEN(INDEX('Aides'!$P$4:$P$503,399))=0,"",INDEX('Aides'!$P$4:$P$503,399))&amp;". ")&amp;IF(LEN(IF(LEN(INDEX('Aides'!$Q$4:$Q$503,399))=0,"",INDEX('Aides'!$Q$4:$Q$503,399)))=0,"","Target: "&amp;IF(LEN(INDEX('Aides'!$Q$4:$Q$503,399))=0,"",INDEX('Aides'!$Q$4:$Q$503,399))&amp;". ")&amp;IF(LEN(IF(LEN(INDEX('Aides'!$R$4:$R$503,399))=0,"",INDEX('Aides'!$R$4:$R$503,399)))=0,"","Hours still needed: "&amp;IF(LEN(INDEX('Aides'!$R$4:$R$503,399))=0,"",INDEX('Aides'!$R$4:$R$503,399))&amp;". ")&amp;IF(LEN(IF(LEN(INDEX('Aides'!$U$4:$U$503,399))=0,"",INDEX('Aides'!$U$4:$U$503,399)))=0,"","Owner: "&amp;IF(LEN(INDEX('Aides'!$U$4:$U$503,399))=0,"",INDEX('Aides'!$U$4:$U$503,399))&amp;". "))</f>
        <v/>
      </c>
      <c r="I1402">
        <f>""</f>
        <v/>
      </c>
      <c r="J1402">
        <f>IF(LEN(INDEX('Aides'!$V$4:$V$503,399))=0,"",INDEX('Aides'!$V$4:$V$503,399))</f>
        <v/>
      </c>
    </row>
    <row r="1403">
      <c r="A1403">
        <f>IF(AND(LEN('Aides'!A403)&gt;0,ISNUMBER('Aides'!O403)),1,0)</f>
        <v/>
      </c>
      <c r="B1403">
        <f>B1402+A1403</f>
        <v/>
      </c>
      <c r="C1403">
        <f>IF(1400&gt;$B$1503,"",MATCH(1400-0.5,$B$3:$B$1503,1))</f>
        <v/>
      </c>
      <c r="D1403">
        <f>"In-service hours due – "&amp;IF(LEN(INDEX('Aides'!$A$4:$A$503,400))=0,"",INDEX('Aides'!$A$4:$A$503,400))</f>
        <v/>
      </c>
      <c r="E1403">
        <f>IF(ISNUMBER(INDEX('Aides'!$O$4:$O$503,400)),TEXT(INDEX('Aides'!$O$4:$O$503,400),"yyyy-mm-dd"),"")</f>
        <v/>
      </c>
      <c r="F1403">
        <f>"Training"</f>
        <v/>
      </c>
      <c r="G1403">
        <f>"Medium"</f>
        <v/>
      </c>
      <c r="H1403">
        <f>TRIM(IF(LEN(IF(LEN(INDEX('Aides'!$P$4:$P$503,400))=0,"",INDEX('Aides'!$P$4:$P$503,400)))=0,"","Hours done: "&amp;IF(LEN(INDEX('Aides'!$P$4:$P$503,400))=0,"",INDEX('Aides'!$P$4:$P$503,400))&amp;". ")&amp;IF(LEN(IF(LEN(INDEX('Aides'!$Q$4:$Q$503,400))=0,"",INDEX('Aides'!$Q$4:$Q$503,400)))=0,"","Target: "&amp;IF(LEN(INDEX('Aides'!$Q$4:$Q$503,400))=0,"",INDEX('Aides'!$Q$4:$Q$503,400))&amp;". ")&amp;IF(LEN(IF(LEN(INDEX('Aides'!$R$4:$R$503,400))=0,"",INDEX('Aides'!$R$4:$R$503,400)))=0,"","Hours still needed: "&amp;IF(LEN(INDEX('Aides'!$R$4:$R$503,400))=0,"",INDEX('Aides'!$R$4:$R$503,400))&amp;". ")&amp;IF(LEN(IF(LEN(INDEX('Aides'!$U$4:$U$503,400))=0,"",INDEX('Aides'!$U$4:$U$503,400)))=0,"","Owner: "&amp;IF(LEN(INDEX('Aides'!$U$4:$U$503,400))=0,"",INDEX('Aides'!$U$4:$U$503,400))&amp;". "))</f>
        <v/>
      </c>
      <c r="I1403">
        <f>""</f>
        <v/>
      </c>
      <c r="J1403">
        <f>IF(LEN(INDEX('Aides'!$V$4:$V$503,400))=0,"",INDEX('Aides'!$V$4:$V$503,400))</f>
        <v/>
      </c>
    </row>
    <row r="1404">
      <c r="A1404">
        <f>IF(AND(LEN('Aides'!A404)&gt;0,ISNUMBER('Aides'!O404)),1,0)</f>
        <v/>
      </c>
      <c r="B1404">
        <f>B1403+A1404</f>
        <v/>
      </c>
      <c r="C1404">
        <f>IF(1401&gt;$B$1503,"",MATCH(1401-0.5,$B$3:$B$1503,1))</f>
        <v/>
      </c>
      <c r="D1404">
        <f>"In-service hours due – "&amp;IF(LEN(INDEX('Aides'!$A$4:$A$503,401))=0,"",INDEX('Aides'!$A$4:$A$503,401))</f>
        <v/>
      </c>
      <c r="E1404">
        <f>IF(ISNUMBER(INDEX('Aides'!$O$4:$O$503,401)),TEXT(INDEX('Aides'!$O$4:$O$503,401),"yyyy-mm-dd"),"")</f>
        <v/>
      </c>
      <c r="F1404">
        <f>"Training"</f>
        <v/>
      </c>
      <c r="G1404">
        <f>"Medium"</f>
        <v/>
      </c>
      <c r="H1404">
        <f>TRIM(IF(LEN(IF(LEN(INDEX('Aides'!$P$4:$P$503,401))=0,"",INDEX('Aides'!$P$4:$P$503,401)))=0,"","Hours done: "&amp;IF(LEN(INDEX('Aides'!$P$4:$P$503,401))=0,"",INDEX('Aides'!$P$4:$P$503,401))&amp;". ")&amp;IF(LEN(IF(LEN(INDEX('Aides'!$Q$4:$Q$503,401))=0,"",INDEX('Aides'!$Q$4:$Q$503,401)))=0,"","Target: "&amp;IF(LEN(INDEX('Aides'!$Q$4:$Q$503,401))=0,"",INDEX('Aides'!$Q$4:$Q$503,401))&amp;". ")&amp;IF(LEN(IF(LEN(INDEX('Aides'!$R$4:$R$503,401))=0,"",INDEX('Aides'!$R$4:$R$503,401)))=0,"","Hours still needed: "&amp;IF(LEN(INDEX('Aides'!$R$4:$R$503,401))=0,"",INDEX('Aides'!$R$4:$R$503,401))&amp;". ")&amp;IF(LEN(IF(LEN(INDEX('Aides'!$U$4:$U$503,401))=0,"",INDEX('Aides'!$U$4:$U$503,401)))=0,"","Owner: "&amp;IF(LEN(INDEX('Aides'!$U$4:$U$503,401))=0,"",INDEX('Aides'!$U$4:$U$503,401))&amp;". "))</f>
        <v/>
      </c>
      <c r="I1404">
        <f>""</f>
        <v/>
      </c>
      <c r="J1404">
        <f>IF(LEN(INDEX('Aides'!$V$4:$V$503,401))=0,"",INDEX('Aides'!$V$4:$V$503,401))</f>
        <v/>
      </c>
    </row>
    <row r="1405">
      <c r="A1405">
        <f>IF(AND(LEN('Aides'!A405)&gt;0,ISNUMBER('Aides'!O405)),1,0)</f>
        <v/>
      </c>
      <c r="B1405">
        <f>B1404+A1405</f>
        <v/>
      </c>
      <c r="C1405">
        <f>IF(1402&gt;$B$1503,"",MATCH(1402-0.5,$B$3:$B$1503,1))</f>
        <v/>
      </c>
      <c r="D1405">
        <f>"In-service hours due – "&amp;IF(LEN(INDEX('Aides'!$A$4:$A$503,402))=0,"",INDEX('Aides'!$A$4:$A$503,402))</f>
        <v/>
      </c>
      <c r="E1405">
        <f>IF(ISNUMBER(INDEX('Aides'!$O$4:$O$503,402)),TEXT(INDEX('Aides'!$O$4:$O$503,402),"yyyy-mm-dd"),"")</f>
        <v/>
      </c>
      <c r="F1405">
        <f>"Training"</f>
        <v/>
      </c>
      <c r="G1405">
        <f>"Medium"</f>
        <v/>
      </c>
      <c r="H1405">
        <f>TRIM(IF(LEN(IF(LEN(INDEX('Aides'!$P$4:$P$503,402))=0,"",INDEX('Aides'!$P$4:$P$503,402)))=0,"","Hours done: "&amp;IF(LEN(INDEX('Aides'!$P$4:$P$503,402))=0,"",INDEX('Aides'!$P$4:$P$503,402))&amp;". ")&amp;IF(LEN(IF(LEN(INDEX('Aides'!$Q$4:$Q$503,402))=0,"",INDEX('Aides'!$Q$4:$Q$503,402)))=0,"","Target: "&amp;IF(LEN(INDEX('Aides'!$Q$4:$Q$503,402))=0,"",INDEX('Aides'!$Q$4:$Q$503,402))&amp;". ")&amp;IF(LEN(IF(LEN(INDEX('Aides'!$R$4:$R$503,402))=0,"",INDEX('Aides'!$R$4:$R$503,402)))=0,"","Hours still needed: "&amp;IF(LEN(INDEX('Aides'!$R$4:$R$503,402))=0,"",INDEX('Aides'!$R$4:$R$503,402))&amp;". ")&amp;IF(LEN(IF(LEN(INDEX('Aides'!$U$4:$U$503,402))=0,"",INDEX('Aides'!$U$4:$U$503,402)))=0,"","Owner: "&amp;IF(LEN(INDEX('Aides'!$U$4:$U$503,402))=0,"",INDEX('Aides'!$U$4:$U$503,402))&amp;". "))</f>
        <v/>
      </c>
      <c r="I1405">
        <f>""</f>
        <v/>
      </c>
      <c r="J1405">
        <f>IF(LEN(INDEX('Aides'!$V$4:$V$503,402))=0,"",INDEX('Aides'!$V$4:$V$503,402))</f>
        <v/>
      </c>
    </row>
    <row r="1406">
      <c r="A1406">
        <f>IF(AND(LEN('Aides'!A406)&gt;0,ISNUMBER('Aides'!O406)),1,0)</f>
        <v/>
      </c>
      <c r="B1406">
        <f>B1405+A1406</f>
        <v/>
      </c>
      <c r="C1406">
        <f>IF(1403&gt;$B$1503,"",MATCH(1403-0.5,$B$3:$B$1503,1))</f>
        <v/>
      </c>
      <c r="D1406">
        <f>"In-service hours due – "&amp;IF(LEN(INDEX('Aides'!$A$4:$A$503,403))=0,"",INDEX('Aides'!$A$4:$A$503,403))</f>
        <v/>
      </c>
      <c r="E1406">
        <f>IF(ISNUMBER(INDEX('Aides'!$O$4:$O$503,403)),TEXT(INDEX('Aides'!$O$4:$O$503,403),"yyyy-mm-dd"),"")</f>
        <v/>
      </c>
      <c r="F1406">
        <f>"Training"</f>
        <v/>
      </c>
      <c r="G1406">
        <f>"Medium"</f>
        <v/>
      </c>
      <c r="H1406">
        <f>TRIM(IF(LEN(IF(LEN(INDEX('Aides'!$P$4:$P$503,403))=0,"",INDEX('Aides'!$P$4:$P$503,403)))=0,"","Hours done: "&amp;IF(LEN(INDEX('Aides'!$P$4:$P$503,403))=0,"",INDEX('Aides'!$P$4:$P$503,403))&amp;". ")&amp;IF(LEN(IF(LEN(INDEX('Aides'!$Q$4:$Q$503,403))=0,"",INDEX('Aides'!$Q$4:$Q$503,403)))=0,"","Target: "&amp;IF(LEN(INDEX('Aides'!$Q$4:$Q$503,403))=0,"",INDEX('Aides'!$Q$4:$Q$503,403))&amp;". ")&amp;IF(LEN(IF(LEN(INDEX('Aides'!$R$4:$R$503,403))=0,"",INDEX('Aides'!$R$4:$R$503,403)))=0,"","Hours still needed: "&amp;IF(LEN(INDEX('Aides'!$R$4:$R$503,403))=0,"",INDEX('Aides'!$R$4:$R$503,403))&amp;". ")&amp;IF(LEN(IF(LEN(INDEX('Aides'!$U$4:$U$503,403))=0,"",INDEX('Aides'!$U$4:$U$503,403)))=0,"","Owner: "&amp;IF(LEN(INDEX('Aides'!$U$4:$U$503,403))=0,"",INDEX('Aides'!$U$4:$U$503,403))&amp;". "))</f>
        <v/>
      </c>
      <c r="I1406">
        <f>""</f>
        <v/>
      </c>
      <c r="J1406">
        <f>IF(LEN(INDEX('Aides'!$V$4:$V$503,403))=0,"",INDEX('Aides'!$V$4:$V$503,403))</f>
        <v/>
      </c>
    </row>
    <row r="1407">
      <c r="A1407">
        <f>IF(AND(LEN('Aides'!A407)&gt;0,ISNUMBER('Aides'!O407)),1,0)</f>
        <v/>
      </c>
      <c r="B1407">
        <f>B1406+A1407</f>
        <v/>
      </c>
      <c r="C1407">
        <f>IF(1404&gt;$B$1503,"",MATCH(1404-0.5,$B$3:$B$1503,1))</f>
        <v/>
      </c>
      <c r="D1407">
        <f>"In-service hours due – "&amp;IF(LEN(INDEX('Aides'!$A$4:$A$503,404))=0,"",INDEX('Aides'!$A$4:$A$503,404))</f>
        <v/>
      </c>
      <c r="E1407">
        <f>IF(ISNUMBER(INDEX('Aides'!$O$4:$O$503,404)),TEXT(INDEX('Aides'!$O$4:$O$503,404),"yyyy-mm-dd"),"")</f>
        <v/>
      </c>
      <c r="F1407">
        <f>"Training"</f>
        <v/>
      </c>
      <c r="G1407">
        <f>"Medium"</f>
        <v/>
      </c>
      <c r="H1407">
        <f>TRIM(IF(LEN(IF(LEN(INDEX('Aides'!$P$4:$P$503,404))=0,"",INDEX('Aides'!$P$4:$P$503,404)))=0,"","Hours done: "&amp;IF(LEN(INDEX('Aides'!$P$4:$P$503,404))=0,"",INDEX('Aides'!$P$4:$P$503,404))&amp;". ")&amp;IF(LEN(IF(LEN(INDEX('Aides'!$Q$4:$Q$503,404))=0,"",INDEX('Aides'!$Q$4:$Q$503,404)))=0,"","Target: "&amp;IF(LEN(INDEX('Aides'!$Q$4:$Q$503,404))=0,"",INDEX('Aides'!$Q$4:$Q$503,404))&amp;". ")&amp;IF(LEN(IF(LEN(INDEX('Aides'!$R$4:$R$503,404))=0,"",INDEX('Aides'!$R$4:$R$503,404)))=0,"","Hours still needed: "&amp;IF(LEN(INDEX('Aides'!$R$4:$R$503,404))=0,"",INDEX('Aides'!$R$4:$R$503,404))&amp;". ")&amp;IF(LEN(IF(LEN(INDEX('Aides'!$U$4:$U$503,404))=0,"",INDEX('Aides'!$U$4:$U$503,404)))=0,"","Owner: "&amp;IF(LEN(INDEX('Aides'!$U$4:$U$503,404))=0,"",INDEX('Aides'!$U$4:$U$503,404))&amp;". "))</f>
        <v/>
      </c>
      <c r="I1407">
        <f>""</f>
        <v/>
      </c>
      <c r="J1407">
        <f>IF(LEN(INDEX('Aides'!$V$4:$V$503,404))=0,"",INDEX('Aides'!$V$4:$V$503,404))</f>
        <v/>
      </c>
    </row>
    <row r="1408">
      <c r="A1408">
        <f>IF(AND(LEN('Aides'!A408)&gt;0,ISNUMBER('Aides'!O408)),1,0)</f>
        <v/>
      </c>
      <c r="B1408">
        <f>B1407+A1408</f>
        <v/>
      </c>
      <c r="C1408">
        <f>IF(1405&gt;$B$1503,"",MATCH(1405-0.5,$B$3:$B$1503,1))</f>
        <v/>
      </c>
      <c r="D1408">
        <f>"In-service hours due – "&amp;IF(LEN(INDEX('Aides'!$A$4:$A$503,405))=0,"",INDEX('Aides'!$A$4:$A$503,405))</f>
        <v/>
      </c>
      <c r="E1408">
        <f>IF(ISNUMBER(INDEX('Aides'!$O$4:$O$503,405)),TEXT(INDEX('Aides'!$O$4:$O$503,405),"yyyy-mm-dd"),"")</f>
        <v/>
      </c>
      <c r="F1408">
        <f>"Training"</f>
        <v/>
      </c>
      <c r="G1408">
        <f>"Medium"</f>
        <v/>
      </c>
      <c r="H1408">
        <f>TRIM(IF(LEN(IF(LEN(INDEX('Aides'!$P$4:$P$503,405))=0,"",INDEX('Aides'!$P$4:$P$503,405)))=0,"","Hours done: "&amp;IF(LEN(INDEX('Aides'!$P$4:$P$503,405))=0,"",INDEX('Aides'!$P$4:$P$503,405))&amp;". ")&amp;IF(LEN(IF(LEN(INDEX('Aides'!$Q$4:$Q$503,405))=0,"",INDEX('Aides'!$Q$4:$Q$503,405)))=0,"","Target: "&amp;IF(LEN(INDEX('Aides'!$Q$4:$Q$503,405))=0,"",INDEX('Aides'!$Q$4:$Q$503,405))&amp;". ")&amp;IF(LEN(IF(LEN(INDEX('Aides'!$R$4:$R$503,405))=0,"",INDEX('Aides'!$R$4:$R$503,405)))=0,"","Hours still needed: "&amp;IF(LEN(INDEX('Aides'!$R$4:$R$503,405))=0,"",INDEX('Aides'!$R$4:$R$503,405))&amp;". ")&amp;IF(LEN(IF(LEN(INDEX('Aides'!$U$4:$U$503,405))=0,"",INDEX('Aides'!$U$4:$U$503,405)))=0,"","Owner: "&amp;IF(LEN(INDEX('Aides'!$U$4:$U$503,405))=0,"",INDEX('Aides'!$U$4:$U$503,405))&amp;". "))</f>
        <v/>
      </c>
      <c r="I1408">
        <f>""</f>
        <v/>
      </c>
      <c r="J1408">
        <f>IF(LEN(INDEX('Aides'!$V$4:$V$503,405))=0,"",INDEX('Aides'!$V$4:$V$503,405))</f>
        <v/>
      </c>
    </row>
    <row r="1409">
      <c r="A1409">
        <f>IF(AND(LEN('Aides'!A409)&gt;0,ISNUMBER('Aides'!O409)),1,0)</f>
        <v/>
      </c>
      <c r="B1409">
        <f>B1408+A1409</f>
        <v/>
      </c>
      <c r="C1409">
        <f>IF(1406&gt;$B$1503,"",MATCH(1406-0.5,$B$3:$B$1503,1))</f>
        <v/>
      </c>
      <c r="D1409">
        <f>"In-service hours due – "&amp;IF(LEN(INDEX('Aides'!$A$4:$A$503,406))=0,"",INDEX('Aides'!$A$4:$A$503,406))</f>
        <v/>
      </c>
      <c r="E1409">
        <f>IF(ISNUMBER(INDEX('Aides'!$O$4:$O$503,406)),TEXT(INDEX('Aides'!$O$4:$O$503,406),"yyyy-mm-dd"),"")</f>
        <v/>
      </c>
      <c r="F1409">
        <f>"Training"</f>
        <v/>
      </c>
      <c r="G1409">
        <f>"Medium"</f>
        <v/>
      </c>
      <c r="H1409">
        <f>TRIM(IF(LEN(IF(LEN(INDEX('Aides'!$P$4:$P$503,406))=0,"",INDEX('Aides'!$P$4:$P$503,406)))=0,"","Hours done: "&amp;IF(LEN(INDEX('Aides'!$P$4:$P$503,406))=0,"",INDEX('Aides'!$P$4:$P$503,406))&amp;". ")&amp;IF(LEN(IF(LEN(INDEX('Aides'!$Q$4:$Q$503,406))=0,"",INDEX('Aides'!$Q$4:$Q$503,406)))=0,"","Target: "&amp;IF(LEN(INDEX('Aides'!$Q$4:$Q$503,406))=0,"",INDEX('Aides'!$Q$4:$Q$503,406))&amp;". ")&amp;IF(LEN(IF(LEN(INDEX('Aides'!$R$4:$R$503,406))=0,"",INDEX('Aides'!$R$4:$R$503,406)))=0,"","Hours still needed: "&amp;IF(LEN(INDEX('Aides'!$R$4:$R$503,406))=0,"",INDEX('Aides'!$R$4:$R$503,406))&amp;". ")&amp;IF(LEN(IF(LEN(INDEX('Aides'!$U$4:$U$503,406))=0,"",INDEX('Aides'!$U$4:$U$503,406)))=0,"","Owner: "&amp;IF(LEN(INDEX('Aides'!$U$4:$U$503,406))=0,"",INDEX('Aides'!$U$4:$U$503,406))&amp;". "))</f>
        <v/>
      </c>
      <c r="I1409">
        <f>""</f>
        <v/>
      </c>
      <c r="J1409">
        <f>IF(LEN(INDEX('Aides'!$V$4:$V$503,406))=0,"",INDEX('Aides'!$V$4:$V$503,406))</f>
        <v/>
      </c>
    </row>
    <row r="1410">
      <c r="A1410">
        <f>IF(AND(LEN('Aides'!A410)&gt;0,ISNUMBER('Aides'!O410)),1,0)</f>
        <v/>
      </c>
      <c r="B1410">
        <f>B1409+A1410</f>
        <v/>
      </c>
      <c r="C1410">
        <f>IF(1407&gt;$B$1503,"",MATCH(1407-0.5,$B$3:$B$1503,1))</f>
        <v/>
      </c>
      <c r="D1410">
        <f>"In-service hours due – "&amp;IF(LEN(INDEX('Aides'!$A$4:$A$503,407))=0,"",INDEX('Aides'!$A$4:$A$503,407))</f>
        <v/>
      </c>
      <c r="E1410">
        <f>IF(ISNUMBER(INDEX('Aides'!$O$4:$O$503,407)),TEXT(INDEX('Aides'!$O$4:$O$503,407),"yyyy-mm-dd"),"")</f>
        <v/>
      </c>
      <c r="F1410">
        <f>"Training"</f>
        <v/>
      </c>
      <c r="G1410">
        <f>"Medium"</f>
        <v/>
      </c>
      <c r="H1410">
        <f>TRIM(IF(LEN(IF(LEN(INDEX('Aides'!$P$4:$P$503,407))=0,"",INDEX('Aides'!$P$4:$P$503,407)))=0,"","Hours done: "&amp;IF(LEN(INDEX('Aides'!$P$4:$P$503,407))=0,"",INDEX('Aides'!$P$4:$P$503,407))&amp;". ")&amp;IF(LEN(IF(LEN(INDEX('Aides'!$Q$4:$Q$503,407))=0,"",INDEX('Aides'!$Q$4:$Q$503,407)))=0,"","Target: "&amp;IF(LEN(INDEX('Aides'!$Q$4:$Q$503,407))=0,"",INDEX('Aides'!$Q$4:$Q$503,407))&amp;". ")&amp;IF(LEN(IF(LEN(INDEX('Aides'!$R$4:$R$503,407))=0,"",INDEX('Aides'!$R$4:$R$503,407)))=0,"","Hours still needed: "&amp;IF(LEN(INDEX('Aides'!$R$4:$R$503,407))=0,"",INDEX('Aides'!$R$4:$R$503,407))&amp;". ")&amp;IF(LEN(IF(LEN(INDEX('Aides'!$U$4:$U$503,407))=0,"",INDEX('Aides'!$U$4:$U$503,407)))=0,"","Owner: "&amp;IF(LEN(INDEX('Aides'!$U$4:$U$503,407))=0,"",INDEX('Aides'!$U$4:$U$503,407))&amp;". "))</f>
        <v/>
      </c>
      <c r="I1410">
        <f>""</f>
        <v/>
      </c>
      <c r="J1410">
        <f>IF(LEN(INDEX('Aides'!$V$4:$V$503,407))=0,"",INDEX('Aides'!$V$4:$V$503,407))</f>
        <v/>
      </c>
    </row>
    <row r="1411">
      <c r="A1411">
        <f>IF(AND(LEN('Aides'!A411)&gt;0,ISNUMBER('Aides'!O411)),1,0)</f>
        <v/>
      </c>
      <c r="B1411">
        <f>B1410+A1411</f>
        <v/>
      </c>
      <c r="C1411">
        <f>IF(1408&gt;$B$1503,"",MATCH(1408-0.5,$B$3:$B$1503,1))</f>
        <v/>
      </c>
      <c r="D1411">
        <f>"In-service hours due – "&amp;IF(LEN(INDEX('Aides'!$A$4:$A$503,408))=0,"",INDEX('Aides'!$A$4:$A$503,408))</f>
        <v/>
      </c>
      <c r="E1411">
        <f>IF(ISNUMBER(INDEX('Aides'!$O$4:$O$503,408)),TEXT(INDEX('Aides'!$O$4:$O$503,408),"yyyy-mm-dd"),"")</f>
        <v/>
      </c>
      <c r="F1411">
        <f>"Training"</f>
        <v/>
      </c>
      <c r="G1411">
        <f>"Medium"</f>
        <v/>
      </c>
      <c r="H1411">
        <f>TRIM(IF(LEN(IF(LEN(INDEX('Aides'!$P$4:$P$503,408))=0,"",INDEX('Aides'!$P$4:$P$503,408)))=0,"","Hours done: "&amp;IF(LEN(INDEX('Aides'!$P$4:$P$503,408))=0,"",INDEX('Aides'!$P$4:$P$503,408))&amp;". ")&amp;IF(LEN(IF(LEN(INDEX('Aides'!$Q$4:$Q$503,408))=0,"",INDEX('Aides'!$Q$4:$Q$503,408)))=0,"","Target: "&amp;IF(LEN(INDEX('Aides'!$Q$4:$Q$503,408))=0,"",INDEX('Aides'!$Q$4:$Q$503,408))&amp;". ")&amp;IF(LEN(IF(LEN(INDEX('Aides'!$R$4:$R$503,408))=0,"",INDEX('Aides'!$R$4:$R$503,408)))=0,"","Hours still needed: "&amp;IF(LEN(INDEX('Aides'!$R$4:$R$503,408))=0,"",INDEX('Aides'!$R$4:$R$503,408))&amp;". ")&amp;IF(LEN(IF(LEN(INDEX('Aides'!$U$4:$U$503,408))=0,"",INDEX('Aides'!$U$4:$U$503,408)))=0,"","Owner: "&amp;IF(LEN(INDEX('Aides'!$U$4:$U$503,408))=0,"",INDEX('Aides'!$U$4:$U$503,408))&amp;". "))</f>
        <v/>
      </c>
      <c r="I1411">
        <f>""</f>
        <v/>
      </c>
      <c r="J1411">
        <f>IF(LEN(INDEX('Aides'!$V$4:$V$503,408))=0,"",INDEX('Aides'!$V$4:$V$503,408))</f>
        <v/>
      </c>
    </row>
    <row r="1412">
      <c r="A1412">
        <f>IF(AND(LEN('Aides'!A412)&gt;0,ISNUMBER('Aides'!O412)),1,0)</f>
        <v/>
      </c>
      <c r="B1412">
        <f>B1411+A1412</f>
        <v/>
      </c>
      <c r="C1412">
        <f>IF(1409&gt;$B$1503,"",MATCH(1409-0.5,$B$3:$B$1503,1))</f>
        <v/>
      </c>
      <c r="D1412">
        <f>"In-service hours due – "&amp;IF(LEN(INDEX('Aides'!$A$4:$A$503,409))=0,"",INDEX('Aides'!$A$4:$A$503,409))</f>
        <v/>
      </c>
      <c r="E1412">
        <f>IF(ISNUMBER(INDEX('Aides'!$O$4:$O$503,409)),TEXT(INDEX('Aides'!$O$4:$O$503,409),"yyyy-mm-dd"),"")</f>
        <v/>
      </c>
      <c r="F1412">
        <f>"Training"</f>
        <v/>
      </c>
      <c r="G1412">
        <f>"Medium"</f>
        <v/>
      </c>
      <c r="H1412">
        <f>TRIM(IF(LEN(IF(LEN(INDEX('Aides'!$P$4:$P$503,409))=0,"",INDEX('Aides'!$P$4:$P$503,409)))=0,"","Hours done: "&amp;IF(LEN(INDEX('Aides'!$P$4:$P$503,409))=0,"",INDEX('Aides'!$P$4:$P$503,409))&amp;". ")&amp;IF(LEN(IF(LEN(INDEX('Aides'!$Q$4:$Q$503,409))=0,"",INDEX('Aides'!$Q$4:$Q$503,409)))=0,"","Target: "&amp;IF(LEN(INDEX('Aides'!$Q$4:$Q$503,409))=0,"",INDEX('Aides'!$Q$4:$Q$503,409))&amp;". ")&amp;IF(LEN(IF(LEN(INDEX('Aides'!$R$4:$R$503,409))=0,"",INDEX('Aides'!$R$4:$R$503,409)))=0,"","Hours still needed: "&amp;IF(LEN(INDEX('Aides'!$R$4:$R$503,409))=0,"",INDEX('Aides'!$R$4:$R$503,409))&amp;". ")&amp;IF(LEN(IF(LEN(INDEX('Aides'!$U$4:$U$503,409))=0,"",INDEX('Aides'!$U$4:$U$503,409)))=0,"","Owner: "&amp;IF(LEN(INDEX('Aides'!$U$4:$U$503,409))=0,"",INDEX('Aides'!$U$4:$U$503,409))&amp;". "))</f>
        <v/>
      </c>
      <c r="I1412">
        <f>""</f>
        <v/>
      </c>
      <c r="J1412">
        <f>IF(LEN(INDEX('Aides'!$V$4:$V$503,409))=0,"",INDEX('Aides'!$V$4:$V$503,409))</f>
        <v/>
      </c>
    </row>
    <row r="1413">
      <c r="A1413">
        <f>IF(AND(LEN('Aides'!A413)&gt;0,ISNUMBER('Aides'!O413)),1,0)</f>
        <v/>
      </c>
      <c r="B1413">
        <f>B1412+A1413</f>
        <v/>
      </c>
      <c r="C1413">
        <f>IF(1410&gt;$B$1503,"",MATCH(1410-0.5,$B$3:$B$1503,1))</f>
        <v/>
      </c>
      <c r="D1413">
        <f>"In-service hours due – "&amp;IF(LEN(INDEX('Aides'!$A$4:$A$503,410))=0,"",INDEX('Aides'!$A$4:$A$503,410))</f>
        <v/>
      </c>
      <c r="E1413">
        <f>IF(ISNUMBER(INDEX('Aides'!$O$4:$O$503,410)),TEXT(INDEX('Aides'!$O$4:$O$503,410),"yyyy-mm-dd"),"")</f>
        <v/>
      </c>
      <c r="F1413">
        <f>"Training"</f>
        <v/>
      </c>
      <c r="G1413">
        <f>"Medium"</f>
        <v/>
      </c>
      <c r="H1413">
        <f>TRIM(IF(LEN(IF(LEN(INDEX('Aides'!$P$4:$P$503,410))=0,"",INDEX('Aides'!$P$4:$P$503,410)))=0,"","Hours done: "&amp;IF(LEN(INDEX('Aides'!$P$4:$P$503,410))=0,"",INDEX('Aides'!$P$4:$P$503,410))&amp;". ")&amp;IF(LEN(IF(LEN(INDEX('Aides'!$Q$4:$Q$503,410))=0,"",INDEX('Aides'!$Q$4:$Q$503,410)))=0,"","Target: "&amp;IF(LEN(INDEX('Aides'!$Q$4:$Q$503,410))=0,"",INDEX('Aides'!$Q$4:$Q$503,410))&amp;". ")&amp;IF(LEN(IF(LEN(INDEX('Aides'!$R$4:$R$503,410))=0,"",INDEX('Aides'!$R$4:$R$503,410)))=0,"","Hours still needed: "&amp;IF(LEN(INDEX('Aides'!$R$4:$R$503,410))=0,"",INDEX('Aides'!$R$4:$R$503,410))&amp;". ")&amp;IF(LEN(IF(LEN(INDEX('Aides'!$U$4:$U$503,410))=0,"",INDEX('Aides'!$U$4:$U$503,410)))=0,"","Owner: "&amp;IF(LEN(INDEX('Aides'!$U$4:$U$503,410))=0,"",INDEX('Aides'!$U$4:$U$503,410))&amp;". "))</f>
        <v/>
      </c>
      <c r="I1413">
        <f>""</f>
        <v/>
      </c>
      <c r="J1413">
        <f>IF(LEN(INDEX('Aides'!$V$4:$V$503,410))=0,"",INDEX('Aides'!$V$4:$V$503,410))</f>
        <v/>
      </c>
    </row>
    <row r="1414">
      <c r="A1414">
        <f>IF(AND(LEN('Aides'!A414)&gt;0,ISNUMBER('Aides'!O414)),1,0)</f>
        <v/>
      </c>
      <c r="B1414">
        <f>B1413+A1414</f>
        <v/>
      </c>
      <c r="C1414">
        <f>IF(1411&gt;$B$1503,"",MATCH(1411-0.5,$B$3:$B$1503,1))</f>
        <v/>
      </c>
      <c r="D1414">
        <f>"In-service hours due – "&amp;IF(LEN(INDEX('Aides'!$A$4:$A$503,411))=0,"",INDEX('Aides'!$A$4:$A$503,411))</f>
        <v/>
      </c>
      <c r="E1414">
        <f>IF(ISNUMBER(INDEX('Aides'!$O$4:$O$503,411)),TEXT(INDEX('Aides'!$O$4:$O$503,411),"yyyy-mm-dd"),"")</f>
        <v/>
      </c>
      <c r="F1414">
        <f>"Training"</f>
        <v/>
      </c>
      <c r="G1414">
        <f>"Medium"</f>
        <v/>
      </c>
      <c r="H1414">
        <f>TRIM(IF(LEN(IF(LEN(INDEX('Aides'!$P$4:$P$503,411))=0,"",INDEX('Aides'!$P$4:$P$503,411)))=0,"","Hours done: "&amp;IF(LEN(INDEX('Aides'!$P$4:$P$503,411))=0,"",INDEX('Aides'!$P$4:$P$503,411))&amp;". ")&amp;IF(LEN(IF(LEN(INDEX('Aides'!$Q$4:$Q$503,411))=0,"",INDEX('Aides'!$Q$4:$Q$503,411)))=0,"","Target: "&amp;IF(LEN(INDEX('Aides'!$Q$4:$Q$503,411))=0,"",INDEX('Aides'!$Q$4:$Q$503,411))&amp;". ")&amp;IF(LEN(IF(LEN(INDEX('Aides'!$R$4:$R$503,411))=0,"",INDEX('Aides'!$R$4:$R$503,411)))=0,"","Hours still needed: "&amp;IF(LEN(INDEX('Aides'!$R$4:$R$503,411))=0,"",INDEX('Aides'!$R$4:$R$503,411))&amp;". ")&amp;IF(LEN(IF(LEN(INDEX('Aides'!$U$4:$U$503,411))=0,"",INDEX('Aides'!$U$4:$U$503,411)))=0,"","Owner: "&amp;IF(LEN(INDEX('Aides'!$U$4:$U$503,411))=0,"",INDEX('Aides'!$U$4:$U$503,411))&amp;". "))</f>
        <v/>
      </c>
      <c r="I1414">
        <f>""</f>
        <v/>
      </c>
      <c r="J1414">
        <f>IF(LEN(INDEX('Aides'!$V$4:$V$503,411))=0,"",INDEX('Aides'!$V$4:$V$503,411))</f>
        <v/>
      </c>
    </row>
    <row r="1415">
      <c r="A1415">
        <f>IF(AND(LEN('Aides'!A415)&gt;0,ISNUMBER('Aides'!O415)),1,0)</f>
        <v/>
      </c>
      <c r="B1415">
        <f>B1414+A1415</f>
        <v/>
      </c>
      <c r="C1415">
        <f>IF(1412&gt;$B$1503,"",MATCH(1412-0.5,$B$3:$B$1503,1))</f>
        <v/>
      </c>
      <c r="D1415">
        <f>"In-service hours due – "&amp;IF(LEN(INDEX('Aides'!$A$4:$A$503,412))=0,"",INDEX('Aides'!$A$4:$A$503,412))</f>
        <v/>
      </c>
      <c r="E1415">
        <f>IF(ISNUMBER(INDEX('Aides'!$O$4:$O$503,412)),TEXT(INDEX('Aides'!$O$4:$O$503,412),"yyyy-mm-dd"),"")</f>
        <v/>
      </c>
      <c r="F1415">
        <f>"Training"</f>
        <v/>
      </c>
      <c r="G1415">
        <f>"Medium"</f>
        <v/>
      </c>
      <c r="H1415">
        <f>TRIM(IF(LEN(IF(LEN(INDEX('Aides'!$P$4:$P$503,412))=0,"",INDEX('Aides'!$P$4:$P$503,412)))=0,"","Hours done: "&amp;IF(LEN(INDEX('Aides'!$P$4:$P$503,412))=0,"",INDEX('Aides'!$P$4:$P$503,412))&amp;". ")&amp;IF(LEN(IF(LEN(INDEX('Aides'!$Q$4:$Q$503,412))=0,"",INDEX('Aides'!$Q$4:$Q$503,412)))=0,"","Target: "&amp;IF(LEN(INDEX('Aides'!$Q$4:$Q$503,412))=0,"",INDEX('Aides'!$Q$4:$Q$503,412))&amp;". ")&amp;IF(LEN(IF(LEN(INDEX('Aides'!$R$4:$R$503,412))=0,"",INDEX('Aides'!$R$4:$R$503,412)))=0,"","Hours still needed: "&amp;IF(LEN(INDEX('Aides'!$R$4:$R$503,412))=0,"",INDEX('Aides'!$R$4:$R$503,412))&amp;". ")&amp;IF(LEN(IF(LEN(INDEX('Aides'!$U$4:$U$503,412))=0,"",INDEX('Aides'!$U$4:$U$503,412)))=0,"","Owner: "&amp;IF(LEN(INDEX('Aides'!$U$4:$U$503,412))=0,"",INDEX('Aides'!$U$4:$U$503,412))&amp;". "))</f>
        <v/>
      </c>
      <c r="I1415">
        <f>""</f>
        <v/>
      </c>
      <c r="J1415">
        <f>IF(LEN(INDEX('Aides'!$V$4:$V$503,412))=0,"",INDEX('Aides'!$V$4:$V$503,412))</f>
        <v/>
      </c>
    </row>
    <row r="1416">
      <c r="A1416">
        <f>IF(AND(LEN('Aides'!A416)&gt;0,ISNUMBER('Aides'!O416)),1,0)</f>
        <v/>
      </c>
      <c r="B1416">
        <f>B1415+A1416</f>
        <v/>
      </c>
      <c r="C1416">
        <f>IF(1413&gt;$B$1503,"",MATCH(1413-0.5,$B$3:$B$1503,1))</f>
        <v/>
      </c>
      <c r="D1416">
        <f>"In-service hours due – "&amp;IF(LEN(INDEX('Aides'!$A$4:$A$503,413))=0,"",INDEX('Aides'!$A$4:$A$503,413))</f>
        <v/>
      </c>
      <c r="E1416">
        <f>IF(ISNUMBER(INDEX('Aides'!$O$4:$O$503,413)),TEXT(INDEX('Aides'!$O$4:$O$503,413),"yyyy-mm-dd"),"")</f>
        <v/>
      </c>
      <c r="F1416">
        <f>"Training"</f>
        <v/>
      </c>
      <c r="G1416">
        <f>"Medium"</f>
        <v/>
      </c>
      <c r="H1416">
        <f>TRIM(IF(LEN(IF(LEN(INDEX('Aides'!$P$4:$P$503,413))=0,"",INDEX('Aides'!$P$4:$P$503,413)))=0,"","Hours done: "&amp;IF(LEN(INDEX('Aides'!$P$4:$P$503,413))=0,"",INDEX('Aides'!$P$4:$P$503,413))&amp;". ")&amp;IF(LEN(IF(LEN(INDEX('Aides'!$Q$4:$Q$503,413))=0,"",INDEX('Aides'!$Q$4:$Q$503,413)))=0,"","Target: "&amp;IF(LEN(INDEX('Aides'!$Q$4:$Q$503,413))=0,"",INDEX('Aides'!$Q$4:$Q$503,413))&amp;". ")&amp;IF(LEN(IF(LEN(INDEX('Aides'!$R$4:$R$503,413))=0,"",INDEX('Aides'!$R$4:$R$503,413)))=0,"","Hours still needed: "&amp;IF(LEN(INDEX('Aides'!$R$4:$R$503,413))=0,"",INDEX('Aides'!$R$4:$R$503,413))&amp;". ")&amp;IF(LEN(IF(LEN(INDEX('Aides'!$U$4:$U$503,413))=0,"",INDEX('Aides'!$U$4:$U$503,413)))=0,"","Owner: "&amp;IF(LEN(INDEX('Aides'!$U$4:$U$503,413))=0,"",INDEX('Aides'!$U$4:$U$503,413))&amp;". "))</f>
        <v/>
      </c>
      <c r="I1416">
        <f>""</f>
        <v/>
      </c>
      <c r="J1416">
        <f>IF(LEN(INDEX('Aides'!$V$4:$V$503,413))=0,"",INDEX('Aides'!$V$4:$V$503,413))</f>
        <v/>
      </c>
    </row>
    <row r="1417">
      <c r="A1417">
        <f>IF(AND(LEN('Aides'!A417)&gt;0,ISNUMBER('Aides'!O417)),1,0)</f>
        <v/>
      </c>
      <c r="B1417">
        <f>B1416+A1417</f>
        <v/>
      </c>
      <c r="C1417">
        <f>IF(1414&gt;$B$1503,"",MATCH(1414-0.5,$B$3:$B$1503,1))</f>
        <v/>
      </c>
      <c r="D1417">
        <f>"In-service hours due – "&amp;IF(LEN(INDEX('Aides'!$A$4:$A$503,414))=0,"",INDEX('Aides'!$A$4:$A$503,414))</f>
        <v/>
      </c>
      <c r="E1417">
        <f>IF(ISNUMBER(INDEX('Aides'!$O$4:$O$503,414)),TEXT(INDEX('Aides'!$O$4:$O$503,414),"yyyy-mm-dd"),"")</f>
        <v/>
      </c>
      <c r="F1417">
        <f>"Training"</f>
        <v/>
      </c>
      <c r="G1417">
        <f>"Medium"</f>
        <v/>
      </c>
      <c r="H1417">
        <f>TRIM(IF(LEN(IF(LEN(INDEX('Aides'!$P$4:$P$503,414))=0,"",INDEX('Aides'!$P$4:$P$503,414)))=0,"","Hours done: "&amp;IF(LEN(INDEX('Aides'!$P$4:$P$503,414))=0,"",INDEX('Aides'!$P$4:$P$503,414))&amp;". ")&amp;IF(LEN(IF(LEN(INDEX('Aides'!$Q$4:$Q$503,414))=0,"",INDEX('Aides'!$Q$4:$Q$503,414)))=0,"","Target: "&amp;IF(LEN(INDEX('Aides'!$Q$4:$Q$503,414))=0,"",INDEX('Aides'!$Q$4:$Q$503,414))&amp;". ")&amp;IF(LEN(IF(LEN(INDEX('Aides'!$R$4:$R$503,414))=0,"",INDEX('Aides'!$R$4:$R$503,414)))=0,"","Hours still needed: "&amp;IF(LEN(INDEX('Aides'!$R$4:$R$503,414))=0,"",INDEX('Aides'!$R$4:$R$503,414))&amp;". ")&amp;IF(LEN(IF(LEN(INDEX('Aides'!$U$4:$U$503,414))=0,"",INDEX('Aides'!$U$4:$U$503,414)))=0,"","Owner: "&amp;IF(LEN(INDEX('Aides'!$U$4:$U$503,414))=0,"",INDEX('Aides'!$U$4:$U$503,414))&amp;". "))</f>
        <v/>
      </c>
      <c r="I1417">
        <f>""</f>
        <v/>
      </c>
      <c r="J1417">
        <f>IF(LEN(INDEX('Aides'!$V$4:$V$503,414))=0,"",INDEX('Aides'!$V$4:$V$503,414))</f>
        <v/>
      </c>
    </row>
    <row r="1418">
      <c r="A1418">
        <f>IF(AND(LEN('Aides'!A418)&gt;0,ISNUMBER('Aides'!O418)),1,0)</f>
        <v/>
      </c>
      <c r="B1418">
        <f>B1417+A1418</f>
        <v/>
      </c>
      <c r="C1418">
        <f>IF(1415&gt;$B$1503,"",MATCH(1415-0.5,$B$3:$B$1503,1))</f>
        <v/>
      </c>
      <c r="D1418">
        <f>"In-service hours due – "&amp;IF(LEN(INDEX('Aides'!$A$4:$A$503,415))=0,"",INDEX('Aides'!$A$4:$A$503,415))</f>
        <v/>
      </c>
      <c r="E1418">
        <f>IF(ISNUMBER(INDEX('Aides'!$O$4:$O$503,415)),TEXT(INDEX('Aides'!$O$4:$O$503,415),"yyyy-mm-dd"),"")</f>
        <v/>
      </c>
      <c r="F1418">
        <f>"Training"</f>
        <v/>
      </c>
      <c r="G1418">
        <f>"Medium"</f>
        <v/>
      </c>
      <c r="H1418">
        <f>TRIM(IF(LEN(IF(LEN(INDEX('Aides'!$P$4:$P$503,415))=0,"",INDEX('Aides'!$P$4:$P$503,415)))=0,"","Hours done: "&amp;IF(LEN(INDEX('Aides'!$P$4:$P$503,415))=0,"",INDEX('Aides'!$P$4:$P$503,415))&amp;". ")&amp;IF(LEN(IF(LEN(INDEX('Aides'!$Q$4:$Q$503,415))=0,"",INDEX('Aides'!$Q$4:$Q$503,415)))=0,"","Target: "&amp;IF(LEN(INDEX('Aides'!$Q$4:$Q$503,415))=0,"",INDEX('Aides'!$Q$4:$Q$503,415))&amp;". ")&amp;IF(LEN(IF(LEN(INDEX('Aides'!$R$4:$R$503,415))=0,"",INDEX('Aides'!$R$4:$R$503,415)))=0,"","Hours still needed: "&amp;IF(LEN(INDEX('Aides'!$R$4:$R$503,415))=0,"",INDEX('Aides'!$R$4:$R$503,415))&amp;". ")&amp;IF(LEN(IF(LEN(INDEX('Aides'!$U$4:$U$503,415))=0,"",INDEX('Aides'!$U$4:$U$503,415)))=0,"","Owner: "&amp;IF(LEN(INDEX('Aides'!$U$4:$U$503,415))=0,"",INDEX('Aides'!$U$4:$U$503,415))&amp;". "))</f>
        <v/>
      </c>
      <c r="I1418">
        <f>""</f>
        <v/>
      </c>
      <c r="J1418">
        <f>IF(LEN(INDEX('Aides'!$V$4:$V$503,415))=0,"",INDEX('Aides'!$V$4:$V$503,415))</f>
        <v/>
      </c>
    </row>
    <row r="1419">
      <c r="A1419">
        <f>IF(AND(LEN('Aides'!A419)&gt;0,ISNUMBER('Aides'!O419)),1,0)</f>
        <v/>
      </c>
      <c r="B1419">
        <f>B1418+A1419</f>
        <v/>
      </c>
      <c r="C1419">
        <f>IF(1416&gt;$B$1503,"",MATCH(1416-0.5,$B$3:$B$1503,1))</f>
        <v/>
      </c>
      <c r="D1419">
        <f>"In-service hours due – "&amp;IF(LEN(INDEX('Aides'!$A$4:$A$503,416))=0,"",INDEX('Aides'!$A$4:$A$503,416))</f>
        <v/>
      </c>
      <c r="E1419">
        <f>IF(ISNUMBER(INDEX('Aides'!$O$4:$O$503,416)),TEXT(INDEX('Aides'!$O$4:$O$503,416),"yyyy-mm-dd"),"")</f>
        <v/>
      </c>
      <c r="F1419">
        <f>"Training"</f>
        <v/>
      </c>
      <c r="G1419">
        <f>"Medium"</f>
        <v/>
      </c>
      <c r="H1419">
        <f>TRIM(IF(LEN(IF(LEN(INDEX('Aides'!$P$4:$P$503,416))=0,"",INDEX('Aides'!$P$4:$P$503,416)))=0,"","Hours done: "&amp;IF(LEN(INDEX('Aides'!$P$4:$P$503,416))=0,"",INDEX('Aides'!$P$4:$P$503,416))&amp;". ")&amp;IF(LEN(IF(LEN(INDEX('Aides'!$Q$4:$Q$503,416))=0,"",INDEX('Aides'!$Q$4:$Q$503,416)))=0,"","Target: "&amp;IF(LEN(INDEX('Aides'!$Q$4:$Q$503,416))=0,"",INDEX('Aides'!$Q$4:$Q$503,416))&amp;". ")&amp;IF(LEN(IF(LEN(INDEX('Aides'!$R$4:$R$503,416))=0,"",INDEX('Aides'!$R$4:$R$503,416)))=0,"","Hours still needed: "&amp;IF(LEN(INDEX('Aides'!$R$4:$R$503,416))=0,"",INDEX('Aides'!$R$4:$R$503,416))&amp;". ")&amp;IF(LEN(IF(LEN(INDEX('Aides'!$U$4:$U$503,416))=0,"",INDEX('Aides'!$U$4:$U$503,416)))=0,"","Owner: "&amp;IF(LEN(INDEX('Aides'!$U$4:$U$503,416))=0,"",INDEX('Aides'!$U$4:$U$503,416))&amp;". "))</f>
        <v/>
      </c>
      <c r="I1419">
        <f>""</f>
        <v/>
      </c>
      <c r="J1419">
        <f>IF(LEN(INDEX('Aides'!$V$4:$V$503,416))=0,"",INDEX('Aides'!$V$4:$V$503,416))</f>
        <v/>
      </c>
    </row>
    <row r="1420">
      <c r="A1420">
        <f>IF(AND(LEN('Aides'!A420)&gt;0,ISNUMBER('Aides'!O420)),1,0)</f>
        <v/>
      </c>
      <c r="B1420">
        <f>B1419+A1420</f>
        <v/>
      </c>
      <c r="C1420">
        <f>IF(1417&gt;$B$1503,"",MATCH(1417-0.5,$B$3:$B$1503,1))</f>
        <v/>
      </c>
      <c r="D1420">
        <f>"In-service hours due – "&amp;IF(LEN(INDEX('Aides'!$A$4:$A$503,417))=0,"",INDEX('Aides'!$A$4:$A$503,417))</f>
        <v/>
      </c>
      <c r="E1420">
        <f>IF(ISNUMBER(INDEX('Aides'!$O$4:$O$503,417)),TEXT(INDEX('Aides'!$O$4:$O$503,417),"yyyy-mm-dd"),"")</f>
        <v/>
      </c>
      <c r="F1420">
        <f>"Training"</f>
        <v/>
      </c>
      <c r="G1420">
        <f>"Medium"</f>
        <v/>
      </c>
      <c r="H1420">
        <f>TRIM(IF(LEN(IF(LEN(INDEX('Aides'!$P$4:$P$503,417))=0,"",INDEX('Aides'!$P$4:$P$503,417)))=0,"","Hours done: "&amp;IF(LEN(INDEX('Aides'!$P$4:$P$503,417))=0,"",INDEX('Aides'!$P$4:$P$503,417))&amp;". ")&amp;IF(LEN(IF(LEN(INDEX('Aides'!$Q$4:$Q$503,417))=0,"",INDEX('Aides'!$Q$4:$Q$503,417)))=0,"","Target: "&amp;IF(LEN(INDEX('Aides'!$Q$4:$Q$503,417))=0,"",INDEX('Aides'!$Q$4:$Q$503,417))&amp;". ")&amp;IF(LEN(IF(LEN(INDEX('Aides'!$R$4:$R$503,417))=0,"",INDEX('Aides'!$R$4:$R$503,417)))=0,"","Hours still needed: "&amp;IF(LEN(INDEX('Aides'!$R$4:$R$503,417))=0,"",INDEX('Aides'!$R$4:$R$503,417))&amp;". ")&amp;IF(LEN(IF(LEN(INDEX('Aides'!$U$4:$U$503,417))=0,"",INDEX('Aides'!$U$4:$U$503,417)))=0,"","Owner: "&amp;IF(LEN(INDEX('Aides'!$U$4:$U$503,417))=0,"",INDEX('Aides'!$U$4:$U$503,417))&amp;". "))</f>
        <v/>
      </c>
      <c r="I1420">
        <f>""</f>
        <v/>
      </c>
      <c r="J1420">
        <f>IF(LEN(INDEX('Aides'!$V$4:$V$503,417))=0,"",INDEX('Aides'!$V$4:$V$503,417))</f>
        <v/>
      </c>
    </row>
    <row r="1421">
      <c r="A1421">
        <f>IF(AND(LEN('Aides'!A421)&gt;0,ISNUMBER('Aides'!O421)),1,0)</f>
        <v/>
      </c>
      <c r="B1421">
        <f>B1420+A1421</f>
        <v/>
      </c>
      <c r="C1421">
        <f>IF(1418&gt;$B$1503,"",MATCH(1418-0.5,$B$3:$B$1503,1))</f>
        <v/>
      </c>
      <c r="D1421">
        <f>"In-service hours due – "&amp;IF(LEN(INDEX('Aides'!$A$4:$A$503,418))=0,"",INDEX('Aides'!$A$4:$A$503,418))</f>
        <v/>
      </c>
      <c r="E1421">
        <f>IF(ISNUMBER(INDEX('Aides'!$O$4:$O$503,418)),TEXT(INDEX('Aides'!$O$4:$O$503,418),"yyyy-mm-dd"),"")</f>
        <v/>
      </c>
      <c r="F1421">
        <f>"Training"</f>
        <v/>
      </c>
      <c r="G1421">
        <f>"Medium"</f>
        <v/>
      </c>
      <c r="H1421">
        <f>TRIM(IF(LEN(IF(LEN(INDEX('Aides'!$P$4:$P$503,418))=0,"",INDEX('Aides'!$P$4:$P$503,418)))=0,"","Hours done: "&amp;IF(LEN(INDEX('Aides'!$P$4:$P$503,418))=0,"",INDEX('Aides'!$P$4:$P$503,418))&amp;". ")&amp;IF(LEN(IF(LEN(INDEX('Aides'!$Q$4:$Q$503,418))=0,"",INDEX('Aides'!$Q$4:$Q$503,418)))=0,"","Target: "&amp;IF(LEN(INDEX('Aides'!$Q$4:$Q$503,418))=0,"",INDEX('Aides'!$Q$4:$Q$503,418))&amp;". ")&amp;IF(LEN(IF(LEN(INDEX('Aides'!$R$4:$R$503,418))=0,"",INDEX('Aides'!$R$4:$R$503,418)))=0,"","Hours still needed: "&amp;IF(LEN(INDEX('Aides'!$R$4:$R$503,418))=0,"",INDEX('Aides'!$R$4:$R$503,418))&amp;". ")&amp;IF(LEN(IF(LEN(INDEX('Aides'!$U$4:$U$503,418))=0,"",INDEX('Aides'!$U$4:$U$503,418)))=0,"","Owner: "&amp;IF(LEN(INDEX('Aides'!$U$4:$U$503,418))=0,"",INDEX('Aides'!$U$4:$U$503,418))&amp;". "))</f>
        <v/>
      </c>
      <c r="I1421">
        <f>""</f>
        <v/>
      </c>
      <c r="J1421">
        <f>IF(LEN(INDEX('Aides'!$V$4:$V$503,418))=0,"",INDEX('Aides'!$V$4:$V$503,418))</f>
        <v/>
      </c>
    </row>
    <row r="1422">
      <c r="A1422">
        <f>IF(AND(LEN('Aides'!A422)&gt;0,ISNUMBER('Aides'!O422)),1,0)</f>
        <v/>
      </c>
      <c r="B1422">
        <f>B1421+A1422</f>
        <v/>
      </c>
      <c r="C1422">
        <f>IF(1419&gt;$B$1503,"",MATCH(1419-0.5,$B$3:$B$1503,1))</f>
        <v/>
      </c>
      <c r="D1422">
        <f>"In-service hours due – "&amp;IF(LEN(INDEX('Aides'!$A$4:$A$503,419))=0,"",INDEX('Aides'!$A$4:$A$503,419))</f>
        <v/>
      </c>
      <c r="E1422">
        <f>IF(ISNUMBER(INDEX('Aides'!$O$4:$O$503,419)),TEXT(INDEX('Aides'!$O$4:$O$503,419),"yyyy-mm-dd"),"")</f>
        <v/>
      </c>
      <c r="F1422">
        <f>"Training"</f>
        <v/>
      </c>
      <c r="G1422">
        <f>"Medium"</f>
        <v/>
      </c>
      <c r="H1422">
        <f>TRIM(IF(LEN(IF(LEN(INDEX('Aides'!$P$4:$P$503,419))=0,"",INDEX('Aides'!$P$4:$P$503,419)))=0,"","Hours done: "&amp;IF(LEN(INDEX('Aides'!$P$4:$P$503,419))=0,"",INDEX('Aides'!$P$4:$P$503,419))&amp;". ")&amp;IF(LEN(IF(LEN(INDEX('Aides'!$Q$4:$Q$503,419))=0,"",INDEX('Aides'!$Q$4:$Q$503,419)))=0,"","Target: "&amp;IF(LEN(INDEX('Aides'!$Q$4:$Q$503,419))=0,"",INDEX('Aides'!$Q$4:$Q$503,419))&amp;". ")&amp;IF(LEN(IF(LEN(INDEX('Aides'!$R$4:$R$503,419))=0,"",INDEX('Aides'!$R$4:$R$503,419)))=0,"","Hours still needed: "&amp;IF(LEN(INDEX('Aides'!$R$4:$R$503,419))=0,"",INDEX('Aides'!$R$4:$R$503,419))&amp;". ")&amp;IF(LEN(IF(LEN(INDEX('Aides'!$U$4:$U$503,419))=0,"",INDEX('Aides'!$U$4:$U$503,419)))=0,"","Owner: "&amp;IF(LEN(INDEX('Aides'!$U$4:$U$503,419))=0,"",INDEX('Aides'!$U$4:$U$503,419))&amp;". "))</f>
        <v/>
      </c>
      <c r="I1422">
        <f>""</f>
        <v/>
      </c>
      <c r="J1422">
        <f>IF(LEN(INDEX('Aides'!$V$4:$V$503,419))=0,"",INDEX('Aides'!$V$4:$V$503,419))</f>
        <v/>
      </c>
    </row>
    <row r="1423">
      <c r="A1423">
        <f>IF(AND(LEN('Aides'!A423)&gt;0,ISNUMBER('Aides'!O423)),1,0)</f>
        <v/>
      </c>
      <c r="B1423">
        <f>B1422+A1423</f>
        <v/>
      </c>
      <c r="C1423">
        <f>IF(1420&gt;$B$1503,"",MATCH(1420-0.5,$B$3:$B$1503,1))</f>
        <v/>
      </c>
      <c r="D1423">
        <f>"In-service hours due – "&amp;IF(LEN(INDEX('Aides'!$A$4:$A$503,420))=0,"",INDEX('Aides'!$A$4:$A$503,420))</f>
        <v/>
      </c>
      <c r="E1423">
        <f>IF(ISNUMBER(INDEX('Aides'!$O$4:$O$503,420)),TEXT(INDEX('Aides'!$O$4:$O$503,420),"yyyy-mm-dd"),"")</f>
        <v/>
      </c>
      <c r="F1423">
        <f>"Training"</f>
        <v/>
      </c>
      <c r="G1423">
        <f>"Medium"</f>
        <v/>
      </c>
      <c r="H1423">
        <f>TRIM(IF(LEN(IF(LEN(INDEX('Aides'!$P$4:$P$503,420))=0,"",INDEX('Aides'!$P$4:$P$503,420)))=0,"","Hours done: "&amp;IF(LEN(INDEX('Aides'!$P$4:$P$503,420))=0,"",INDEX('Aides'!$P$4:$P$503,420))&amp;". ")&amp;IF(LEN(IF(LEN(INDEX('Aides'!$Q$4:$Q$503,420))=0,"",INDEX('Aides'!$Q$4:$Q$503,420)))=0,"","Target: "&amp;IF(LEN(INDEX('Aides'!$Q$4:$Q$503,420))=0,"",INDEX('Aides'!$Q$4:$Q$503,420))&amp;". ")&amp;IF(LEN(IF(LEN(INDEX('Aides'!$R$4:$R$503,420))=0,"",INDEX('Aides'!$R$4:$R$503,420)))=0,"","Hours still needed: "&amp;IF(LEN(INDEX('Aides'!$R$4:$R$503,420))=0,"",INDEX('Aides'!$R$4:$R$503,420))&amp;". ")&amp;IF(LEN(IF(LEN(INDEX('Aides'!$U$4:$U$503,420))=0,"",INDEX('Aides'!$U$4:$U$503,420)))=0,"","Owner: "&amp;IF(LEN(INDEX('Aides'!$U$4:$U$503,420))=0,"",INDEX('Aides'!$U$4:$U$503,420))&amp;". "))</f>
        <v/>
      </c>
      <c r="I1423">
        <f>""</f>
        <v/>
      </c>
      <c r="J1423">
        <f>IF(LEN(INDEX('Aides'!$V$4:$V$503,420))=0,"",INDEX('Aides'!$V$4:$V$503,420))</f>
        <v/>
      </c>
    </row>
    <row r="1424">
      <c r="A1424">
        <f>IF(AND(LEN('Aides'!A424)&gt;0,ISNUMBER('Aides'!O424)),1,0)</f>
        <v/>
      </c>
      <c r="B1424">
        <f>B1423+A1424</f>
        <v/>
      </c>
      <c r="C1424">
        <f>IF(1421&gt;$B$1503,"",MATCH(1421-0.5,$B$3:$B$1503,1))</f>
        <v/>
      </c>
      <c r="D1424">
        <f>"In-service hours due – "&amp;IF(LEN(INDEX('Aides'!$A$4:$A$503,421))=0,"",INDEX('Aides'!$A$4:$A$503,421))</f>
        <v/>
      </c>
      <c r="E1424">
        <f>IF(ISNUMBER(INDEX('Aides'!$O$4:$O$503,421)),TEXT(INDEX('Aides'!$O$4:$O$503,421),"yyyy-mm-dd"),"")</f>
        <v/>
      </c>
      <c r="F1424">
        <f>"Training"</f>
        <v/>
      </c>
      <c r="G1424">
        <f>"Medium"</f>
        <v/>
      </c>
      <c r="H1424">
        <f>TRIM(IF(LEN(IF(LEN(INDEX('Aides'!$P$4:$P$503,421))=0,"",INDEX('Aides'!$P$4:$P$503,421)))=0,"","Hours done: "&amp;IF(LEN(INDEX('Aides'!$P$4:$P$503,421))=0,"",INDEX('Aides'!$P$4:$P$503,421))&amp;". ")&amp;IF(LEN(IF(LEN(INDEX('Aides'!$Q$4:$Q$503,421))=0,"",INDEX('Aides'!$Q$4:$Q$503,421)))=0,"","Target: "&amp;IF(LEN(INDEX('Aides'!$Q$4:$Q$503,421))=0,"",INDEX('Aides'!$Q$4:$Q$503,421))&amp;". ")&amp;IF(LEN(IF(LEN(INDEX('Aides'!$R$4:$R$503,421))=0,"",INDEX('Aides'!$R$4:$R$503,421)))=0,"","Hours still needed: "&amp;IF(LEN(INDEX('Aides'!$R$4:$R$503,421))=0,"",INDEX('Aides'!$R$4:$R$503,421))&amp;". ")&amp;IF(LEN(IF(LEN(INDEX('Aides'!$U$4:$U$503,421))=0,"",INDEX('Aides'!$U$4:$U$503,421)))=0,"","Owner: "&amp;IF(LEN(INDEX('Aides'!$U$4:$U$503,421))=0,"",INDEX('Aides'!$U$4:$U$503,421))&amp;". "))</f>
        <v/>
      </c>
      <c r="I1424">
        <f>""</f>
        <v/>
      </c>
      <c r="J1424">
        <f>IF(LEN(INDEX('Aides'!$V$4:$V$503,421))=0,"",INDEX('Aides'!$V$4:$V$503,421))</f>
        <v/>
      </c>
    </row>
    <row r="1425">
      <c r="A1425">
        <f>IF(AND(LEN('Aides'!A425)&gt;0,ISNUMBER('Aides'!O425)),1,0)</f>
        <v/>
      </c>
      <c r="B1425">
        <f>B1424+A1425</f>
        <v/>
      </c>
      <c r="C1425">
        <f>IF(1422&gt;$B$1503,"",MATCH(1422-0.5,$B$3:$B$1503,1))</f>
        <v/>
      </c>
      <c r="D1425">
        <f>"In-service hours due – "&amp;IF(LEN(INDEX('Aides'!$A$4:$A$503,422))=0,"",INDEX('Aides'!$A$4:$A$503,422))</f>
        <v/>
      </c>
      <c r="E1425">
        <f>IF(ISNUMBER(INDEX('Aides'!$O$4:$O$503,422)),TEXT(INDEX('Aides'!$O$4:$O$503,422),"yyyy-mm-dd"),"")</f>
        <v/>
      </c>
      <c r="F1425">
        <f>"Training"</f>
        <v/>
      </c>
      <c r="G1425">
        <f>"Medium"</f>
        <v/>
      </c>
      <c r="H1425">
        <f>TRIM(IF(LEN(IF(LEN(INDEX('Aides'!$P$4:$P$503,422))=0,"",INDEX('Aides'!$P$4:$P$503,422)))=0,"","Hours done: "&amp;IF(LEN(INDEX('Aides'!$P$4:$P$503,422))=0,"",INDEX('Aides'!$P$4:$P$503,422))&amp;". ")&amp;IF(LEN(IF(LEN(INDEX('Aides'!$Q$4:$Q$503,422))=0,"",INDEX('Aides'!$Q$4:$Q$503,422)))=0,"","Target: "&amp;IF(LEN(INDEX('Aides'!$Q$4:$Q$503,422))=0,"",INDEX('Aides'!$Q$4:$Q$503,422))&amp;". ")&amp;IF(LEN(IF(LEN(INDEX('Aides'!$R$4:$R$503,422))=0,"",INDEX('Aides'!$R$4:$R$503,422)))=0,"","Hours still needed: "&amp;IF(LEN(INDEX('Aides'!$R$4:$R$503,422))=0,"",INDEX('Aides'!$R$4:$R$503,422))&amp;". ")&amp;IF(LEN(IF(LEN(INDEX('Aides'!$U$4:$U$503,422))=0,"",INDEX('Aides'!$U$4:$U$503,422)))=0,"","Owner: "&amp;IF(LEN(INDEX('Aides'!$U$4:$U$503,422))=0,"",INDEX('Aides'!$U$4:$U$503,422))&amp;". "))</f>
        <v/>
      </c>
      <c r="I1425">
        <f>""</f>
        <v/>
      </c>
      <c r="J1425">
        <f>IF(LEN(INDEX('Aides'!$V$4:$V$503,422))=0,"",INDEX('Aides'!$V$4:$V$503,422))</f>
        <v/>
      </c>
    </row>
    <row r="1426">
      <c r="A1426">
        <f>IF(AND(LEN('Aides'!A426)&gt;0,ISNUMBER('Aides'!O426)),1,0)</f>
        <v/>
      </c>
      <c r="B1426">
        <f>B1425+A1426</f>
        <v/>
      </c>
      <c r="C1426">
        <f>IF(1423&gt;$B$1503,"",MATCH(1423-0.5,$B$3:$B$1503,1))</f>
        <v/>
      </c>
      <c r="D1426">
        <f>"In-service hours due – "&amp;IF(LEN(INDEX('Aides'!$A$4:$A$503,423))=0,"",INDEX('Aides'!$A$4:$A$503,423))</f>
        <v/>
      </c>
      <c r="E1426">
        <f>IF(ISNUMBER(INDEX('Aides'!$O$4:$O$503,423)),TEXT(INDEX('Aides'!$O$4:$O$503,423),"yyyy-mm-dd"),"")</f>
        <v/>
      </c>
      <c r="F1426">
        <f>"Training"</f>
        <v/>
      </c>
      <c r="G1426">
        <f>"Medium"</f>
        <v/>
      </c>
      <c r="H1426">
        <f>TRIM(IF(LEN(IF(LEN(INDEX('Aides'!$P$4:$P$503,423))=0,"",INDEX('Aides'!$P$4:$P$503,423)))=0,"","Hours done: "&amp;IF(LEN(INDEX('Aides'!$P$4:$P$503,423))=0,"",INDEX('Aides'!$P$4:$P$503,423))&amp;". ")&amp;IF(LEN(IF(LEN(INDEX('Aides'!$Q$4:$Q$503,423))=0,"",INDEX('Aides'!$Q$4:$Q$503,423)))=0,"","Target: "&amp;IF(LEN(INDEX('Aides'!$Q$4:$Q$503,423))=0,"",INDEX('Aides'!$Q$4:$Q$503,423))&amp;". ")&amp;IF(LEN(IF(LEN(INDEX('Aides'!$R$4:$R$503,423))=0,"",INDEX('Aides'!$R$4:$R$503,423)))=0,"","Hours still needed: "&amp;IF(LEN(INDEX('Aides'!$R$4:$R$503,423))=0,"",INDEX('Aides'!$R$4:$R$503,423))&amp;". ")&amp;IF(LEN(IF(LEN(INDEX('Aides'!$U$4:$U$503,423))=0,"",INDEX('Aides'!$U$4:$U$503,423)))=0,"","Owner: "&amp;IF(LEN(INDEX('Aides'!$U$4:$U$503,423))=0,"",INDEX('Aides'!$U$4:$U$503,423))&amp;". "))</f>
        <v/>
      </c>
      <c r="I1426">
        <f>""</f>
        <v/>
      </c>
      <c r="J1426">
        <f>IF(LEN(INDEX('Aides'!$V$4:$V$503,423))=0,"",INDEX('Aides'!$V$4:$V$503,423))</f>
        <v/>
      </c>
    </row>
    <row r="1427">
      <c r="A1427">
        <f>IF(AND(LEN('Aides'!A427)&gt;0,ISNUMBER('Aides'!O427)),1,0)</f>
        <v/>
      </c>
      <c r="B1427">
        <f>B1426+A1427</f>
        <v/>
      </c>
      <c r="C1427">
        <f>IF(1424&gt;$B$1503,"",MATCH(1424-0.5,$B$3:$B$1503,1))</f>
        <v/>
      </c>
      <c r="D1427">
        <f>"In-service hours due – "&amp;IF(LEN(INDEX('Aides'!$A$4:$A$503,424))=0,"",INDEX('Aides'!$A$4:$A$503,424))</f>
        <v/>
      </c>
      <c r="E1427">
        <f>IF(ISNUMBER(INDEX('Aides'!$O$4:$O$503,424)),TEXT(INDEX('Aides'!$O$4:$O$503,424),"yyyy-mm-dd"),"")</f>
        <v/>
      </c>
      <c r="F1427">
        <f>"Training"</f>
        <v/>
      </c>
      <c r="G1427">
        <f>"Medium"</f>
        <v/>
      </c>
      <c r="H1427">
        <f>TRIM(IF(LEN(IF(LEN(INDEX('Aides'!$P$4:$P$503,424))=0,"",INDEX('Aides'!$P$4:$P$503,424)))=0,"","Hours done: "&amp;IF(LEN(INDEX('Aides'!$P$4:$P$503,424))=0,"",INDEX('Aides'!$P$4:$P$503,424))&amp;". ")&amp;IF(LEN(IF(LEN(INDEX('Aides'!$Q$4:$Q$503,424))=0,"",INDEX('Aides'!$Q$4:$Q$503,424)))=0,"","Target: "&amp;IF(LEN(INDEX('Aides'!$Q$4:$Q$503,424))=0,"",INDEX('Aides'!$Q$4:$Q$503,424))&amp;". ")&amp;IF(LEN(IF(LEN(INDEX('Aides'!$R$4:$R$503,424))=0,"",INDEX('Aides'!$R$4:$R$503,424)))=0,"","Hours still needed: "&amp;IF(LEN(INDEX('Aides'!$R$4:$R$503,424))=0,"",INDEX('Aides'!$R$4:$R$503,424))&amp;". ")&amp;IF(LEN(IF(LEN(INDEX('Aides'!$U$4:$U$503,424))=0,"",INDEX('Aides'!$U$4:$U$503,424)))=0,"","Owner: "&amp;IF(LEN(INDEX('Aides'!$U$4:$U$503,424))=0,"",INDEX('Aides'!$U$4:$U$503,424))&amp;". "))</f>
        <v/>
      </c>
      <c r="I1427">
        <f>""</f>
        <v/>
      </c>
      <c r="J1427">
        <f>IF(LEN(INDEX('Aides'!$V$4:$V$503,424))=0,"",INDEX('Aides'!$V$4:$V$503,424))</f>
        <v/>
      </c>
    </row>
    <row r="1428">
      <c r="A1428">
        <f>IF(AND(LEN('Aides'!A428)&gt;0,ISNUMBER('Aides'!O428)),1,0)</f>
        <v/>
      </c>
      <c r="B1428">
        <f>B1427+A1428</f>
        <v/>
      </c>
      <c r="C1428">
        <f>IF(1425&gt;$B$1503,"",MATCH(1425-0.5,$B$3:$B$1503,1))</f>
        <v/>
      </c>
      <c r="D1428">
        <f>"In-service hours due – "&amp;IF(LEN(INDEX('Aides'!$A$4:$A$503,425))=0,"",INDEX('Aides'!$A$4:$A$503,425))</f>
        <v/>
      </c>
      <c r="E1428">
        <f>IF(ISNUMBER(INDEX('Aides'!$O$4:$O$503,425)),TEXT(INDEX('Aides'!$O$4:$O$503,425),"yyyy-mm-dd"),"")</f>
        <v/>
      </c>
      <c r="F1428">
        <f>"Training"</f>
        <v/>
      </c>
      <c r="G1428">
        <f>"Medium"</f>
        <v/>
      </c>
      <c r="H1428">
        <f>TRIM(IF(LEN(IF(LEN(INDEX('Aides'!$P$4:$P$503,425))=0,"",INDEX('Aides'!$P$4:$P$503,425)))=0,"","Hours done: "&amp;IF(LEN(INDEX('Aides'!$P$4:$P$503,425))=0,"",INDEX('Aides'!$P$4:$P$503,425))&amp;". ")&amp;IF(LEN(IF(LEN(INDEX('Aides'!$Q$4:$Q$503,425))=0,"",INDEX('Aides'!$Q$4:$Q$503,425)))=0,"","Target: "&amp;IF(LEN(INDEX('Aides'!$Q$4:$Q$503,425))=0,"",INDEX('Aides'!$Q$4:$Q$503,425))&amp;". ")&amp;IF(LEN(IF(LEN(INDEX('Aides'!$R$4:$R$503,425))=0,"",INDEX('Aides'!$R$4:$R$503,425)))=0,"","Hours still needed: "&amp;IF(LEN(INDEX('Aides'!$R$4:$R$503,425))=0,"",INDEX('Aides'!$R$4:$R$503,425))&amp;". ")&amp;IF(LEN(IF(LEN(INDEX('Aides'!$U$4:$U$503,425))=0,"",INDEX('Aides'!$U$4:$U$503,425)))=0,"","Owner: "&amp;IF(LEN(INDEX('Aides'!$U$4:$U$503,425))=0,"",INDEX('Aides'!$U$4:$U$503,425))&amp;". "))</f>
        <v/>
      </c>
      <c r="I1428">
        <f>""</f>
        <v/>
      </c>
      <c r="J1428">
        <f>IF(LEN(INDEX('Aides'!$V$4:$V$503,425))=0,"",INDEX('Aides'!$V$4:$V$503,425))</f>
        <v/>
      </c>
    </row>
    <row r="1429">
      <c r="A1429">
        <f>IF(AND(LEN('Aides'!A429)&gt;0,ISNUMBER('Aides'!O429)),1,0)</f>
        <v/>
      </c>
      <c r="B1429">
        <f>B1428+A1429</f>
        <v/>
      </c>
      <c r="C1429">
        <f>IF(1426&gt;$B$1503,"",MATCH(1426-0.5,$B$3:$B$1503,1))</f>
        <v/>
      </c>
      <c r="D1429">
        <f>"In-service hours due – "&amp;IF(LEN(INDEX('Aides'!$A$4:$A$503,426))=0,"",INDEX('Aides'!$A$4:$A$503,426))</f>
        <v/>
      </c>
      <c r="E1429">
        <f>IF(ISNUMBER(INDEX('Aides'!$O$4:$O$503,426)),TEXT(INDEX('Aides'!$O$4:$O$503,426),"yyyy-mm-dd"),"")</f>
        <v/>
      </c>
      <c r="F1429">
        <f>"Training"</f>
        <v/>
      </c>
      <c r="G1429">
        <f>"Medium"</f>
        <v/>
      </c>
      <c r="H1429">
        <f>TRIM(IF(LEN(IF(LEN(INDEX('Aides'!$P$4:$P$503,426))=0,"",INDEX('Aides'!$P$4:$P$503,426)))=0,"","Hours done: "&amp;IF(LEN(INDEX('Aides'!$P$4:$P$503,426))=0,"",INDEX('Aides'!$P$4:$P$503,426))&amp;". ")&amp;IF(LEN(IF(LEN(INDEX('Aides'!$Q$4:$Q$503,426))=0,"",INDEX('Aides'!$Q$4:$Q$503,426)))=0,"","Target: "&amp;IF(LEN(INDEX('Aides'!$Q$4:$Q$503,426))=0,"",INDEX('Aides'!$Q$4:$Q$503,426))&amp;". ")&amp;IF(LEN(IF(LEN(INDEX('Aides'!$R$4:$R$503,426))=0,"",INDEX('Aides'!$R$4:$R$503,426)))=0,"","Hours still needed: "&amp;IF(LEN(INDEX('Aides'!$R$4:$R$503,426))=0,"",INDEX('Aides'!$R$4:$R$503,426))&amp;". ")&amp;IF(LEN(IF(LEN(INDEX('Aides'!$U$4:$U$503,426))=0,"",INDEX('Aides'!$U$4:$U$503,426)))=0,"","Owner: "&amp;IF(LEN(INDEX('Aides'!$U$4:$U$503,426))=0,"",INDEX('Aides'!$U$4:$U$503,426))&amp;". "))</f>
        <v/>
      </c>
      <c r="I1429">
        <f>""</f>
        <v/>
      </c>
      <c r="J1429">
        <f>IF(LEN(INDEX('Aides'!$V$4:$V$503,426))=0,"",INDEX('Aides'!$V$4:$V$503,426))</f>
        <v/>
      </c>
    </row>
    <row r="1430">
      <c r="A1430">
        <f>IF(AND(LEN('Aides'!A430)&gt;0,ISNUMBER('Aides'!O430)),1,0)</f>
        <v/>
      </c>
      <c r="B1430">
        <f>B1429+A1430</f>
        <v/>
      </c>
      <c r="C1430">
        <f>IF(1427&gt;$B$1503,"",MATCH(1427-0.5,$B$3:$B$1503,1))</f>
        <v/>
      </c>
      <c r="D1430">
        <f>"In-service hours due – "&amp;IF(LEN(INDEX('Aides'!$A$4:$A$503,427))=0,"",INDEX('Aides'!$A$4:$A$503,427))</f>
        <v/>
      </c>
      <c r="E1430">
        <f>IF(ISNUMBER(INDEX('Aides'!$O$4:$O$503,427)),TEXT(INDEX('Aides'!$O$4:$O$503,427),"yyyy-mm-dd"),"")</f>
        <v/>
      </c>
      <c r="F1430">
        <f>"Training"</f>
        <v/>
      </c>
      <c r="G1430">
        <f>"Medium"</f>
        <v/>
      </c>
      <c r="H1430">
        <f>TRIM(IF(LEN(IF(LEN(INDEX('Aides'!$P$4:$P$503,427))=0,"",INDEX('Aides'!$P$4:$P$503,427)))=0,"","Hours done: "&amp;IF(LEN(INDEX('Aides'!$P$4:$P$503,427))=0,"",INDEX('Aides'!$P$4:$P$503,427))&amp;". ")&amp;IF(LEN(IF(LEN(INDEX('Aides'!$Q$4:$Q$503,427))=0,"",INDEX('Aides'!$Q$4:$Q$503,427)))=0,"","Target: "&amp;IF(LEN(INDEX('Aides'!$Q$4:$Q$503,427))=0,"",INDEX('Aides'!$Q$4:$Q$503,427))&amp;". ")&amp;IF(LEN(IF(LEN(INDEX('Aides'!$R$4:$R$503,427))=0,"",INDEX('Aides'!$R$4:$R$503,427)))=0,"","Hours still needed: "&amp;IF(LEN(INDEX('Aides'!$R$4:$R$503,427))=0,"",INDEX('Aides'!$R$4:$R$503,427))&amp;". ")&amp;IF(LEN(IF(LEN(INDEX('Aides'!$U$4:$U$503,427))=0,"",INDEX('Aides'!$U$4:$U$503,427)))=0,"","Owner: "&amp;IF(LEN(INDEX('Aides'!$U$4:$U$503,427))=0,"",INDEX('Aides'!$U$4:$U$503,427))&amp;". "))</f>
        <v/>
      </c>
      <c r="I1430">
        <f>""</f>
        <v/>
      </c>
      <c r="J1430">
        <f>IF(LEN(INDEX('Aides'!$V$4:$V$503,427))=0,"",INDEX('Aides'!$V$4:$V$503,427))</f>
        <v/>
      </c>
    </row>
    <row r="1431">
      <c r="A1431">
        <f>IF(AND(LEN('Aides'!A431)&gt;0,ISNUMBER('Aides'!O431)),1,0)</f>
        <v/>
      </c>
      <c r="B1431">
        <f>B1430+A1431</f>
        <v/>
      </c>
      <c r="C1431">
        <f>IF(1428&gt;$B$1503,"",MATCH(1428-0.5,$B$3:$B$1503,1))</f>
        <v/>
      </c>
      <c r="D1431">
        <f>"In-service hours due – "&amp;IF(LEN(INDEX('Aides'!$A$4:$A$503,428))=0,"",INDEX('Aides'!$A$4:$A$503,428))</f>
        <v/>
      </c>
      <c r="E1431">
        <f>IF(ISNUMBER(INDEX('Aides'!$O$4:$O$503,428)),TEXT(INDEX('Aides'!$O$4:$O$503,428),"yyyy-mm-dd"),"")</f>
        <v/>
      </c>
      <c r="F1431">
        <f>"Training"</f>
        <v/>
      </c>
      <c r="G1431">
        <f>"Medium"</f>
        <v/>
      </c>
      <c r="H1431">
        <f>TRIM(IF(LEN(IF(LEN(INDEX('Aides'!$P$4:$P$503,428))=0,"",INDEX('Aides'!$P$4:$P$503,428)))=0,"","Hours done: "&amp;IF(LEN(INDEX('Aides'!$P$4:$P$503,428))=0,"",INDEX('Aides'!$P$4:$P$503,428))&amp;". ")&amp;IF(LEN(IF(LEN(INDEX('Aides'!$Q$4:$Q$503,428))=0,"",INDEX('Aides'!$Q$4:$Q$503,428)))=0,"","Target: "&amp;IF(LEN(INDEX('Aides'!$Q$4:$Q$503,428))=0,"",INDEX('Aides'!$Q$4:$Q$503,428))&amp;". ")&amp;IF(LEN(IF(LEN(INDEX('Aides'!$R$4:$R$503,428))=0,"",INDEX('Aides'!$R$4:$R$503,428)))=0,"","Hours still needed: "&amp;IF(LEN(INDEX('Aides'!$R$4:$R$503,428))=0,"",INDEX('Aides'!$R$4:$R$503,428))&amp;". ")&amp;IF(LEN(IF(LEN(INDEX('Aides'!$U$4:$U$503,428))=0,"",INDEX('Aides'!$U$4:$U$503,428)))=0,"","Owner: "&amp;IF(LEN(INDEX('Aides'!$U$4:$U$503,428))=0,"",INDEX('Aides'!$U$4:$U$503,428))&amp;". "))</f>
        <v/>
      </c>
      <c r="I1431">
        <f>""</f>
        <v/>
      </c>
      <c r="J1431">
        <f>IF(LEN(INDEX('Aides'!$V$4:$V$503,428))=0,"",INDEX('Aides'!$V$4:$V$503,428))</f>
        <v/>
      </c>
    </row>
    <row r="1432">
      <c r="A1432">
        <f>IF(AND(LEN('Aides'!A432)&gt;0,ISNUMBER('Aides'!O432)),1,0)</f>
        <v/>
      </c>
      <c r="B1432">
        <f>B1431+A1432</f>
        <v/>
      </c>
      <c r="C1432">
        <f>IF(1429&gt;$B$1503,"",MATCH(1429-0.5,$B$3:$B$1503,1))</f>
        <v/>
      </c>
      <c r="D1432">
        <f>"In-service hours due – "&amp;IF(LEN(INDEX('Aides'!$A$4:$A$503,429))=0,"",INDEX('Aides'!$A$4:$A$503,429))</f>
        <v/>
      </c>
      <c r="E1432">
        <f>IF(ISNUMBER(INDEX('Aides'!$O$4:$O$503,429)),TEXT(INDEX('Aides'!$O$4:$O$503,429),"yyyy-mm-dd"),"")</f>
        <v/>
      </c>
      <c r="F1432">
        <f>"Training"</f>
        <v/>
      </c>
      <c r="G1432">
        <f>"Medium"</f>
        <v/>
      </c>
      <c r="H1432">
        <f>TRIM(IF(LEN(IF(LEN(INDEX('Aides'!$P$4:$P$503,429))=0,"",INDEX('Aides'!$P$4:$P$503,429)))=0,"","Hours done: "&amp;IF(LEN(INDEX('Aides'!$P$4:$P$503,429))=0,"",INDEX('Aides'!$P$4:$P$503,429))&amp;". ")&amp;IF(LEN(IF(LEN(INDEX('Aides'!$Q$4:$Q$503,429))=0,"",INDEX('Aides'!$Q$4:$Q$503,429)))=0,"","Target: "&amp;IF(LEN(INDEX('Aides'!$Q$4:$Q$503,429))=0,"",INDEX('Aides'!$Q$4:$Q$503,429))&amp;". ")&amp;IF(LEN(IF(LEN(INDEX('Aides'!$R$4:$R$503,429))=0,"",INDEX('Aides'!$R$4:$R$503,429)))=0,"","Hours still needed: "&amp;IF(LEN(INDEX('Aides'!$R$4:$R$503,429))=0,"",INDEX('Aides'!$R$4:$R$503,429))&amp;". ")&amp;IF(LEN(IF(LEN(INDEX('Aides'!$U$4:$U$503,429))=0,"",INDEX('Aides'!$U$4:$U$503,429)))=0,"","Owner: "&amp;IF(LEN(INDEX('Aides'!$U$4:$U$503,429))=0,"",INDEX('Aides'!$U$4:$U$503,429))&amp;". "))</f>
        <v/>
      </c>
      <c r="I1432">
        <f>""</f>
        <v/>
      </c>
      <c r="J1432">
        <f>IF(LEN(INDEX('Aides'!$V$4:$V$503,429))=0,"",INDEX('Aides'!$V$4:$V$503,429))</f>
        <v/>
      </c>
    </row>
    <row r="1433">
      <c r="A1433">
        <f>IF(AND(LEN('Aides'!A433)&gt;0,ISNUMBER('Aides'!O433)),1,0)</f>
        <v/>
      </c>
      <c r="B1433">
        <f>B1432+A1433</f>
        <v/>
      </c>
      <c r="C1433">
        <f>IF(1430&gt;$B$1503,"",MATCH(1430-0.5,$B$3:$B$1503,1))</f>
        <v/>
      </c>
      <c r="D1433">
        <f>"In-service hours due – "&amp;IF(LEN(INDEX('Aides'!$A$4:$A$503,430))=0,"",INDEX('Aides'!$A$4:$A$503,430))</f>
        <v/>
      </c>
      <c r="E1433">
        <f>IF(ISNUMBER(INDEX('Aides'!$O$4:$O$503,430)),TEXT(INDEX('Aides'!$O$4:$O$503,430),"yyyy-mm-dd"),"")</f>
        <v/>
      </c>
      <c r="F1433">
        <f>"Training"</f>
        <v/>
      </c>
      <c r="G1433">
        <f>"Medium"</f>
        <v/>
      </c>
      <c r="H1433">
        <f>TRIM(IF(LEN(IF(LEN(INDEX('Aides'!$P$4:$P$503,430))=0,"",INDEX('Aides'!$P$4:$P$503,430)))=0,"","Hours done: "&amp;IF(LEN(INDEX('Aides'!$P$4:$P$503,430))=0,"",INDEX('Aides'!$P$4:$P$503,430))&amp;". ")&amp;IF(LEN(IF(LEN(INDEX('Aides'!$Q$4:$Q$503,430))=0,"",INDEX('Aides'!$Q$4:$Q$503,430)))=0,"","Target: "&amp;IF(LEN(INDEX('Aides'!$Q$4:$Q$503,430))=0,"",INDEX('Aides'!$Q$4:$Q$503,430))&amp;". ")&amp;IF(LEN(IF(LEN(INDEX('Aides'!$R$4:$R$503,430))=0,"",INDEX('Aides'!$R$4:$R$503,430)))=0,"","Hours still needed: "&amp;IF(LEN(INDEX('Aides'!$R$4:$R$503,430))=0,"",INDEX('Aides'!$R$4:$R$503,430))&amp;". ")&amp;IF(LEN(IF(LEN(INDEX('Aides'!$U$4:$U$503,430))=0,"",INDEX('Aides'!$U$4:$U$503,430)))=0,"","Owner: "&amp;IF(LEN(INDEX('Aides'!$U$4:$U$503,430))=0,"",INDEX('Aides'!$U$4:$U$503,430))&amp;". "))</f>
        <v/>
      </c>
      <c r="I1433">
        <f>""</f>
        <v/>
      </c>
      <c r="J1433">
        <f>IF(LEN(INDEX('Aides'!$V$4:$V$503,430))=0,"",INDEX('Aides'!$V$4:$V$503,430))</f>
        <v/>
      </c>
    </row>
    <row r="1434">
      <c r="A1434">
        <f>IF(AND(LEN('Aides'!A434)&gt;0,ISNUMBER('Aides'!O434)),1,0)</f>
        <v/>
      </c>
      <c r="B1434">
        <f>B1433+A1434</f>
        <v/>
      </c>
      <c r="C1434">
        <f>IF(1431&gt;$B$1503,"",MATCH(1431-0.5,$B$3:$B$1503,1))</f>
        <v/>
      </c>
      <c r="D1434">
        <f>"In-service hours due – "&amp;IF(LEN(INDEX('Aides'!$A$4:$A$503,431))=0,"",INDEX('Aides'!$A$4:$A$503,431))</f>
        <v/>
      </c>
      <c r="E1434">
        <f>IF(ISNUMBER(INDEX('Aides'!$O$4:$O$503,431)),TEXT(INDEX('Aides'!$O$4:$O$503,431),"yyyy-mm-dd"),"")</f>
        <v/>
      </c>
      <c r="F1434">
        <f>"Training"</f>
        <v/>
      </c>
      <c r="G1434">
        <f>"Medium"</f>
        <v/>
      </c>
      <c r="H1434">
        <f>TRIM(IF(LEN(IF(LEN(INDEX('Aides'!$P$4:$P$503,431))=0,"",INDEX('Aides'!$P$4:$P$503,431)))=0,"","Hours done: "&amp;IF(LEN(INDEX('Aides'!$P$4:$P$503,431))=0,"",INDEX('Aides'!$P$4:$P$503,431))&amp;". ")&amp;IF(LEN(IF(LEN(INDEX('Aides'!$Q$4:$Q$503,431))=0,"",INDEX('Aides'!$Q$4:$Q$503,431)))=0,"","Target: "&amp;IF(LEN(INDEX('Aides'!$Q$4:$Q$503,431))=0,"",INDEX('Aides'!$Q$4:$Q$503,431))&amp;". ")&amp;IF(LEN(IF(LEN(INDEX('Aides'!$R$4:$R$503,431))=0,"",INDEX('Aides'!$R$4:$R$503,431)))=0,"","Hours still needed: "&amp;IF(LEN(INDEX('Aides'!$R$4:$R$503,431))=0,"",INDEX('Aides'!$R$4:$R$503,431))&amp;". ")&amp;IF(LEN(IF(LEN(INDEX('Aides'!$U$4:$U$503,431))=0,"",INDEX('Aides'!$U$4:$U$503,431)))=0,"","Owner: "&amp;IF(LEN(INDEX('Aides'!$U$4:$U$503,431))=0,"",INDEX('Aides'!$U$4:$U$503,431))&amp;". "))</f>
        <v/>
      </c>
      <c r="I1434">
        <f>""</f>
        <v/>
      </c>
      <c r="J1434">
        <f>IF(LEN(INDEX('Aides'!$V$4:$V$503,431))=0,"",INDEX('Aides'!$V$4:$V$503,431))</f>
        <v/>
      </c>
    </row>
    <row r="1435">
      <c r="A1435">
        <f>IF(AND(LEN('Aides'!A435)&gt;0,ISNUMBER('Aides'!O435)),1,0)</f>
        <v/>
      </c>
      <c r="B1435">
        <f>B1434+A1435</f>
        <v/>
      </c>
      <c r="C1435">
        <f>IF(1432&gt;$B$1503,"",MATCH(1432-0.5,$B$3:$B$1503,1))</f>
        <v/>
      </c>
      <c r="D1435">
        <f>"In-service hours due – "&amp;IF(LEN(INDEX('Aides'!$A$4:$A$503,432))=0,"",INDEX('Aides'!$A$4:$A$503,432))</f>
        <v/>
      </c>
      <c r="E1435">
        <f>IF(ISNUMBER(INDEX('Aides'!$O$4:$O$503,432)),TEXT(INDEX('Aides'!$O$4:$O$503,432),"yyyy-mm-dd"),"")</f>
        <v/>
      </c>
      <c r="F1435">
        <f>"Training"</f>
        <v/>
      </c>
      <c r="G1435">
        <f>"Medium"</f>
        <v/>
      </c>
      <c r="H1435">
        <f>TRIM(IF(LEN(IF(LEN(INDEX('Aides'!$P$4:$P$503,432))=0,"",INDEX('Aides'!$P$4:$P$503,432)))=0,"","Hours done: "&amp;IF(LEN(INDEX('Aides'!$P$4:$P$503,432))=0,"",INDEX('Aides'!$P$4:$P$503,432))&amp;". ")&amp;IF(LEN(IF(LEN(INDEX('Aides'!$Q$4:$Q$503,432))=0,"",INDEX('Aides'!$Q$4:$Q$503,432)))=0,"","Target: "&amp;IF(LEN(INDEX('Aides'!$Q$4:$Q$503,432))=0,"",INDEX('Aides'!$Q$4:$Q$503,432))&amp;". ")&amp;IF(LEN(IF(LEN(INDEX('Aides'!$R$4:$R$503,432))=0,"",INDEX('Aides'!$R$4:$R$503,432)))=0,"","Hours still needed: "&amp;IF(LEN(INDEX('Aides'!$R$4:$R$503,432))=0,"",INDEX('Aides'!$R$4:$R$503,432))&amp;". ")&amp;IF(LEN(IF(LEN(INDEX('Aides'!$U$4:$U$503,432))=0,"",INDEX('Aides'!$U$4:$U$503,432)))=0,"","Owner: "&amp;IF(LEN(INDEX('Aides'!$U$4:$U$503,432))=0,"",INDEX('Aides'!$U$4:$U$503,432))&amp;". "))</f>
        <v/>
      </c>
      <c r="I1435">
        <f>""</f>
        <v/>
      </c>
      <c r="J1435">
        <f>IF(LEN(INDEX('Aides'!$V$4:$V$503,432))=0,"",INDEX('Aides'!$V$4:$V$503,432))</f>
        <v/>
      </c>
    </row>
    <row r="1436">
      <c r="A1436">
        <f>IF(AND(LEN('Aides'!A436)&gt;0,ISNUMBER('Aides'!O436)),1,0)</f>
        <v/>
      </c>
      <c r="B1436">
        <f>B1435+A1436</f>
        <v/>
      </c>
      <c r="C1436">
        <f>IF(1433&gt;$B$1503,"",MATCH(1433-0.5,$B$3:$B$1503,1))</f>
        <v/>
      </c>
      <c r="D1436">
        <f>"In-service hours due – "&amp;IF(LEN(INDEX('Aides'!$A$4:$A$503,433))=0,"",INDEX('Aides'!$A$4:$A$503,433))</f>
        <v/>
      </c>
      <c r="E1436">
        <f>IF(ISNUMBER(INDEX('Aides'!$O$4:$O$503,433)),TEXT(INDEX('Aides'!$O$4:$O$503,433),"yyyy-mm-dd"),"")</f>
        <v/>
      </c>
      <c r="F1436">
        <f>"Training"</f>
        <v/>
      </c>
      <c r="G1436">
        <f>"Medium"</f>
        <v/>
      </c>
      <c r="H1436">
        <f>TRIM(IF(LEN(IF(LEN(INDEX('Aides'!$P$4:$P$503,433))=0,"",INDEX('Aides'!$P$4:$P$503,433)))=0,"","Hours done: "&amp;IF(LEN(INDEX('Aides'!$P$4:$P$503,433))=0,"",INDEX('Aides'!$P$4:$P$503,433))&amp;". ")&amp;IF(LEN(IF(LEN(INDEX('Aides'!$Q$4:$Q$503,433))=0,"",INDEX('Aides'!$Q$4:$Q$503,433)))=0,"","Target: "&amp;IF(LEN(INDEX('Aides'!$Q$4:$Q$503,433))=0,"",INDEX('Aides'!$Q$4:$Q$503,433))&amp;". ")&amp;IF(LEN(IF(LEN(INDEX('Aides'!$R$4:$R$503,433))=0,"",INDEX('Aides'!$R$4:$R$503,433)))=0,"","Hours still needed: "&amp;IF(LEN(INDEX('Aides'!$R$4:$R$503,433))=0,"",INDEX('Aides'!$R$4:$R$503,433))&amp;". ")&amp;IF(LEN(IF(LEN(INDEX('Aides'!$U$4:$U$503,433))=0,"",INDEX('Aides'!$U$4:$U$503,433)))=0,"","Owner: "&amp;IF(LEN(INDEX('Aides'!$U$4:$U$503,433))=0,"",INDEX('Aides'!$U$4:$U$503,433))&amp;". "))</f>
        <v/>
      </c>
      <c r="I1436">
        <f>""</f>
        <v/>
      </c>
      <c r="J1436">
        <f>IF(LEN(INDEX('Aides'!$V$4:$V$503,433))=0,"",INDEX('Aides'!$V$4:$V$503,433))</f>
        <v/>
      </c>
    </row>
    <row r="1437">
      <c r="A1437">
        <f>IF(AND(LEN('Aides'!A437)&gt;0,ISNUMBER('Aides'!O437)),1,0)</f>
        <v/>
      </c>
      <c r="B1437">
        <f>B1436+A1437</f>
        <v/>
      </c>
      <c r="C1437">
        <f>IF(1434&gt;$B$1503,"",MATCH(1434-0.5,$B$3:$B$1503,1))</f>
        <v/>
      </c>
      <c r="D1437">
        <f>"In-service hours due – "&amp;IF(LEN(INDEX('Aides'!$A$4:$A$503,434))=0,"",INDEX('Aides'!$A$4:$A$503,434))</f>
        <v/>
      </c>
      <c r="E1437">
        <f>IF(ISNUMBER(INDEX('Aides'!$O$4:$O$503,434)),TEXT(INDEX('Aides'!$O$4:$O$503,434),"yyyy-mm-dd"),"")</f>
        <v/>
      </c>
      <c r="F1437">
        <f>"Training"</f>
        <v/>
      </c>
      <c r="G1437">
        <f>"Medium"</f>
        <v/>
      </c>
      <c r="H1437">
        <f>TRIM(IF(LEN(IF(LEN(INDEX('Aides'!$P$4:$P$503,434))=0,"",INDEX('Aides'!$P$4:$P$503,434)))=0,"","Hours done: "&amp;IF(LEN(INDEX('Aides'!$P$4:$P$503,434))=0,"",INDEX('Aides'!$P$4:$P$503,434))&amp;". ")&amp;IF(LEN(IF(LEN(INDEX('Aides'!$Q$4:$Q$503,434))=0,"",INDEX('Aides'!$Q$4:$Q$503,434)))=0,"","Target: "&amp;IF(LEN(INDEX('Aides'!$Q$4:$Q$503,434))=0,"",INDEX('Aides'!$Q$4:$Q$503,434))&amp;". ")&amp;IF(LEN(IF(LEN(INDEX('Aides'!$R$4:$R$503,434))=0,"",INDEX('Aides'!$R$4:$R$503,434)))=0,"","Hours still needed: "&amp;IF(LEN(INDEX('Aides'!$R$4:$R$503,434))=0,"",INDEX('Aides'!$R$4:$R$503,434))&amp;". ")&amp;IF(LEN(IF(LEN(INDEX('Aides'!$U$4:$U$503,434))=0,"",INDEX('Aides'!$U$4:$U$503,434)))=0,"","Owner: "&amp;IF(LEN(INDEX('Aides'!$U$4:$U$503,434))=0,"",INDEX('Aides'!$U$4:$U$503,434))&amp;". "))</f>
        <v/>
      </c>
      <c r="I1437">
        <f>""</f>
        <v/>
      </c>
      <c r="J1437">
        <f>IF(LEN(INDEX('Aides'!$V$4:$V$503,434))=0,"",INDEX('Aides'!$V$4:$V$503,434))</f>
        <v/>
      </c>
    </row>
    <row r="1438">
      <c r="A1438">
        <f>IF(AND(LEN('Aides'!A438)&gt;0,ISNUMBER('Aides'!O438)),1,0)</f>
        <v/>
      </c>
      <c r="B1438">
        <f>B1437+A1438</f>
        <v/>
      </c>
      <c r="C1438">
        <f>IF(1435&gt;$B$1503,"",MATCH(1435-0.5,$B$3:$B$1503,1))</f>
        <v/>
      </c>
      <c r="D1438">
        <f>"In-service hours due – "&amp;IF(LEN(INDEX('Aides'!$A$4:$A$503,435))=0,"",INDEX('Aides'!$A$4:$A$503,435))</f>
        <v/>
      </c>
      <c r="E1438">
        <f>IF(ISNUMBER(INDEX('Aides'!$O$4:$O$503,435)),TEXT(INDEX('Aides'!$O$4:$O$503,435),"yyyy-mm-dd"),"")</f>
        <v/>
      </c>
      <c r="F1438">
        <f>"Training"</f>
        <v/>
      </c>
      <c r="G1438">
        <f>"Medium"</f>
        <v/>
      </c>
      <c r="H1438">
        <f>TRIM(IF(LEN(IF(LEN(INDEX('Aides'!$P$4:$P$503,435))=0,"",INDEX('Aides'!$P$4:$P$503,435)))=0,"","Hours done: "&amp;IF(LEN(INDEX('Aides'!$P$4:$P$503,435))=0,"",INDEX('Aides'!$P$4:$P$503,435))&amp;". ")&amp;IF(LEN(IF(LEN(INDEX('Aides'!$Q$4:$Q$503,435))=0,"",INDEX('Aides'!$Q$4:$Q$503,435)))=0,"","Target: "&amp;IF(LEN(INDEX('Aides'!$Q$4:$Q$503,435))=0,"",INDEX('Aides'!$Q$4:$Q$503,435))&amp;". ")&amp;IF(LEN(IF(LEN(INDEX('Aides'!$R$4:$R$503,435))=0,"",INDEX('Aides'!$R$4:$R$503,435)))=0,"","Hours still needed: "&amp;IF(LEN(INDEX('Aides'!$R$4:$R$503,435))=0,"",INDEX('Aides'!$R$4:$R$503,435))&amp;". ")&amp;IF(LEN(IF(LEN(INDEX('Aides'!$U$4:$U$503,435))=0,"",INDEX('Aides'!$U$4:$U$503,435)))=0,"","Owner: "&amp;IF(LEN(INDEX('Aides'!$U$4:$U$503,435))=0,"",INDEX('Aides'!$U$4:$U$503,435))&amp;". "))</f>
        <v/>
      </c>
      <c r="I1438">
        <f>""</f>
        <v/>
      </c>
      <c r="J1438">
        <f>IF(LEN(INDEX('Aides'!$V$4:$V$503,435))=0,"",INDEX('Aides'!$V$4:$V$503,435))</f>
        <v/>
      </c>
    </row>
    <row r="1439">
      <c r="A1439">
        <f>IF(AND(LEN('Aides'!A439)&gt;0,ISNUMBER('Aides'!O439)),1,0)</f>
        <v/>
      </c>
      <c r="B1439">
        <f>B1438+A1439</f>
        <v/>
      </c>
      <c r="C1439">
        <f>IF(1436&gt;$B$1503,"",MATCH(1436-0.5,$B$3:$B$1503,1))</f>
        <v/>
      </c>
      <c r="D1439">
        <f>"In-service hours due – "&amp;IF(LEN(INDEX('Aides'!$A$4:$A$503,436))=0,"",INDEX('Aides'!$A$4:$A$503,436))</f>
        <v/>
      </c>
      <c r="E1439">
        <f>IF(ISNUMBER(INDEX('Aides'!$O$4:$O$503,436)),TEXT(INDEX('Aides'!$O$4:$O$503,436),"yyyy-mm-dd"),"")</f>
        <v/>
      </c>
      <c r="F1439">
        <f>"Training"</f>
        <v/>
      </c>
      <c r="G1439">
        <f>"Medium"</f>
        <v/>
      </c>
      <c r="H1439">
        <f>TRIM(IF(LEN(IF(LEN(INDEX('Aides'!$P$4:$P$503,436))=0,"",INDEX('Aides'!$P$4:$P$503,436)))=0,"","Hours done: "&amp;IF(LEN(INDEX('Aides'!$P$4:$P$503,436))=0,"",INDEX('Aides'!$P$4:$P$503,436))&amp;". ")&amp;IF(LEN(IF(LEN(INDEX('Aides'!$Q$4:$Q$503,436))=0,"",INDEX('Aides'!$Q$4:$Q$503,436)))=0,"","Target: "&amp;IF(LEN(INDEX('Aides'!$Q$4:$Q$503,436))=0,"",INDEX('Aides'!$Q$4:$Q$503,436))&amp;". ")&amp;IF(LEN(IF(LEN(INDEX('Aides'!$R$4:$R$503,436))=0,"",INDEX('Aides'!$R$4:$R$503,436)))=0,"","Hours still needed: "&amp;IF(LEN(INDEX('Aides'!$R$4:$R$503,436))=0,"",INDEX('Aides'!$R$4:$R$503,436))&amp;". ")&amp;IF(LEN(IF(LEN(INDEX('Aides'!$U$4:$U$503,436))=0,"",INDEX('Aides'!$U$4:$U$503,436)))=0,"","Owner: "&amp;IF(LEN(INDEX('Aides'!$U$4:$U$503,436))=0,"",INDEX('Aides'!$U$4:$U$503,436))&amp;". "))</f>
        <v/>
      </c>
      <c r="I1439">
        <f>""</f>
        <v/>
      </c>
      <c r="J1439">
        <f>IF(LEN(INDEX('Aides'!$V$4:$V$503,436))=0,"",INDEX('Aides'!$V$4:$V$503,436))</f>
        <v/>
      </c>
    </row>
    <row r="1440">
      <c r="A1440">
        <f>IF(AND(LEN('Aides'!A440)&gt;0,ISNUMBER('Aides'!O440)),1,0)</f>
        <v/>
      </c>
      <c r="B1440">
        <f>B1439+A1440</f>
        <v/>
      </c>
      <c r="C1440">
        <f>IF(1437&gt;$B$1503,"",MATCH(1437-0.5,$B$3:$B$1503,1))</f>
        <v/>
      </c>
      <c r="D1440">
        <f>"In-service hours due – "&amp;IF(LEN(INDEX('Aides'!$A$4:$A$503,437))=0,"",INDEX('Aides'!$A$4:$A$503,437))</f>
        <v/>
      </c>
      <c r="E1440">
        <f>IF(ISNUMBER(INDEX('Aides'!$O$4:$O$503,437)),TEXT(INDEX('Aides'!$O$4:$O$503,437),"yyyy-mm-dd"),"")</f>
        <v/>
      </c>
      <c r="F1440">
        <f>"Training"</f>
        <v/>
      </c>
      <c r="G1440">
        <f>"Medium"</f>
        <v/>
      </c>
      <c r="H1440">
        <f>TRIM(IF(LEN(IF(LEN(INDEX('Aides'!$P$4:$P$503,437))=0,"",INDEX('Aides'!$P$4:$P$503,437)))=0,"","Hours done: "&amp;IF(LEN(INDEX('Aides'!$P$4:$P$503,437))=0,"",INDEX('Aides'!$P$4:$P$503,437))&amp;". ")&amp;IF(LEN(IF(LEN(INDEX('Aides'!$Q$4:$Q$503,437))=0,"",INDEX('Aides'!$Q$4:$Q$503,437)))=0,"","Target: "&amp;IF(LEN(INDEX('Aides'!$Q$4:$Q$503,437))=0,"",INDEX('Aides'!$Q$4:$Q$503,437))&amp;". ")&amp;IF(LEN(IF(LEN(INDEX('Aides'!$R$4:$R$503,437))=0,"",INDEX('Aides'!$R$4:$R$503,437)))=0,"","Hours still needed: "&amp;IF(LEN(INDEX('Aides'!$R$4:$R$503,437))=0,"",INDEX('Aides'!$R$4:$R$503,437))&amp;". ")&amp;IF(LEN(IF(LEN(INDEX('Aides'!$U$4:$U$503,437))=0,"",INDEX('Aides'!$U$4:$U$503,437)))=0,"","Owner: "&amp;IF(LEN(INDEX('Aides'!$U$4:$U$503,437))=0,"",INDEX('Aides'!$U$4:$U$503,437))&amp;". "))</f>
        <v/>
      </c>
      <c r="I1440">
        <f>""</f>
        <v/>
      </c>
      <c r="J1440">
        <f>IF(LEN(INDEX('Aides'!$V$4:$V$503,437))=0,"",INDEX('Aides'!$V$4:$V$503,437))</f>
        <v/>
      </c>
    </row>
    <row r="1441">
      <c r="A1441">
        <f>IF(AND(LEN('Aides'!A441)&gt;0,ISNUMBER('Aides'!O441)),1,0)</f>
        <v/>
      </c>
      <c r="B1441">
        <f>B1440+A1441</f>
        <v/>
      </c>
      <c r="C1441">
        <f>IF(1438&gt;$B$1503,"",MATCH(1438-0.5,$B$3:$B$1503,1))</f>
        <v/>
      </c>
      <c r="D1441">
        <f>"In-service hours due – "&amp;IF(LEN(INDEX('Aides'!$A$4:$A$503,438))=0,"",INDEX('Aides'!$A$4:$A$503,438))</f>
        <v/>
      </c>
      <c r="E1441">
        <f>IF(ISNUMBER(INDEX('Aides'!$O$4:$O$503,438)),TEXT(INDEX('Aides'!$O$4:$O$503,438),"yyyy-mm-dd"),"")</f>
        <v/>
      </c>
      <c r="F1441">
        <f>"Training"</f>
        <v/>
      </c>
      <c r="G1441">
        <f>"Medium"</f>
        <v/>
      </c>
      <c r="H1441">
        <f>TRIM(IF(LEN(IF(LEN(INDEX('Aides'!$P$4:$P$503,438))=0,"",INDEX('Aides'!$P$4:$P$503,438)))=0,"","Hours done: "&amp;IF(LEN(INDEX('Aides'!$P$4:$P$503,438))=0,"",INDEX('Aides'!$P$4:$P$503,438))&amp;". ")&amp;IF(LEN(IF(LEN(INDEX('Aides'!$Q$4:$Q$503,438))=0,"",INDEX('Aides'!$Q$4:$Q$503,438)))=0,"","Target: "&amp;IF(LEN(INDEX('Aides'!$Q$4:$Q$503,438))=0,"",INDEX('Aides'!$Q$4:$Q$503,438))&amp;". ")&amp;IF(LEN(IF(LEN(INDEX('Aides'!$R$4:$R$503,438))=0,"",INDEX('Aides'!$R$4:$R$503,438)))=0,"","Hours still needed: "&amp;IF(LEN(INDEX('Aides'!$R$4:$R$503,438))=0,"",INDEX('Aides'!$R$4:$R$503,438))&amp;". ")&amp;IF(LEN(IF(LEN(INDEX('Aides'!$U$4:$U$503,438))=0,"",INDEX('Aides'!$U$4:$U$503,438)))=0,"","Owner: "&amp;IF(LEN(INDEX('Aides'!$U$4:$U$503,438))=0,"",INDEX('Aides'!$U$4:$U$503,438))&amp;". "))</f>
        <v/>
      </c>
      <c r="I1441">
        <f>""</f>
        <v/>
      </c>
      <c r="J1441">
        <f>IF(LEN(INDEX('Aides'!$V$4:$V$503,438))=0,"",INDEX('Aides'!$V$4:$V$503,438))</f>
        <v/>
      </c>
    </row>
    <row r="1442">
      <c r="A1442">
        <f>IF(AND(LEN('Aides'!A442)&gt;0,ISNUMBER('Aides'!O442)),1,0)</f>
        <v/>
      </c>
      <c r="B1442">
        <f>B1441+A1442</f>
        <v/>
      </c>
      <c r="C1442">
        <f>IF(1439&gt;$B$1503,"",MATCH(1439-0.5,$B$3:$B$1503,1))</f>
        <v/>
      </c>
      <c r="D1442">
        <f>"In-service hours due – "&amp;IF(LEN(INDEX('Aides'!$A$4:$A$503,439))=0,"",INDEX('Aides'!$A$4:$A$503,439))</f>
        <v/>
      </c>
      <c r="E1442">
        <f>IF(ISNUMBER(INDEX('Aides'!$O$4:$O$503,439)),TEXT(INDEX('Aides'!$O$4:$O$503,439),"yyyy-mm-dd"),"")</f>
        <v/>
      </c>
      <c r="F1442">
        <f>"Training"</f>
        <v/>
      </c>
      <c r="G1442">
        <f>"Medium"</f>
        <v/>
      </c>
      <c r="H1442">
        <f>TRIM(IF(LEN(IF(LEN(INDEX('Aides'!$P$4:$P$503,439))=0,"",INDEX('Aides'!$P$4:$P$503,439)))=0,"","Hours done: "&amp;IF(LEN(INDEX('Aides'!$P$4:$P$503,439))=0,"",INDEX('Aides'!$P$4:$P$503,439))&amp;". ")&amp;IF(LEN(IF(LEN(INDEX('Aides'!$Q$4:$Q$503,439))=0,"",INDEX('Aides'!$Q$4:$Q$503,439)))=0,"","Target: "&amp;IF(LEN(INDEX('Aides'!$Q$4:$Q$503,439))=0,"",INDEX('Aides'!$Q$4:$Q$503,439))&amp;". ")&amp;IF(LEN(IF(LEN(INDEX('Aides'!$R$4:$R$503,439))=0,"",INDEX('Aides'!$R$4:$R$503,439)))=0,"","Hours still needed: "&amp;IF(LEN(INDEX('Aides'!$R$4:$R$503,439))=0,"",INDEX('Aides'!$R$4:$R$503,439))&amp;". ")&amp;IF(LEN(IF(LEN(INDEX('Aides'!$U$4:$U$503,439))=0,"",INDEX('Aides'!$U$4:$U$503,439)))=0,"","Owner: "&amp;IF(LEN(INDEX('Aides'!$U$4:$U$503,439))=0,"",INDEX('Aides'!$U$4:$U$503,439))&amp;". "))</f>
        <v/>
      </c>
      <c r="I1442">
        <f>""</f>
        <v/>
      </c>
      <c r="J1442">
        <f>IF(LEN(INDEX('Aides'!$V$4:$V$503,439))=0,"",INDEX('Aides'!$V$4:$V$503,439))</f>
        <v/>
      </c>
    </row>
    <row r="1443">
      <c r="A1443">
        <f>IF(AND(LEN('Aides'!A443)&gt;0,ISNUMBER('Aides'!O443)),1,0)</f>
        <v/>
      </c>
      <c r="B1443">
        <f>B1442+A1443</f>
        <v/>
      </c>
      <c r="C1443">
        <f>IF(1440&gt;$B$1503,"",MATCH(1440-0.5,$B$3:$B$1503,1))</f>
        <v/>
      </c>
      <c r="D1443">
        <f>"In-service hours due – "&amp;IF(LEN(INDEX('Aides'!$A$4:$A$503,440))=0,"",INDEX('Aides'!$A$4:$A$503,440))</f>
        <v/>
      </c>
      <c r="E1443">
        <f>IF(ISNUMBER(INDEX('Aides'!$O$4:$O$503,440)),TEXT(INDEX('Aides'!$O$4:$O$503,440),"yyyy-mm-dd"),"")</f>
        <v/>
      </c>
      <c r="F1443">
        <f>"Training"</f>
        <v/>
      </c>
      <c r="G1443">
        <f>"Medium"</f>
        <v/>
      </c>
      <c r="H1443">
        <f>TRIM(IF(LEN(IF(LEN(INDEX('Aides'!$P$4:$P$503,440))=0,"",INDEX('Aides'!$P$4:$P$503,440)))=0,"","Hours done: "&amp;IF(LEN(INDEX('Aides'!$P$4:$P$503,440))=0,"",INDEX('Aides'!$P$4:$P$503,440))&amp;". ")&amp;IF(LEN(IF(LEN(INDEX('Aides'!$Q$4:$Q$503,440))=0,"",INDEX('Aides'!$Q$4:$Q$503,440)))=0,"","Target: "&amp;IF(LEN(INDEX('Aides'!$Q$4:$Q$503,440))=0,"",INDEX('Aides'!$Q$4:$Q$503,440))&amp;". ")&amp;IF(LEN(IF(LEN(INDEX('Aides'!$R$4:$R$503,440))=0,"",INDEX('Aides'!$R$4:$R$503,440)))=0,"","Hours still needed: "&amp;IF(LEN(INDEX('Aides'!$R$4:$R$503,440))=0,"",INDEX('Aides'!$R$4:$R$503,440))&amp;". ")&amp;IF(LEN(IF(LEN(INDEX('Aides'!$U$4:$U$503,440))=0,"",INDEX('Aides'!$U$4:$U$503,440)))=0,"","Owner: "&amp;IF(LEN(INDEX('Aides'!$U$4:$U$503,440))=0,"",INDEX('Aides'!$U$4:$U$503,440))&amp;". "))</f>
        <v/>
      </c>
      <c r="I1443">
        <f>""</f>
        <v/>
      </c>
      <c r="J1443">
        <f>IF(LEN(INDEX('Aides'!$V$4:$V$503,440))=0,"",INDEX('Aides'!$V$4:$V$503,440))</f>
        <v/>
      </c>
    </row>
    <row r="1444">
      <c r="A1444">
        <f>IF(AND(LEN('Aides'!A444)&gt;0,ISNUMBER('Aides'!O444)),1,0)</f>
        <v/>
      </c>
      <c r="B1444">
        <f>B1443+A1444</f>
        <v/>
      </c>
      <c r="C1444">
        <f>IF(1441&gt;$B$1503,"",MATCH(1441-0.5,$B$3:$B$1503,1))</f>
        <v/>
      </c>
      <c r="D1444">
        <f>"In-service hours due – "&amp;IF(LEN(INDEX('Aides'!$A$4:$A$503,441))=0,"",INDEX('Aides'!$A$4:$A$503,441))</f>
        <v/>
      </c>
      <c r="E1444">
        <f>IF(ISNUMBER(INDEX('Aides'!$O$4:$O$503,441)),TEXT(INDEX('Aides'!$O$4:$O$503,441),"yyyy-mm-dd"),"")</f>
        <v/>
      </c>
      <c r="F1444">
        <f>"Training"</f>
        <v/>
      </c>
      <c r="G1444">
        <f>"Medium"</f>
        <v/>
      </c>
      <c r="H1444">
        <f>TRIM(IF(LEN(IF(LEN(INDEX('Aides'!$P$4:$P$503,441))=0,"",INDEX('Aides'!$P$4:$P$503,441)))=0,"","Hours done: "&amp;IF(LEN(INDEX('Aides'!$P$4:$P$503,441))=0,"",INDEX('Aides'!$P$4:$P$503,441))&amp;". ")&amp;IF(LEN(IF(LEN(INDEX('Aides'!$Q$4:$Q$503,441))=0,"",INDEX('Aides'!$Q$4:$Q$503,441)))=0,"","Target: "&amp;IF(LEN(INDEX('Aides'!$Q$4:$Q$503,441))=0,"",INDEX('Aides'!$Q$4:$Q$503,441))&amp;". ")&amp;IF(LEN(IF(LEN(INDEX('Aides'!$R$4:$R$503,441))=0,"",INDEX('Aides'!$R$4:$R$503,441)))=0,"","Hours still needed: "&amp;IF(LEN(INDEX('Aides'!$R$4:$R$503,441))=0,"",INDEX('Aides'!$R$4:$R$503,441))&amp;". ")&amp;IF(LEN(IF(LEN(INDEX('Aides'!$U$4:$U$503,441))=0,"",INDEX('Aides'!$U$4:$U$503,441)))=0,"","Owner: "&amp;IF(LEN(INDEX('Aides'!$U$4:$U$503,441))=0,"",INDEX('Aides'!$U$4:$U$503,441))&amp;". "))</f>
        <v/>
      </c>
      <c r="I1444">
        <f>""</f>
        <v/>
      </c>
      <c r="J1444">
        <f>IF(LEN(INDEX('Aides'!$V$4:$V$503,441))=0,"",INDEX('Aides'!$V$4:$V$503,441))</f>
        <v/>
      </c>
    </row>
    <row r="1445">
      <c r="A1445">
        <f>IF(AND(LEN('Aides'!A445)&gt;0,ISNUMBER('Aides'!O445)),1,0)</f>
        <v/>
      </c>
      <c r="B1445">
        <f>B1444+A1445</f>
        <v/>
      </c>
      <c r="C1445">
        <f>IF(1442&gt;$B$1503,"",MATCH(1442-0.5,$B$3:$B$1503,1))</f>
        <v/>
      </c>
      <c r="D1445">
        <f>"In-service hours due – "&amp;IF(LEN(INDEX('Aides'!$A$4:$A$503,442))=0,"",INDEX('Aides'!$A$4:$A$503,442))</f>
        <v/>
      </c>
      <c r="E1445">
        <f>IF(ISNUMBER(INDEX('Aides'!$O$4:$O$503,442)),TEXT(INDEX('Aides'!$O$4:$O$503,442),"yyyy-mm-dd"),"")</f>
        <v/>
      </c>
      <c r="F1445">
        <f>"Training"</f>
        <v/>
      </c>
      <c r="G1445">
        <f>"Medium"</f>
        <v/>
      </c>
      <c r="H1445">
        <f>TRIM(IF(LEN(IF(LEN(INDEX('Aides'!$P$4:$P$503,442))=0,"",INDEX('Aides'!$P$4:$P$503,442)))=0,"","Hours done: "&amp;IF(LEN(INDEX('Aides'!$P$4:$P$503,442))=0,"",INDEX('Aides'!$P$4:$P$503,442))&amp;". ")&amp;IF(LEN(IF(LEN(INDEX('Aides'!$Q$4:$Q$503,442))=0,"",INDEX('Aides'!$Q$4:$Q$503,442)))=0,"","Target: "&amp;IF(LEN(INDEX('Aides'!$Q$4:$Q$503,442))=0,"",INDEX('Aides'!$Q$4:$Q$503,442))&amp;". ")&amp;IF(LEN(IF(LEN(INDEX('Aides'!$R$4:$R$503,442))=0,"",INDEX('Aides'!$R$4:$R$503,442)))=0,"","Hours still needed: "&amp;IF(LEN(INDEX('Aides'!$R$4:$R$503,442))=0,"",INDEX('Aides'!$R$4:$R$503,442))&amp;". ")&amp;IF(LEN(IF(LEN(INDEX('Aides'!$U$4:$U$503,442))=0,"",INDEX('Aides'!$U$4:$U$503,442)))=0,"","Owner: "&amp;IF(LEN(INDEX('Aides'!$U$4:$U$503,442))=0,"",INDEX('Aides'!$U$4:$U$503,442))&amp;". "))</f>
        <v/>
      </c>
      <c r="I1445">
        <f>""</f>
        <v/>
      </c>
      <c r="J1445">
        <f>IF(LEN(INDEX('Aides'!$V$4:$V$503,442))=0,"",INDEX('Aides'!$V$4:$V$503,442))</f>
        <v/>
      </c>
    </row>
    <row r="1446">
      <c r="A1446">
        <f>IF(AND(LEN('Aides'!A446)&gt;0,ISNUMBER('Aides'!O446)),1,0)</f>
        <v/>
      </c>
      <c r="B1446">
        <f>B1445+A1446</f>
        <v/>
      </c>
      <c r="C1446">
        <f>IF(1443&gt;$B$1503,"",MATCH(1443-0.5,$B$3:$B$1503,1))</f>
        <v/>
      </c>
      <c r="D1446">
        <f>"In-service hours due – "&amp;IF(LEN(INDEX('Aides'!$A$4:$A$503,443))=0,"",INDEX('Aides'!$A$4:$A$503,443))</f>
        <v/>
      </c>
      <c r="E1446">
        <f>IF(ISNUMBER(INDEX('Aides'!$O$4:$O$503,443)),TEXT(INDEX('Aides'!$O$4:$O$503,443),"yyyy-mm-dd"),"")</f>
        <v/>
      </c>
      <c r="F1446">
        <f>"Training"</f>
        <v/>
      </c>
      <c r="G1446">
        <f>"Medium"</f>
        <v/>
      </c>
      <c r="H1446">
        <f>TRIM(IF(LEN(IF(LEN(INDEX('Aides'!$P$4:$P$503,443))=0,"",INDEX('Aides'!$P$4:$P$503,443)))=0,"","Hours done: "&amp;IF(LEN(INDEX('Aides'!$P$4:$P$503,443))=0,"",INDEX('Aides'!$P$4:$P$503,443))&amp;". ")&amp;IF(LEN(IF(LEN(INDEX('Aides'!$Q$4:$Q$503,443))=0,"",INDEX('Aides'!$Q$4:$Q$503,443)))=0,"","Target: "&amp;IF(LEN(INDEX('Aides'!$Q$4:$Q$503,443))=0,"",INDEX('Aides'!$Q$4:$Q$503,443))&amp;". ")&amp;IF(LEN(IF(LEN(INDEX('Aides'!$R$4:$R$503,443))=0,"",INDEX('Aides'!$R$4:$R$503,443)))=0,"","Hours still needed: "&amp;IF(LEN(INDEX('Aides'!$R$4:$R$503,443))=0,"",INDEX('Aides'!$R$4:$R$503,443))&amp;". ")&amp;IF(LEN(IF(LEN(INDEX('Aides'!$U$4:$U$503,443))=0,"",INDEX('Aides'!$U$4:$U$503,443)))=0,"","Owner: "&amp;IF(LEN(INDEX('Aides'!$U$4:$U$503,443))=0,"",INDEX('Aides'!$U$4:$U$503,443))&amp;". "))</f>
        <v/>
      </c>
      <c r="I1446">
        <f>""</f>
        <v/>
      </c>
      <c r="J1446">
        <f>IF(LEN(INDEX('Aides'!$V$4:$V$503,443))=0,"",INDEX('Aides'!$V$4:$V$503,443))</f>
        <v/>
      </c>
    </row>
    <row r="1447">
      <c r="A1447">
        <f>IF(AND(LEN('Aides'!A447)&gt;0,ISNUMBER('Aides'!O447)),1,0)</f>
        <v/>
      </c>
      <c r="B1447">
        <f>B1446+A1447</f>
        <v/>
      </c>
      <c r="C1447">
        <f>IF(1444&gt;$B$1503,"",MATCH(1444-0.5,$B$3:$B$1503,1))</f>
        <v/>
      </c>
      <c r="D1447">
        <f>"In-service hours due – "&amp;IF(LEN(INDEX('Aides'!$A$4:$A$503,444))=0,"",INDEX('Aides'!$A$4:$A$503,444))</f>
        <v/>
      </c>
      <c r="E1447">
        <f>IF(ISNUMBER(INDEX('Aides'!$O$4:$O$503,444)),TEXT(INDEX('Aides'!$O$4:$O$503,444),"yyyy-mm-dd"),"")</f>
        <v/>
      </c>
      <c r="F1447">
        <f>"Training"</f>
        <v/>
      </c>
      <c r="G1447">
        <f>"Medium"</f>
        <v/>
      </c>
      <c r="H1447">
        <f>TRIM(IF(LEN(IF(LEN(INDEX('Aides'!$P$4:$P$503,444))=0,"",INDEX('Aides'!$P$4:$P$503,444)))=0,"","Hours done: "&amp;IF(LEN(INDEX('Aides'!$P$4:$P$503,444))=0,"",INDEX('Aides'!$P$4:$P$503,444))&amp;". ")&amp;IF(LEN(IF(LEN(INDEX('Aides'!$Q$4:$Q$503,444))=0,"",INDEX('Aides'!$Q$4:$Q$503,444)))=0,"","Target: "&amp;IF(LEN(INDEX('Aides'!$Q$4:$Q$503,444))=0,"",INDEX('Aides'!$Q$4:$Q$503,444))&amp;". ")&amp;IF(LEN(IF(LEN(INDEX('Aides'!$R$4:$R$503,444))=0,"",INDEX('Aides'!$R$4:$R$503,444)))=0,"","Hours still needed: "&amp;IF(LEN(INDEX('Aides'!$R$4:$R$503,444))=0,"",INDEX('Aides'!$R$4:$R$503,444))&amp;". ")&amp;IF(LEN(IF(LEN(INDEX('Aides'!$U$4:$U$503,444))=0,"",INDEX('Aides'!$U$4:$U$503,444)))=0,"","Owner: "&amp;IF(LEN(INDEX('Aides'!$U$4:$U$503,444))=0,"",INDEX('Aides'!$U$4:$U$503,444))&amp;". "))</f>
        <v/>
      </c>
      <c r="I1447">
        <f>""</f>
        <v/>
      </c>
      <c r="J1447">
        <f>IF(LEN(INDEX('Aides'!$V$4:$V$503,444))=0,"",INDEX('Aides'!$V$4:$V$503,444))</f>
        <v/>
      </c>
    </row>
    <row r="1448">
      <c r="A1448">
        <f>IF(AND(LEN('Aides'!A448)&gt;0,ISNUMBER('Aides'!O448)),1,0)</f>
        <v/>
      </c>
      <c r="B1448">
        <f>B1447+A1448</f>
        <v/>
      </c>
      <c r="C1448">
        <f>IF(1445&gt;$B$1503,"",MATCH(1445-0.5,$B$3:$B$1503,1))</f>
        <v/>
      </c>
      <c r="D1448">
        <f>"In-service hours due – "&amp;IF(LEN(INDEX('Aides'!$A$4:$A$503,445))=0,"",INDEX('Aides'!$A$4:$A$503,445))</f>
        <v/>
      </c>
      <c r="E1448">
        <f>IF(ISNUMBER(INDEX('Aides'!$O$4:$O$503,445)),TEXT(INDEX('Aides'!$O$4:$O$503,445),"yyyy-mm-dd"),"")</f>
        <v/>
      </c>
      <c r="F1448">
        <f>"Training"</f>
        <v/>
      </c>
      <c r="G1448">
        <f>"Medium"</f>
        <v/>
      </c>
      <c r="H1448">
        <f>TRIM(IF(LEN(IF(LEN(INDEX('Aides'!$P$4:$P$503,445))=0,"",INDEX('Aides'!$P$4:$P$503,445)))=0,"","Hours done: "&amp;IF(LEN(INDEX('Aides'!$P$4:$P$503,445))=0,"",INDEX('Aides'!$P$4:$P$503,445))&amp;". ")&amp;IF(LEN(IF(LEN(INDEX('Aides'!$Q$4:$Q$503,445))=0,"",INDEX('Aides'!$Q$4:$Q$503,445)))=0,"","Target: "&amp;IF(LEN(INDEX('Aides'!$Q$4:$Q$503,445))=0,"",INDEX('Aides'!$Q$4:$Q$503,445))&amp;". ")&amp;IF(LEN(IF(LEN(INDEX('Aides'!$R$4:$R$503,445))=0,"",INDEX('Aides'!$R$4:$R$503,445)))=0,"","Hours still needed: "&amp;IF(LEN(INDEX('Aides'!$R$4:$R$503,445))=0,"",INDEX('Aides'!$R$4:$R$503,445))&amp;". ")&amp;IF(LEN(IF(LEN(INDEX('Aides'!$U$4:$U$503,445))=0,"",INDEX('Aides'!$U$4:$U$503,445)))=0,"","Owner: "&amp;IF(LEN(INDEX('Aides'!$U$4:$U$503,445))=0,"",INDEX('Aides'!$U$4:$U$503,445))&amp;". "))</f>
        <v/>
      </c>
      <c r="I1448">
        <f>""</f>
        <v/>
      </c>
      <c r="J1448">
        <f>IF(LEN(INDEX('Aides'!$V$4:$V$503,445))=0,"",INDEX('Aides'!$V$4:$V$503,445))</f>
        <v/>
      </c>
    </row>
    <row r="1449">
      <c r="A1449">
        <f>IF(AND(LEN('Aides'!A449)&gt;0,ISNUMBER('Aides'!O449)),1,0)</f>
        <v/>
      </c>
      <c r="B1449">
        <f>B1448+A1449</f>
        <v/>
      </c>
      <c r="C1449">
        <f>IF(1446&gt;$B$1503,"",MATCH(1446-0.5,$B$3:$B$1503,1))</f>
        <v/>
      </c>
      <c r="D1449">
        <f>"In-service hours due – "&amp;IF(LEN(INDEX('Aides'!$A$4:$A$503,446))=0,"",INDEX('Aides'!$A$4:$A$503,446))</f>
        <v/>
      </c>
      <c r="E1449">
        <f>IF(ISNUMBER(INDEX('Aides'!$O$4:$O$503,446)),TEXT(INDEX('Aides'!$O$4:$O$503,446),"yyyy-mm-dd"),"")</f>
        <v/>
      </c>
      <c r="F1449">
        <f>"Training"</f>
        <v/>
      </c>
      <c r="G1449">
        <f>"Medium"</f>
        <v/>
      </c>
      <c r="H1449">
        <f>TRIM(IF(LEN(IF(LEN(INDEX('Aides'!$P$4:$P$503,446))=0,"",INDEX('Aides'!$P$4:$P$503,446)))=0,"","Hours done: "&amp;IF(LEN(INDEX('Aides'!$P$4:$P$503,446))=0,"",INDEX('Aides'!$P$4:$P$503,446))&amp;". ")&amp;IF(LEN(IF(LEN(INDEX('Aides'!$Q$4:$Q$503,446))=0,"",INDEX('Aides'!$Q$4:$Q$503,446)))=0,"","Target: "&amp;IF(LEN(INDEX('Aides'!$Q$4:$Q$503,446))=0,"",INDEX('Aides'!$Q$4:$Q$503,446))&amp;". ")&amp;IF(LEN(IF(LEN(INDEX('Aides'!$R$4:$R$503,446))=0,"",INDEX('Aides'!$R$4:$R$503,446)))=0,"","Hours still needed: "&amp;IF(LEN(INDEX('Aides'!$R$4:$R$503,446))=0,"",INDEX('Aides'!$R$4:$R$503,446))&amp;". ")&amp;IF(LEN(IF(LEN(INDEX('Aides'!$U$4:$U$503,446))=0,"",INDEX('Aides'!$U$4:$U$503,446)))=0,"","Owner: "&amp;IF(LEN(INDEX('Aides'!$U$4:$U$503,446))=0,"",INDEX('Aides'!$U$4:$U$503,446))&amp;". "))</f>
        <v/>
      </c>
      <c r="I1449">
        <f>""</f>
        <v/>
      </c>
      <c r="J1449">
        <f>IF(LEN(INDEX('Aides'!$V$4:$V$503,446))=0,"",INDEX('Aides'!$V$4:$V$503,446))</f>
        <v/>
      </c>
    </row>
    <row r="1450">
      <c r="A1450">
        <f>IF(AND(LEN('Aides'!A450)&gt;0,ISNUMBER('Aides'!O450)),1,0)</f>
        <v/>
      </c>
      <c r="B1450">
        <f>B1449+A1450</f>
        <v/>
      </c>
      <c r="C1450">
        <f>IF(1447&gt;$B$1503,"",MATCH(1447-0.5,$B$3:$B$1503,1))</f>
        <v/>
      </c>
      <c r="D1450">
        <f>"In-service hours due – "&amp;IF(LEN(INDEX('Aides'!$A$4:$A$503,447))=0,"",INDEX('Aides'!$A$4:$A$503,447))</f>
        <v/>
      </c>
      <c r="E1450">
        <f>IF(ISNUMBER(INDEX('Aides'!$O$4:$O$503,447)),TEXT(INDEX('Aides'!$O$4:$O$503,447),"yyyy-mm-dd"),"")</f>
        <v/>
      </c>
      <c r="F1450">
        <f>"Training"</f>
        <v/>
      </c>
      <c r="G1450">
        <f>"Medium"</f>
        <v/>
      </c>
      <c r="H1450">
        <f>TRIM(IF(LEN(IF(LEN(INDEX('Aides'!$P$4:$P$503,447))=0,"",INDEX('Aides'!$P$4:$P$503,447)))=0,"","Hours done: "&amp;IF(LEN(INDEX('Aides'!$P$4:$P$503,447))=0,"",INDEX('Aides'!$P$4:$P$503,447))&amp;". ")&amp;IF(LEN(IF(LEN(INDEX('Aides'!$Q$4:$Q$503,447))=0,"",INDEX('Aides'!$Q$4:$Q$503,447)))=0,"","Target: "&amp;IF(LEN(INDEX('Aides'!$Q$4:$Q$503,447))=0,"",INDEX('Aides'!$Q$4:$Q$503,447))&amp;". ")&amp;IF(LEN(IF(LEN(INDEX('Aides'!$R$4:$R$503,447))=0,"",INDEX('Aides'!$R$4:$R$503,447)))=0,"","Hours still needed: "&amp;IF(LEN(INDEX('Aides'!$R$4:$R$503,447))=0,"",INDEX('Aides'!$R$4:$R$503,447))&amp;". ")&amp;IF(LEN(IF(LEN(INDEX('Aides'!$U$4:$U$503,447))=0,"",INDEX('Aides'!$U$4:$U$503,447)))=0,"","Owner: "&amp;IF(LEN(INDEX('Aides'!$U$4:$U$503,447))=0,"",INDEX('Aides'!$U$4:$U$503,447))&amp;". "))</f>
        <v/>
      </c>
      <c r="I1450">
        <f>""</f>
        <v/>
      </c>
      <c r="J1450">
        <f>IF(LEN(INDEX('Aides'!$V$4:$V$503,447))=0,"",INDEX('Aides'!$V$4:$V$503,447))</f>
        <v/>
      </c>
    </row>
    <row r="1451">
      <c r="A1451">
        <f>IF(AND(LEN('Aides'!A451)&gt;0,ISNUMBER('Aides'!O451)),1,0)</f>
        <v/>
      </c>
      <c r="B1451">
        <f>B1450+A1451</f>
        <v/>
      </c>
      <c r="C1451">
        <f>IF(1448&gt;$B$1503,"",MATCH(1448-0.5,$B$3:$B$1503,1))</f>
        <v/>
      </c>
      <c r="D1451">
        <f>"In-service hours due – "&amp;IF(LEN(INDEX('Aides'!$A$4:$A$503,448))=0,"",INDEX('Aides'!$A$4:$A$503,448))</f>
        <v/>
      </c>
      <c r="E1451">
        <f>IF(ISNUMBER(INDEX('Aides'!$O$4:$O$503,448)),TEXT(INDEX('Aides'!$O$4:$O$503,448),"yyyy-mm-dd"),"")</f>
        <v/>
      </c>
      <c r="F1451">
        <f>"Training"</f>
        <v/>
      </c>
      <c r="G1451">
        <f>"Medium"</f>
        <v/>
      </c>
      <c r="H1451">
        <f>TRIM(IF(LEN(IF(LEN(INDEX('Aides'!$P$4:$P$503,448))=0,"",INDEX('Aides'!$P$4:$P$503,448)))=0,"","Hours done: "&amp;IF(LEN(INDEX('Aides'!$P$4:$P$503,448))=0,"",INDEX('Aides'!$P$4:$P$503,448))&amp;". ")&amp;IF(LEN(IF(LEN(INDEX('Aides'!$Q$4:$Q$503,448))=0,"",INDEX('Aides'!$Q$4:$Q$503,448)))=0,"","Target: "&amp;IF(LEN(INDEX('Aides'!$Q$4:$Q$503,448))=0,"",INDEX('Aides'!$Q$4:$Q$503,448))&amp;". ")&amp;IF(LEN(IF(LEN(INDEX('Aides'!$R$4:$R$503,448))=0,"",INDEX('Aides'!$R$4:$R$503,448)))=0,"","Hours still needed: "&amp;IF(LEN(INDEX('Aides'!$R$4:$R$503,448))=0,"",INDEX('Aides'!$R$4:$R$503,448))&amp;". ")&amp;IF(LEN(IF(LEN(INDEX('Aides'!$U$4:$U$503,448))=0,"",INDEX('Aides'!$U$4:$U$503,448)))=0,"","Owner: "&amp;IF(LEN(INDEX('Aides'!$U$4:$U$503,448))=0,"",INDEX('Aides'!$U$4:$U$503,448))&amp;". "))</f>
        <v/>
      </c>
      <c r="I1451">
        <f>""</f>
        <v/>
      </c>
      <c r="J1451">
        <f>IF(LEN(INDEX('Aides'!$V$4:$V$503,448))=0,"",INDEX('Aides'!$V$4:$V$503,448))</f>
        <v/>
      </c>
    </row>
    <row r="1452">
      <c r="A1452">
        <f>IF(AND(LEN('Aides'!A452)&gt;0,ISNUMBER('Aides'!O452)),1,0)</f>
        <v/>
      </c>
      <c r="B1452">
        <f>B1451+A1452</f>
        <v/>
      </c>
      <c r="C1452">
        <f>IF(1449&gt;$B$1503,"",MATCH(1449-0.5,$B$3:$B$1503,1))</f>
        <v/>
      </c>
      <c r="D1452">
        <f>"In-service hours due – "&amp;IF(LEN(INDEX('Aides'!$A$4:$A$503,449))=0,"",INDEX('Aides'!$A$4:$A$503,449))</f>
        <v/>
      </c>
      <c r="E1452">
        <f>IF(ISNUMBER(INDEX('Aides'!$O$4:$O$503,449)),TEXT(INDEX('Aides'!$O$4:$O$503,449),"yyyy-mm-dd"),"")</f>
        <v/>
      </c>
      <c r="F1452">
        <f>"Training"</f>
        <v/>
      </c>
      <c r="G1452">
        <f>"Medium"</f>
        <v/>
      </c>
      <c r="H1452">
        <f>TRIM(IF(LEN(IF(LEN(INDEX('Aides'!$P$4:$P$503,449))=0,"",INDEX('Aides'!$P$4:$P$503,449)))=0,"","Hours done: "&amp;IF(LEN(INDEX('Aides'!$P$4:$P$503,449))=0,"",INDEX('Aides'!$P$4:$P$503,449))&amp;". ")&amp;IF(LEN(IF(LEN(INDEX('Aides'!$Q$4:$Q$503,449))=0,"",INDEX('Aides'!$Q$4:$Q$503,449)))=0,"","Target: "&amp;IF(LEN(INDEX('Aides'!$Q$4:$Q$503,449))=0,"",INDEX('Aides'!$Q$4:$Q$503,449))&amp;". ")&amp;IF(LEN(IF(LEN(INDEX('Aides'!$R$4:$R$503,449))=0,"",INDEX('Aides'!$R$4:$R$503,449)))=0,"","Hours still needed: "&amp;IF(LEN(INDEX('Aides'!$R$4:$R$503,449))=0,"",INDEX('Aides'!$R$4:$R$503,449))&amp;". ")&amp;IF(LEN(IF(LEN(INDEX('Aides'!$U$4:$U$503,449))=0,"",INDEX('Aides'!$U$4:$U$503,449)))=0,"","Owner: "&amp;IF(LEN(INDEX('Aides'!$U$4:$U$503,449))=0,"",INDEX('Aides'!$U$4:$U$503,449))&amp;". "))</f>
        <v/>
      </c>
      <c r="I1452">
        <f>""</f>
        <v/>
      </c>
      <c r="J1452">
        <f>IF(LEN(INDEX('Aides'!$V$4:$V$503,449))=0,"",INDEX('Aides'!$V$4:$V$503,449))</f>
        <v/>
      </c>
    </row>
    <row r="1453">
      <c r="A1453">
        <f>IF(AND(LEN('Aides'!A453)&gt;0,ISNUMBER('Aides'!O453)),1,0)</f>
        <v/>
      </c>
      <c r="B1453">
        <f>B1452+A1453</f>
        <v/>
      </c>
      <c r="C1453">
        <f>IF(1450&gt;$B$1503,"",MATCH(1450-0.5,$B$3:$B$1503,1))</f>
        <v/>
      </c>
      <c r="D1453">
        <f>"In-service hours due – "&amp;IF(LEN(INDEX('Aides'!$A$4:$A$503,450))=0,"",INDEX('Aides'!$A$4:$A$503,450))</f>
        <v/>
      </c>
      <c r="E1453">
        <f>IF(ISNUMBER(INDEX('Aides'!$O$4:$O$503,450)),TEXT(INDEX('Aides'!$O$4:$O$503,450),"yyyy-mm-dd"),"")</f>
        <v/>
      </c>
      <c r="F1453">
        <f>"Training"</f>
        <v/>
      </c>
      <c r="G1453">
        <f>"Medium"</f>
        <v/>
      </c>
      <c r="H1453">
        <f>TRIM(IF(LEN(IF(LEN(INDEX('Aides'!$P$4:$P$503,450))=0,"",INDEX('Aides'!$P$4:$P$503,450)))=0,"","Hours done: "&amp;IF(LEN(INDEX('Aides'!$P$4:$P$503,450))=0,"",INDEX('Aides'!$P$4:$P$503,450))&amp;". ")&amp;IF(LEN(IF(LEN(INDEX('Aides'!$Q$4:$Q$503,450))=0,"",INDEX('Aides'!$Q$4:$Q$503,450)))=0,"","Target: "&amp;IF(LEN(INDEX('Aides'!$Q$4:$Q$503,450))=0,"",INDEX('Aides'!$Q$4:$Q$503,450))&amp;". ")&amp;IF(LEN(IF(LEN(INDEX('Aides'!$R$4:$R$503,450))=0,"",INDEX('Aides'!$R$4:$R$503,450)))=0,"","Hours still needed: "&amp;IF(LEN(INDEX('Aides'!$R$4:$R$503,450))=0,"",INDEX('Aides'!$R$4:$R$503,450))&amp;". ")&amp;IF(LEN(IF(LEN(INDEX('Aides'!$U$4:$U$503,450))=0,"",INDEX('Aides'!$U$4:$U$503,450)))=0,"","Owner: "&amp;IF(LEN(INDEX('Aides'!$U$4:$U$503,450))=0,"",INDEX('Aides'!$U$4:$U$503,450))&amp;". "))</f>
        <v/>
      </c>
      <c r="I1453">
        <f>""</f>
        <v/>
      </c>
      <c r="J1453">
        <f>IF(LEN(INDEX('Aides'!$V$4:$V$503,450))=0,"",INDEX('Aides'!$V$4:$V$503,450))</f>
        <v/>
      </c>
    </row>
    <row r="1454">
      <c r="A1454">
        <f>IF(AND(LEN('Aides'!A454)&gt;0,ISNUMBER('Aides'!O454)),1,0)</f>
        <v/>
      </c>
      <c r="B1454">
        <f>B1453+A1454</f>
        <v/>
      </c>
      <c r="C1454">
        <f>IF(1451&gt;$B$1503,"",MATCH(1451-0.5,$B$3:$B$1503,1))</f>
        <v/>
      </c>
      <c r="D1454">
        <f>"In-service hours due – "&amp;IF(LEN(INDEX('Aides'!$A$4:$A$503,451))=0,"",INDEX('Aides'!$A$4:$A$503,451))</f>
        <v/>
      </c>
      <c r="E1454">
        <f>IF(ISNUMBER(INDEX('Aides'!$O$4:$O$503,451)),TEXT(INDEX('Aides'!$O$4:$O$503,451),"yyyy-mm-dd"),"")</f>
        <v/>
      </c>
      <c r="F1454">
        <f>"Training"</f>
        <v/>
      </c>
      <c r="G1454">
        <f>"Medium"</f>
        <v/>
      </c>
      <c r="H1454">
        <f>TRIM(IF(LEN(IF(LEN(INDEX('Aides'!$P$4:$P$503,451))=0,"",INDEX('Aides'!$P$4:$P$503,451)))=0,"","Hours done: "&amp;IF(LEN(INDEX('Aides'!$P$4:$P$503,451))=0,"",INDEX('Aides'!$P$4:$P$503,451))&amp;". ")&amp;IF(LEN(IF(LEN(INDEX('Aides'!$Q$4:$Q$503,451))=0,"",INDEX('Aides'!$Q$4:$Q$503,451)))=0,"","Target: "&amp;IF(LEN(INDEX('Aides'!$Q$4:$Q$503,451))=0,"",INDEX('Aides'!$Q$4:$Q$503,451))&amp;". ")&amp;IF(LEN(IF(LEN(INDEX('Aides'!$R$4:$R$503,451))=0,"",INDEX('Aides'!$R$4:$R$503,451)))=0,"","Hours still needed: "&amp;IF(LEN(INDEX('Aides'!$R$4:$R$503,451))=0,"",INDEX('Aides'!$R$4:$R$503,451))&amp;". ")&amp;IF(LEN(IF(LEN(INDEX('Aides'!$U$4:$U$503,451))=0,"",INDEX('Aides'!$U$4:$U$503,451)))=0,"","Owner: "&amp;IF(LEN(INDEX('Aides'!$U$4:$U$503,451))=0,"",INDEX('Aides'!$U$4:$U$503,451))&amp;". "))</f>
        <v/>
      </c>
      <c r="I1454">
        <f>""</f>
        <v/>
      </c>
      <c r="J1454">
        <f>IF(LEN(INDEX('Aides'!$V$4:$V$503,451))=0,"",INDEX('Aides'!$V$4:$V$503,451))</f>
        <v/>
      </c>
    </row>
    <row r="1455">
      <c r="A1455">
        <f>IF(AND(LEN('Aides'!A455)&gt;0,ISNUMBER('Aides'!O455)),1,0)</f>
        <v/>
      </c>
      <c r="B1455">
        <f>B1454+A1455</f>
        <v/>
      </c>
      <c r="C1455">
        <f>IF(1452&gt;$B$1503,"",MATCH(1452-0.5,$B$3:$B$1503,1))</f>
        <v/>
      </c>
      <c r="D1455">
        <f>"In-service hours due – "&amp;IF(LEN(INDEX('Aides'!$A$4:$A$503,452))=0,"",INDEX('Aides'!$A$4:$A$503,452))</f>
        <v/>
      </c>
      <c r="E1455">
        <f>IF(ISNUMBER(INDEX('Aides'!$O$4:$O$503,452)),TEXT(INDEX('Aides'!$O$4:$O$503,452),"yyyy-mm-dd"),"")</f>
        <v/>
      </c>
      <c r="F1455">
        <f>"Training"</f>
        <v/>
      </c>
      <c r="G1455">
        <f>"Medium"</f>
        <v/>
      </c>
      <c r="H1455">
        <f>TRIM(IF(LEN(IF(LEN(INDEX('Aides'!$P$4:$P$503,452))=0,"",INDEX('Aides'!$P$4:$P$503,452)))=0,"","Hours done: "&amp;IF(LEN(INDEX('Aides'!$P$4:$P$503,452))=0,"",INDEX('Aides'!$P$4:$P$503,452))&amp;". ")&amp;IF(LEN(IF(LEN(INDEX('Aides'!$Q$4:$Q$503,452))=0,"",INDEX('Aides'!$Q$4:$Q$503,452)))=0,"","Target: "&amp;IF(LEN(INDEX('Aides'!$Q$4:$Q$503,452))=0,"",INDEX('Aides'!$Q$4:$Q$503,452))&amp;". ")&amp;IF(LEN(IF(LEN(INDEX('Aides'!$R$4:$R$503,452))=0,"",INDEX('Aides'!$R$4:$R$503,452)))=0,"","Hours still needed: "&amp;IF(LEN(INDEX('Aides'!$R$4:$R$503,452))=0,"",INDEX('Aides'!$R$4:$R$503,452))&amp;". ")&amp;IF(LEN(IF(LEN(INDEX('Aides'!$U$4:$U$503,452))=0,"",INDEX('Aides'!$U$4:$U$503,452)))=0,"","Owner: "&amp;IF(LEN(INDEX('Aides'!$U$4:$U$503,452))=0,"",INDEX('Aides'!$U$4:$U$503,452))&amp;". "))</f>
        <v/>
      </c>
      <c r="I1455">
        <f>""</f>
        <v/>
      </c>
      <c r="J1455">
        <f>IF(LEN(INDEX('Aides'!$V$4:$V$503,452))=0,"",INDEX('Aides'!$V$4:$V$503,452))</f>
        <v/>
      </c>
    </row>
    <row r="1456">
      <c r="A1456">
        <f>IF(AND(LEN('Aides'!A456)&gt;0,ISNUMBER('Aides'!O456)),1,0)</f>
        <v/>
      </c>
      <c r="B1456">
        <f>B1455+A1456</f>
        <v/>
      </c>
      <c r="C1456">
        <f>IF(1453&gt;$B$1503,"",MATCH(1453-0.5,$B$3:$B$1503,1))</f>
        <v/>
      </c>
      <c r="D1456">
        <f>"In-service hours due – "&amp;IF(LEN(INDEX('Aides'!$A$4:$A$503,453))=0,"",INDEX('Aides'!$A$4:$A$503,453))</f>
        <v/>
      </c>
      <c r="E1456">
        <f>IF(ISNUMBER(INDEX('Aides'!$O$4:$O$503,453)),TEXT(INDEX('Aides'!$O$4:$O$503,453),"yyyy-mm-dd"),"")</f>
        <v/>
      </c>
      <c r="F1456">
        <f>"Training"</f>
        <v/>
      </c>
      <c r="G1456">
        <f>"Medium"</f>
        <v/>
      </c>
      <c r="H1456">
        <f>TRIM(IF(LEN(IF(LEN(INDEX('Aides'!$P$4:$P$503,453))=0,"",INDEX('Aides'!$P$4:$P$503,453)))=0,"","Hours done: "&amp;IF(LEN(INDEX('Aides'!$P$4:$P$503,453))=0,"",INDEX('Aides'!$P$4:$P$503,453))&amp;". ")&amp;IF(LEN(IF(LEN(INDEX('Aides'!$Q$4:$Q$503,453))=0,"",INDEX('Aides'!$Q$4:$Q$503,453)))=0,"","Target: "&amp;IF(LEN(INDEX('Aides'!$Q$4:$Q$503,453))=0,"",INDEX('Aides'!$Q$4:$Q$503,453))&amp;". ")&amp;IF(LEN(IF(LEN(INDEX('Aides'!$R$4:$R$503,453))=0,"",INDEX('Aides'!$R$4:$R$503,453)))=0,"","Hours still needed: "&amp;IF(LEN(INDEX('Aides'!$R$4:$R$503,453))=0,"",INDEX('Aides'!$R$4:$R$503,453))&amp;". ")&amp;IF(LEN(IF(LEN(INDEX('Aides'!$U$4:$U$503,453))=0,"",INDEX('Aides'!$U$4:$U$503,453)))=0,"","Owner: "&amp;IF(LEN(INDEX('Aides'!$U$4:$U$503,453))=0,"",INDEX('Aides'!$U$4:$U$503,453))&amp;". "))</f>
        <v/>
      </c>
      <c r="I1456">
        <f>""</f>
        <v/>
      </c>
      <c r="J1456">
        <f>IF(LEN(INDEX('Aides'!$V$4:$V$503,453))=0,"",INDEX('Aides'!$V$4:$V$503,453))</f>
        <v/>
      </c>
    </row>
    <row r="1457">
      <c r="A1457">
        <f>IF(AND(LEN('Aides'!A457)&gt;0,ISNUMBER('Aides'!O457)),1,0)</f>
        <v/>
      </c>
      <c r="B1457">
        <f>B1456+A1457</f>
        <v/>
      </c>
      <c r="C1457">
        <f>IF(1454&gt;$B$1503,"",MATCH(1454-0.5,$B$3:$B$1503,1))</f>
        <v/>
      </c>
      <c r="D1457">
        <f>"In-service hours due – "&amp;IF(LEN(INDEX('Aides'!$A$4:$A$503,454))=0,"",INDEX('Aides'!$A$4:$A$503,454))</f>
        <v/>
      </c>
      <c r="E1457">
        <f>IF(ISNUMBER(INDEX('Aides'!$O$4:$O$503,454)),TEXT(INDEX('Aides'!$O$4:$O$503,454),"yyyy-mm-dd"),"")</f>
        <v/>
      </c>
      <c r="F1457">
        <f>"Training"</f>
        <v/>
      </c>
      <c r="G1457">
        <f>"Medium"</f>
        <v/>
      </c>
      <c r="H1457">
        <f>TRIM(IF(LEN(IF(LEN(INDEX('Aides'!$P$4:$P$503,454))=0,"",INDEX('Aides'!$P$4:$P$503,454)))=0,"","Hours done: "&amp;IF(LEN(INDEX('Aides'!$P$4:$P$503,454))=0,"",INDEX('Aides'!$P$4:$P$503,454))&amp;". ")&amp;IF(LEN(IF(LEN(INDEX('Aides'!$Q$4:$Q$503,454))=0,"",INDEX('Aides'!$Q$4:$Q$503,454)))=0,"","Target: "&amp;IF(LEN(INDEX('Aides'!$Q$4:$Q$503,454))=0,"",INDEX('Aides'!$Q$4:$Q$503,454))&amp;". ")&amp;IF(LEN(IF(LEN(INDEX('Aides'!$R$4:$R$503,454))=0,"",INDEX('Aides'!$R$4:$R$503,454)))=0,"","Hours still needed: "&amp;IF(LEN(INDEX('Aides'!$R$4:$R$503,454))=0,"",INDEX('Aides'!$R$4:$R$503,454))&amp;". ")&amp;IF(LEN(IF(LEN(INDEX('Aides'!$U$4:$U$503,454))=0,"",INDEX('Aides'!$U$4:$U$503,454)))=0,"","Owner: "&amp;IF(LEN(INDEX('Aides'!$U$4:$U$503,454))=0,"",INDEX('Aides'!$U$4:$U$503,454))&amp;". "))</f>
        <v/>
      </c>
      <c r="I1457">
        <f>""</f>
        <v/>
      </c>
      <c r="J1457">
        <f>IF(LEN(INDEX('Aides'!$V$4:$V$503,454))=0,"",INDEX('Aides'!$V$4:$V$503,454))</f>
        <v/>
      </c>
    </row>
    <row r="1458">
      <c r="A1458">
        <f>IF(AND(LEN('Aides'!A458)&gt;0,ISNUMBER('Aides'!O458)),1,0)</f>
        <v/>
      </c>
      <c r="B1458">
        <f>B1457+A1458</f>
        <v/>
      </c>
      <c r="C1458">
        <f>IF(1455&gt;$B$1503,"",MATCH(1455-0.5,$B$3:$B$1503,1))</f>
        <v/>
      </c>
      <c r="D1458">
        <f>"In-service hours due – "&amp;IF(LEN(INDEX('Aides'!$A$4:$A$503,455))=0,"",INDEX('Aides'!$A$4:$A$503,455))</f>
        <v/>
      </c>
      <c r="E1458">
        <f>IF(ISNUMBER(INDEX('Aides'!$O$4:$O$503,455)),TEXT(INDEX('Aides'!$O$4:$O$503,455),"yyyy-mm-dd"),"")</f>
        <v/>
      </c>
      <c r="F1458">
        <f>"Training"</f>
        <v/>
      </c>
      <c r="G1458">
        <f>"Medium"</f>
        <v/>
      </c>
      <c r="H1458">
        <f>TRIM(IF(LEN(IF(LEN(INDEX('Aides'!$P$4:$P$503,455))=0,"",INDEX('Aides'!$P$4:$P$503,455)))=0,"","Hours done: "&amp;IF(LEN(INDEX('Aides'!$P$4:$P$503,455))=0,"",INDEX('Aides'!$P$4:$P$503,455))&amp;". ")&amp;IF(LEN(IF(LEN(INDEX('Aides'!$Q$4:$Q$503,455))=0,"",INDEX('Aides'!$Q$4:$Q$503,455)))=0,"","Target: "&amp;IF(LEN(INDEX('Aides'!$Q$4:$Q$503,455))=0,"",INDEX('Aides'!$Q$4:$Q$503,455))&amp;". ")&amp;IF(LEN(IF(LEN(INDEX('Aides'!$R$4:$R$503,455))=0,"",INDEX('Aides'!$R$4:$R$503,455)))=0,"","Hours still needed: "&amp;IF(LEN(INDEX('Aides'!$R$4:$R$503,455))=0,"",INDEX('Aides'!$R$4:$R$503,455))&amp;". ")&amp;IF(LEN(IF(LEN(INDEX('Aides'!$U$4:$U$503,455))=0,"",INDEX('Aides'!$U$4:$U$503,455)))=0,"","Owner: "&amp;IF(LEN(INDEX('Aides'!$U$4:$U$503,455))=0,"",INDEX('Aides'!$U$4:$U$503,455))&amp;". "))</f>
        <v/>
      </c>
      <c r="I1458">
        <f>""</f>
        <v/>
      </c>
      <c r="J1458">
        <f>IF(LEN(INDEX('Aides'!$V$4:$V$503,455))=0,"",INDEX('Aides'!$V$4:$V$503,455))</f>
        <v/>
      </c>
    </row>
    <row r="1459">
      <c r="A1459">
        <f>IF(AND(LEN('Aides'!A459)&gt;0,ISNUMBER('Aides'!O459)),1,0)</f>
        <v/>
      </c>
      <c r="B1459">
        <f>B1458+A1459</f>
        <v/>
      </c>
      <c r="C1459">
        <f>IF(1456&gt;$B$1503,"",MATCH(1456-0.5,$B$3:$B$1503,1))</f>
        <v/>
      </c>
      <c r="D1459">
        <f>"In-service hours due – "&amp;IF(LEN(INDEX('Aides'!$A$4:$A$503,456))=0,"",INDEX('Aides'!$A$4:$A$503,456))</f>
        <v/>
      </c>
      <c r="E1459">
        <f>IF(ISNUMBER(INDEX('Aides'!$O$4:$O$503,456)),TEXT(INDEX('Aides'!$O$4:$O$503,456),"yyyy-mm-dd"),"")</f>
        <v/>
      </c>
      <c r="F1459">
        <f>"Training"</f>
        <v/>
      </c>
      <c r="G1459">
        <f>"Medium"</f>
        <v/>
      </c>
      <c r="H1459">
        <f>TRIM(IF(LEN(IF(LEN(INDEX('Aides'!$P$4:$P$503,456))=0,"",INDEX('Aides'!$P$4:$P$503,456)))=0,"","Hours done: "&amp;IF(LEN(INDEX('Aides'!$P$4:$P$503,456))=0,"",INDEX('Aides'!$P$4:$P$503,456))&amp;". ")&amp;IF(LEN(IF(LEN(INDEX('Aides'!$Q$4:$Q$503,456))=0,"",INDEX('Aides'!$Q$4:$Q$503,456)))=0,"","Target: "&amp;IF(LEN(INDEX('Aides'!$Q$4:$Q$503,456))=0,"",INDEX('Aides'!$Q$4:$Q$503,456))&amp;". ")&amp;IF(LEN(IF(LEN(INDEX('Aides'!$R$4:$R$503,456))=0,"",INDEX('Aides'!$R$4:$R$503,456)))=0,"","Hours still needed: "&amp;IF(LEN(INDEX('Aides'!$R$4:$R$503,456))=0,"",INDEX('Aides'!$R$4:$R$503,456))&amp;". ")&amp;IF(LEN(IF(LEN(INDEX('Aides'!$U$4:$U$503,456))=0,"",INDEX('Aides'!$U$4:$U$503,456)))=0,"","Owner: "&amp;IF(LEN(INDEX('Aides'!$U$4:$U$503,456))=0,"",INDEX('Aides'!$U$4:$U$503,456))&amp;". "))</f>
        <v/>
      </c>
      <c r="I1459">
        <f>""</f>
        <v/>
      </c>
      <c r="J1459">
        <f>IF(LEN(INDEX('Aides'!$V$4:$V$503,456))=0,"",INDEX('Aides'!$V$4:$V$503,456))</f>
        <v/>
      </c>
    </row>
    <row r="1460">
      <c r="A1460">
        <f>IF(AND(LEN('Aides'!A460)&gt;0,ISNUMBER('Aides'!O460)),1,0)</f>
        <v/>
      </c>
      <c r="B1460">
        <f>B1459+A1460</f>
        <v/>
      </c>
      <c r="C1460">
        <f>IF(1457&gt;$B$1503,"",MATCH(1457-0.5,$B$3:$B$1503,1))</f>
        <v/>
      </c>
      <c r="D1460">
        <f>"In-service hours due – "&amp;IF(LEN(INDEX('Aides'!$A$4:$A$503,457))=0,"",INDEX('Aides'!$A$4:$A$503,457))</f>
        <v/>
      </c>
      <c r="E1460">
        <f>IF(ISNUMBER(INDEX('Aides'!$O$4:$O$503,457)),TEXT(INDEX('Aides'!$O$4:$O$503,457),"yyyy-mm-dd"),"")</f>
        <v/>
      </c>
      <c r="F1460">
        <f>"Training"</f>
        <v/>
      </c>
      <c r="G1460">
        <f>"Medium"</f>
        <v/>
      </c>
      <c r="H1460">
        <f>TRIM(IF(LEN(IF(LEN(INDEX('Aides'!$P$4:$P$503,457))=0,"",INDEX('Aides'!$P$4:$P$503,457)))=0,"","Hours done: "&amp;IF(LEN(INDEX('Aides'!$P$4:$P$503,457))=0,"",INDEX('Aides'!$P$4:$P$503,457))&amp;". ")&amp;IF(LEN(IF(LEN(INDEX('Aides'!$Q$4:$Q$503,457))=0,"",INDEX('Aides'!$Q$4:$Q$503,457)))=0,"","Target: "&amp;IF(LEN(INDEX('Aides'!$Q$4:$Q$503,457))=0,"",INDEX('Aides'!$Q$4:$Q$503,457))&amp;". ")&amp;IF(LEN(IF(LEN(INDEX('Aides'!$R$4:$R$503,457))=0,"",INDEX('Aides'!$R$4:$R$503,457)))=0,"","Hours still needed: "&amp;IF(LEN(INDEX('Aides'!$R$4:$R$503,457))=0,"",INDEX('Aides'!$R$4:$R$503,457))&amp;". ")&amp;IF(LEN(IF(LEN(INDEX('Aides'!$U$4:$U$503,457))=0,"",INDEX('Aides'!$U$4:$U$503,457)))=0,"","Owner: "&amp;IF(LEN(INDEX('Aides'!$U$4:$U$503,457))=0,"",INDEX('Aides'!$U$4:$U$503,457))&amp;". "))</f>
        <v/>
      </c>
      <c r="I1460">
        <f>""</f>
        <v/>
      </c>
      <c r="J1460">
        <f>IF(LEN(INDEX('Aides'!$V$4:$V$503,457))=0,"",INDEX('Aides'!$V$4:$V$503,457))</f>
        <v/>
      </c>
    </row>
    <row r="1461">
      <c r="A1461">
        <f>IF(AND(LEN('Aides'!A461)&gt;0,ISNUMBER('Aides'!O461)),1,0)</f>
        <v/>
      </c>
      <c r="B1461">
        <f>B1460+A1461</f>
        <v/>
      </c>
      <c r="C1461">
        <f>IF(1458&gt;$B$1503,"",MATCH(1458-0.5,$B$3:$B$1503,1))</f>
        <v/>
      </c>
      <c r="D1461">
        <f>"In-service hours due – "&amp;IF(LEN(INDEX('Aides'!$A$4:$A$503,458))=0,"",INDEX('Aides'!$A$4:$A$503,458))</f>
        <v/>
      </c>
      <c r="E1461">
        <f>IF(ISNUMBER(INDEX('Aides'!$O$4:$O$503,458)),TEXT(INDEX('Aides'!$O$4:$O$503,458),"yyyy-mm-dd"),"")</f>
        <v/>
      </c>
      <c r="F1461">
        <f>"Training"</f>
        <v/>
      </c>
      <c r="G1461">
        <f>"Medium"</f>
        <v/>
      </c>
      <c r="H1461">
        <f>TRIM(IF(LEN(IF(LEN(INDEX('Aides'!$P$4:$P$503,458))=0,"",INDEX('Aides'!$P$4:$P$503,458)))=0,"","Hours done: "&amp;IF(LEN(INDEX('Aides'!$P$4:$P$503,458))=0,"",INDEX('Aides'!$P$4:$P$503,458))&amp;". ")&amp;IF(LEN(IF(LEN(INDEX('Aides'!$Q$4:$Q$503,458))=0,"",INDEX('Aides'!$Q$4:$Q$503,458)))=0,"","Target: "&amp;IF(LEN(INDEX('Aides'!$Q$4:$Q$503,458))=0,"",INDEX('Aides'!$Q$4:$Q$503,458))&amp;". ")&amp;IF(LEN(IF(LEN(INDEX('Aides'!$R$4:$R$503,458))=0,"",INDEX('Aides'!$R$4:$R$503,458)))=0,"","Hours still needed: "&amp;IF(LEN(INDEX('Aides'!$R$4:$R$503,458))=0,"",INDEX('Aides'!$R$4:$R$503,458))&amp;". ")&amp;IF(LEN(IF(LEN(INDEX('Aides'!$U$4:$U$503,458))=0,"",INDEX('Aides'!$U$4:$U$503,458)))=0,"","Owner: "&amp;IF(LEN(INDEX('Aides'!$U$4:$U$503,458))=0,"",INDEX('Aides'!$U$4:$U$503,458))&amp;". "))</f>
        <v/>
      </c>
      <c r="I1461">
        <f>""</f>
        <v/>
      </c>
      <c r="J1461">
        <f>IF(LEN(INDEX('Aides'!$V$4:$V$503,458))=0,"",INDEX('Aides'!$V$4:$V$503,458))</f>
        <v/>
      </c>
    </row>
    <row r="1462">
      <c r="A1462">
        <f>IF(AND(LEN('Aides'!A462)&gt;0,ISNUMBER('Aides'!O462)),1,0)</f>
        <v/>
      </c>
      <c r="B1462">
        <f>B1461+A1462</f>
        <v/>
      </c>
      <c r="C1462">
        <f>IF(1459&gt;$B$1503,"",MATCH(1459-0.5,$B$3:$B$1503,1))</f>
        <v/>
      </c>
      <c r="D1462">
        <f>"In-service hours due – "&amp;IF(LEN(INDEX('Aides'!$A$4:$A$503,459))=0,"",INDEX('Aides'!$A$4:$A$503,459))</f>
        <v/>
      </c>
      <c r="E1462">
        <f>IF(ISNUMBER(INDEX('Aides'!$O$4:$O$503,459)),TEXT(INDEX('Aides'!$O$4:$O$503,459),"yyyy-mm-dd"),"")</f>
        <v/>
      </c>
      <c r="F1462">
        <f>"Training"</f>
        <v/>
      </c>
      <c r="G1462">
        <f>"Medium"</f>
        <v/>
      </c>
      <c r="H1462">
        <f>TRIM(IF(LEN(IF(LEN(INDEX('Aides'!$P$4:$P$503,459))=0,"",INDEX('Aides'!$P$4:$P$503,459)))=0,"","Hours done: "&amp;IF(LEN(INDEX('Aides'!$P$4:$P$503,459))=0,"",INDEX('Aides'!$P$4:$P$503,459))&amp;". ")&amp;IF(LEN(IF(LEN(INDEX('Aides'!$Q$4:$Q$503,459))=0,"",INDEX('Aides'!$Q$4:$Q$503,459)))=0,"","Target: "&amp;IF(LEN(INDEX('Aides'!$Q$4:$Q$503,459))=0,"",INDEX('Aides'!$Q$4:$Q$503,459))&amp;". ")&amp;IF(LEN(IF(LEN(INDEX('Aides'!$R$4:$R$503,459))=0,"",INDEX('Aides'!$R$4:$R$503,459)))=0,"","Hours still needed: "&amp;IF(LEN(INDEX('Aides'!$R$4:$R$503,459))=0,"",INDEX('Aides'!$R$4:$R$503,459))&amp;". ")&amp;IF(LEN(IF(LEN(INDEX('Aides'!$U$4:$U$503,459))=0,"",INDEX('Aides'!$U$4:$U$503,459)))=0,"","Owner: "&amp;IF(LEN(INDEX('Aides'!$U$4:$U$503,459))=0,"",INDEX('Aides'!$U$4:$U$503,459))&amp;". "))</f>
        <v/>
      </c>
      <c r="I1462">
        <f>""</f>
        <v/>
      </c>
      <c r="J1462">
        <f>IF(LEN(INDEX('Aides'!$V$4:$V$503,459))=0,"",INDEX('Aides'!$V$4:$V$503,459))</f>
        <v/>
      </c>
    </row>
    <row r="1463">
      <c r="A1463">
        <f>IF(AND(LEN('Aides'!A463)&gt;0,ISNUMBER('Aides'!O463)),1,0)</f>
        <v/>
      </c>
      <c r="B1463">
        <f>B1462+A1463</f>
        <v/>
      </c>
      <c r="C1463">
        <f>IF(1460&gt;$B$1503,"",MATCH(1460-0.5,$B$3:$B$1503,1))</f>
        <v/>
      </c>
      <c r="D1463">
        <f>"In-service hours due – "&amp;IF(LEN(INDEX('Aides'!$A$4:$A$503,460))=0,"",INDEX('Aides'!$A$4:$A$503,460))</f>
        <v/>
      </c>
      <c r="E1463">
        <f>IF(ISNUMBER(INDEX('Aides'!$O$4:$O$503,460)),TEXT(INDEX('Aides'!$O$4:$O$503,460),"yyyy-mm-dd"),"")</f>
        <v/>
      </c>
      <c r="F1463">
        <f>"Training"</f>
        <v/>
      </c>
      <c r="G1463">
        <f>"Medium"</f>
        <v/>
      </c>
      <c r="H1463">
        <f>TRIM(IF(LEN(IF(LEN(INDEX('Aides'!$P$4:$P$503,460))=0,"",INDEX('Aides'!$P$4:$P$503,460)))=0,"","Hours done: "&amp;IF(LEN(INDEX('Aides'!$P$4:$P$503,460))=0,"",INDEX('Aides'!$P$4:$P$503,460))&amp;". ")&amp;IF(LEN(IF(LEN(INDEX('Aides'!$Q$4:$Q$503,460))=0,"",INDEX('Aides'!$Q$4:$Q$503,460)))=0,"","Target: "&amp;IF(LEN(INDEX('Aides'!$Q$4:$Q$503,460))=0,"",INDEX('Aides'!$Q$4:$Q$503,460))&amp;". ")&amp;IF(LEN(IF(LEN(INDEX('Aides'!$R$4:$R$503,460))=0,"",INDEX('Aides'!$R$4:$R$503,460)))=0,"","Hours still needed: "&amp;IF(LEN(INDEX('Aides'!$R$4:$R$503,460))=0,"",INDEX('Aides'!$R$4:$R$503,460))&amp;". ")&amp;IF(LEN(IF(LEN(INDEX('Aides'!$U$4:$U$503,460))=0,"",INDEX('Aides'!$U$4:$U$503,460)))=0,"","Owner: "&amp;IF(LEN(INDEX('Aides'!$U$4:$U$503,460))=0,"",INDEX('Aides'!$U$4:$U$503,460))&amp;". "))</f>
        <v/>
      </c>
      <c r="I1463">
        <f>""</f>
        <v/>
      </c>
      <c r="J1463">
        <f>IF(LEN(INDEX('Aides'!$V$4:$V$503,460))=0,"",INDEX('Aides'!$V$4:$V$503,460))</f>
        <v/>
      </c>
    </row>
    <row r="1464">
      <c r="A1464">
        <f>IF(AND(LEN('Aides'!A464)&gt;0,ISNUMBER('Aides'!O464)),1,0)</f>
        <v/>
      </c>
      <c r="B1464">
        <f>B1463+A1464</f>
        <v/>
      </c>
      <c r="C1464">
        <f>IF(1461&gt;$B$1503,"",MATCH(1461-0.5,$B$3:$B$1503,1))</f>
        <v/>
      </c>
      <c r="D1464">
        <f>"In-service hours due – "&amp;IF(LEN(INDEX('Aides'!$A$4:$A$503,461))=0,"",INDEX('Aides'!$A$4:$A$503,461))</f>
        <v/>
      </c>
      <c r="E1464">
        <f>IF(ISNUMBER(INDEX('Aides'!$O$4:$O$503,461)),TEXT(INDEX('Aides'!$O$4:$O$503,461),"yyyy-mm-dd"),"")</f>
        <v/>
      </c>
      <c r="F1464">
        <f>"Training"</f>
        <v/>
      </c>
      <c r="G1464">
        <f>"Medium"</f>
        <v/>
      </c>
      <c r="H1464">
        <f>TRIM(IF(LEN(IF(LEN(INDEX('Aides'!$P$4:$P$503,461))=0,"",INDEX('Aides'!$P$4:$P$503,461)))=0,"","Hours done: "&amp;IF(LEN(INDEX('Aides'!$P$4:$P$503,461))=0,"",INDEX('Aides'!$P$4:$P$503,461))&amp;". ")&amp;IF(LEN(IF(LEN(INDEX('Aides'!$Q$4:$Q$503,461))=0,"",INDEX('Aides'!$Q$4:$Q$503,461)))=0,"","Target: "&amp;IF(LEN(INDEX('Aides'!$Q$4:$Q$503,461))=0,"",INDEX('Aides'!$Q$4:$Q$503,461))&amp;". ")&amp;IF(LEN(IF(LEN(INDEX('Aides'!$R$4:$R$503,461))=0,"",INDEX('Aides'!$R$4:$R$503,461)))=0,"","Hours still needed: "&amp;IF(LEN(INDEX('Aides'!$R$4:$R$503,461))=0,"",INDEX('Aides'!$R$4:$R$503,461))&amp;". ")&amp;IF(LEN(IF(LEN(INDEX('Aides'!$U$4:$U$503,461))=0,"",INDEX('Aides'!$U$4:$U$503,461)))=0,"","Owner: "&amp;IF(LEN(INDEX('Aides'!$U$4:$U$503,461))=0,"",INDEX('Aides'!$U$4:$U$503,461))&amp;". "))</f>
        <v/>
      </c>
      <c r="I1464">
        <f>""</f>
        <v/>
      </c>
      <c r="J1464">
        <f>IF(LEN(INDEX('Aides'!$V$4:$V$503,461))=0,"",INDEX('Aides'!$V$4:$V$503,461))</f>
        <v/>
      </c>
    </row>
    <row r="1465">
      <c r="A1465">
        <f>IF(AND(LEN('Aides'!A465)&gt;0,ISNUMBER('Aides'!O465)),1,0)</f>
        <v/>
      </c>
      <c r="B1465">
        <f>B1464+A1465</f>
        <v/>
      </c>
      <c r="C1465">
        <f>IF(1462&gt;$B$1503,"",MATCH(1462-0.5,$B$3:$B$1503,1))</f>
        <v/>
      </c>
      <c r="D1465">
        <f>"In-service hours due – "&amp;IF(LEN(INDEX('Aides'!$A$4:$A$503,462))=0,"",INDEX('Aides'!$A$4:$A$503,462))</f>
        <v/>
      </c>
      <c r="E1465">
        <f>IF(ISNUMBER(INDEX('Aides'!$O$4:$O$503,462)),TEXT(INDEX('Aides'!$O$4:$O$503,462),"yyyy-mm-dd"),"")</f>
        <v/>
      </c>
      <c r="F1465">
        <f>"Training"</f>
        <v/>
      </c>
      <c r="G1465">
        <f>"Medium"</f>
        <v/>
      </c>
      <c r="H1465">
        <f>TRIM(IF(LEN(IF(LEN(INDEX('Aides'!$P$4:$P$503,462))=0,"",INDEX('Aides'!$P$4:$P$503,462)))=0,"","Hours done: "&amp;IF(LEN(INDEX('Aides'!$P$4:$P$503,462))=0,"",INDEX('Aides'!$P$4:$P$503,462))&amp;". ")&amp;IF(LEN(IF(LEN(INDEX('Aides'!$Q$4:$Q$503,462))=0,"",INDEX('Aides'!$Q$4:$Q$503,462)))=0,"","Target: "&amp;IF(LEN(INDEX('Aides'!$Q$4:$Q$503,462))=0,"",INDEX('Aides'!$Q$4:$Q$503,462))&amp;". ")&amp;IF(LEN(IF(LEN(INDEX('Aides'!$R$4:$R$503,462))=0,"",INDEX('Aides'!$R$4:$R$503,462)))=0,"","Hours still needed: "&amp;IF(LEN(INDEX('Aides'!$R$4:$R$503,462))=0,"",INDEX('Aides'!$R$4:$R$503,462))&amp;". ")&amp;IF(LEN(IF(LEN(INDEX('Aides'!$U$4:$U$503,462))=0,"",INDEX('Aides'!$U$4:$U$503,462)))=0,"","Owner: "&amp;IF(LEN(INDEX('Aides'!$U$4:$U$503,462))=0,"",INDEX('Aides'!$U$4:$U$503,462))&amp;". "))</f>
        <v/>
      </c>
      <c r="I1465">
        <f>""</f>
        <v/>
      </c>
      <c r="J1465">
        <f>IF(LEN(INDEX('Aides'!$V$4:$V$503,462))=0,"",INDEX('Aides'!$V$4:$V$503,462))</f>
        <v/>
      </c>
    </row>
    <row r="1466">
      <c r="A1466">
        <f>IF(AND(LEN('Aides'!A466)&gt;0,ISNUMBER('Aides'!O466)),1,0)</f>
        <v/>
      </c>
      <c r="B1466">
        <f>B1465+A1466</f>
        <v/>
      </c>
      <c r="C1466">
        <f>IF(1463&gt;$B$1503,"",MATCH(1463-0.5,$B$3:$B$1503,1))</f>
        <v/>
      </c>
      <c r="D1466">
        <f>"In-service hours due – "&amp;IF(LEN(INDEX('Aides'!$A$4:$A$503,463))=0,"",INDEX('Aides'!$A$4:$A$503,463))</f>
        <v/>
      </c>
      <c r="E1466">
        <f>IF(ISNUMBER(INDEX('Aides'!$O$4:$O$503,463)),TEXT(INDEX('Aides'!$O$4:$O$503,463),"yyyy-mm-dd"),"")</f>
        <v/>
      </c>
      <c r="F1466">
        <f>"Training"</f>
        <v/>
      </c>
      <c r="G1466">
        <f>"Medium"</f>
        <v/>
      </c>
      <c r="H1466">
        <f>TRIM(IF(LEN(IF(LEN(INDEX('Aides'!$P$4:$P$503,463))=0,"",INDEX('Aides'!$P$4:$P$503,463)))=0,"","Hours done: "&amp;IF(LEN(INDEX('Aides'!$P$4:$P$503,463))=0,"",INDEX('Aides'!$P$4:$P$503,463))&amp;". ")&amp;IF(LEN(IF(LEN(INDEX('Aides'!$Q$4:$Q$503,463))=0,"",INDEX('Aides'!$Q$4:$Q$503,463)))=0,"","Target: "&amp;IF(LEN(INDEX('Aides'!$Q$4:$Q$503,463))=0,"",INDEX('Aides'!$Q$4:$Q$503,463))&amp;". ")&amp;IF(LEN(IF(LEN(INDEX('Aides'!$R$4:$R$503,463))=0,"",INDEX('Aides'!$R$4:$R$503,463)))=0,"","Hours still needed: "&amp;IF(LEN(INDEX('Aides'!$R$4:$R$503,463))=0,"",INDEX('Aides'!$R$4:$R$503,463))&amp;". ")&amp;IF(LEN(IF(LEN(INDEX('Aides'!$U$4:$U$503,463))=0,"",INDEX('Aides'!$U$4:$U$503,463)))=0,"","Owner: "&amp;IF(LEN(INDEX('Aides'!$U$4:$U$503,463))=0,"",INDEX('Aides'!$U$4:$U$503,463))&amp;". "))</f>
        <v/>
      </c>
      <c r="I1466">
        <f>""</f>
        <v/>
      </c>
      <c r="J1466">
        <f>IF(LEN(INDEX('Aides'!$V$4:$V$503,463))=0,"",INDEX('Aides'!$V$4:$V$503,463))</f>
        <v/>
      </c>
    </row>
    <row r="1467">
      <c r="A1467">
        <f>IF(AND(LEN('Aides'!A467)&gt;0,ISNUMBER('Aides'!O467)),1,0)</f>
        <v/>
      </c>
      <c r="B1467">
        <f>B1466+A1467</f>
        <v/>
      </c>
      <c r="C1467">
        <f>IF(1464&gt;$B$1503,"",MATCH(1464-0.5,$B$3:$B$1503,1))</f>
        <v/>
      </c>
      <c r="D1467">
        <f>"In-service hours due – "&amp;IF(LEN(INDEX('Aides'!$A$4:$A$503,464))=0,"",INDEX('Aides'!$A$4:$A$503,464))</f>
        <v/>
      </c>
      <c r="E1467">
        <f>IF(ISNUMBER(INDEX('Aides'!$O$4:$O$503,464)),TEXT(INDEX('Aides'!$O$4:$O$503,464),"yyyy-mm-dd"),"")</f>
        <v/>
      </c>
      <c r="F1467">
        <f>"Training"</f>
        <v/>
      </c>
      <c r="G1467">
        <f>"Medium"</f>
        <v/>
      </c>
      <c r="H1467">
        <f>TRIM(IF(LEN(IF(LEN(INDEX('Aides'!$P$4:$P$503,464))=0,"",INDEX('Aides'!$P$4:$P$503,464)))=0,"","Hours done: "&amp;IF(LEN(INDEX('Aides'!$P$4:$P$503,464))=0,"",INDEX('Aides'!$P$4:$P$503,464))&amp;". ")&amp;IF(LEN(IF(LEN(INDEX('Aides'!$Q$4:$Q$503,464))=0,"",INDEX('Aides'!$Q$4:$Q$503,464)))=0,"","Target: "&amp;IF(LEN(INDEX('Aides'!$Q$4:$Q$503,464))=0,"",INDEX('Aides'!$Q$4:$Q$503,464))&amp;". ")&amp;IF(LEN(IF(LEN(INDEX('Aides'!$R$4:$R$503,464))=0,"",INDEX('Aides'!$R$4:$R$503,464)))=0,"","Hours still needed: "&amp;IF(LEN(INDEX('Aides'!$R$4:$R$503,464))=0,"",INDEX('Aides'!$R$4:$R$503,464))&amp;". ")&amp;IF(LEN(IF(LEN(INDEX('Aides'!$U$4:$U$503,464))=0,"",INDEX('Aides'!$U$4:$U$503,464)))=0,"","Owner: "&amp;IF(LEN(INDEX('Aides'!$U$4:$U$503,464))=0,"",INDEX('Aides'!$U$4:$U$503,464))&amp;". "))</f>
        <v/>
      </c>
      <c r="I1467">
        <f>""</f>
        <v/>
      </c>
      <c r="J1467">
        <f>IF(LEN(INDEX('Aides'!$V$4:$V$503,464))=0,"",INDEX('Aides'!$V$4:$V$503,464))</f>
        <v/>
      </c>
    </row>
    <row r="1468">
      <c r="A1468">
        <f>IF(AND(LEN('Aides'!A468)&gt;0,ISNUMBER('Aides'!O468)),1,0)</f>
        <v/>
      </c>
      <c r="B1468">
        <f>B1467+A1468</f>
        <v/>
      </c>
      <c r="C1468">
        <f>IF(1465&gt;$B$1503,"",MATCH(1465-0.5,$B$3:$B$1503,1))</f>
        <v/>
      </c>
      <c r="D1468">
        <f>"In-service hours due – "&amp;IF(LEN(INDEX('Aides'!$A$4:$A$503,465))=0,"",INDEX('Aides'!$A$4:$A$503,465))</f>
        <v/>
      </c>
      <c r="E1468">
        <f>IF(ISNUMBER(INDEX('Aides'!$O$4:$O$503,465)),TEXT(INDEX('Aides'!$O$4:$O$503,465),"yyyy-mm-dd"),"")</f>
        <v/>
      </c>
      <c r="F1468">
        <f>"Training"</f>
        <v/>
      </c>
      <c r="G1468">
        <f>"Medium"</f>
        <v/>
      </c>
      <c r="H1468">
        <f>TRIM(IF(LEN(IF(LEN(INDEX('Aides'!$P$4:$P$503,465))=0,"",INDEX('Aides'!$P$4:$P$503,465)))=0,"","Hours done: "&amp;IF(LEN(INDEX('Aides'!$P$4:$P$503,465))=0,"",INDEX('Aides'!$P$4:$P$503,465))&amp;". ")&amp;IF(LEN(IF(LEN(INDEX('Aides'!$Q$4:$Q$503,465))=0,"",INDEX('Aides'!$Q$4:$Q$503,465)))=0,"","Target: "&amp;IF(LEN(INDEX('Aides'!$Q$4:$Q$503,465))=0,"",INDEX('Aides'!$Q$4:$Q$503,465))&amp;". ")&amp;IF(LEN(IF(LEN(INDEX('Aides'!$R$4:$R$503,465))=0,"",INDEX('Aides'!$R$4:$R$503,465)))=0,"","Hours still needed: "&amp;IF(LEN(INDEX('Aides'!$R$4:$R$503,465))=0,"",INDEX('Aides'!$R$4:$R$503,465))&amp;". ")&amp;IF(LEN(IF(LEN(INDEX('Aides'!$U$4:$U$503,465))=0,"",INDEX('Aides'!$U$4:$U$503,465)))=0,"","Owner: "&amp;IF(LEN(INDEX('Aides'!$U$4:$U$503,465))=0,"",INDEX('Aides'!$U$4:$U$503,465))&amp;". "))</f>
        <v/>
      </c>
      <c r="I1468">
        <f>""</f>
        <v/>
      </c>
      <c r="J1468">
        <f>IF(LEN(INDEX('Aides'!$V$4:$V$503,465))=0,"",INDEX('Aides'!$V$4:$V$503,465))</f>
        <v/>
      </c>
    </row>
    <row r="1469">
      <c r="A1469">
        <f>IF(AND(LEN('Aides'!A469)&gt;0,ISNUMBER('Aides'!O469)),1,0)</f>
        <v/>
      </c>
      <c r="B1469">
        <f>B1468+A1469</f>
        <v/>
      </c>
      <c r="C1469">
        <f>IF(1466&gt;$B$1503,"",MATCH(1466-0.5,$B$3:$B$1503,1))</f>
        <v/>
      </c>
      <c r="D1469">
        <f>"In-service hours due – "&amp;IF(LEN(INDEX('Aides'!$A$4:$A$503,466))=0,"",INDEX('Aides'!$A$4:$A$503,466))</f>
        <v/>
      </c>
      <c r="E1469">
        <f>IF(ISNUMBER(INDEX('Aides'!$O$4:$O$503,466)),TEXT(INDEX('Aides'!$O$4:$O$503,466),"yyyy-mm-dd"),"")</f>
        <v/>
      </c>
      <c r="F1469">
        <f>"Training"</f>
        <v/>
      </c>
      <c r="G1469">
        <f>"Medium"</f>
        <v/>
      </c>
      <c r="H1469">
        <f>TRIM(IF(LEN(IF(LEN(INDEX('Aides'!$P$4:$P$503,466))=0,"",INDEX('Aides'!$P$4:$P$503,466)))=0,"","Hours done: "&amp;IF(LEN(INDEX('Aides'!$P$4:$P$503,466))=0,"",INDEX('Aides'!$P$4:$P$503,466))&amp;". ")&amp;IF(LEN(IF(LEN(INDEX('Aides'!$Q$4:$Q$503,466))=0,"",INDEX('Aides'!$Q$4:$Q$503,466)))=0,"","Target: "&amp;IF(LEN(INDEX('Aides'!$Q$4:$Q$503,466))=0,"",INDEX('Aides'!$Q$4:$Q$503,466))&amp;". ")&amp;IF(LEN(IF(LEN(INDEX('Aides'!$R$4:$R$503,466))=0,"",INDEX('Aides'!$R$4:$R$503,466)))=0,"","Hours still needed: "&amp;IF(LEN(INDEX('Aides'!$R$4:$R$503,466))=0,"",INDEX('Aides'!$R$4:$R$503,466))&amp;". ")&amp;IF(LEN(IF(LEN(INDEX('Aides'!$U$4:$U$503,466))=0,"",INDEX('Aides'!$U$4:$U$503,466)))=0,"","Owner: "&amp;IF(LEN(INDEX('Aides'!$U$4:$U$503,466))=0,"",INDEX('Aides'!$U$4:$U$503,466))&amp;". "))</f>
        <v/>
      </c>
      <c r="I1469">
        <f>""</f>
        <v/>
      </c>
      <c r="J1469">
        <f>IF(LEN(INDEX('Aides'!$V$4:$V$503,466))=0,"",INDEX('Aides'!$V$4:$V$503,466))</f>
        <v/>
      </c>
    </row>
    <row r="1470">
      <c r="A1470">
        <f>IF(AND(LEN('Aides'!A470)&gt;0,ISNUMBER('Aides'!O470)),1,0)</f>
        <v/>
      </c>
      <c r="B1470">
        <f>B1469+A1470</f>
        <v/>
      </c>
      <c r="C1470">
        <f>IF(1467&gt;$B$1503,"",MATCH(1467-0.5,$B$3:$B$1503,1))</f>
        <v/>
      </c>
      <c r="D1470">
        <f>"In-service hours due – "&amp;IF(LEN(INDEX('Aides'!$A$4:$A$503,467))=0,"",INDEX('Aides'!$A$4:$A$503,467))</f>
        <v/>
      </c>
      <c r="E1470">
        <f>IF(ISNUMBER(INDEX('Aides'!$O$4:$O$503,467)),TEXT(INDEX('Aides'!$O$4:$O$503,467),"yyyy-mm-dd"),"")</f>
        <v/>
      </c>
      <c r="F1470">
        <f>"Training"</f>
        <v/>
      </c>
      <c r="G1470">
        <f>"Medium"</f>
        <v/>
      </c>
      <c r="H1470">
        <f>TRIM(IF(LEN(IF(LEN(INDEX('Aides'!$P$4:$P$503,467))=0,"",INDEX('Aides'!$P$4:$P$503,467)))=0,"","Hours done: "&amp;IF(LEN(INDEX('Aides'!$P$4:$P$503,467))=0,"",INDEX('Aides'!$P$4:$P$503,467))&amp;". ")&amp;IF(LEN(IF(LEN(INDEX('Aides'!$Q$4:$Q$503,467))=0,"",INDEX('Aides'!$Q$4:$Q$503,467)))=0,"","Target: "&amp;IF(LEN(INDEX('Aides'!$Q$4:$Q$503,467))=0,"",INDEX('Aides'!$Q$4:$Q$503,467))&amp;". ")&amp;IF(LEN(IF(LEN(INDEX('Aides'!$R$4:$R$503,467))=0,"",INDEX('Aides'!$R$4:$R$503,467)))=0,"","Hours still needed: "&amp;IF(LEN(INDEX('Aides'!$R$4:$R$503,467))=0,"",INDEX('Aides'!$R$4:$R$503,467))&amp;". ")&amp;IF(LEN(IF(LEN(INDEX('Aides'!$U$4:$U$503,467))=0,"",INDEX('Aides'!$U$4:$U$503,467)))=0,"","Owner: "&amp;IF(LEN(INDEX('Aides'!$U$4:$U$503,467))=0,"",INDEX('Aides'!$U$4:$U$503,467))&amp;". "))</f>
        <v/>
      </c>
      <c r="I1470">
        <f>""</f>
        <v/>
      </c>
      <c r="J1470">
        <f>IF(LEN(INDEX('Aides'!$V$4:$V$503,467))=0,"",INDEX('Aides'!$V$4:$V$503,467))</f>
        <v/>
      </c>
    </row>
    <row r="1471">
      <c r="A1471">
        <f>IF(AND(LEN('Aides'!A471)&gt;0,ISNUMBER('Aides'!O471)),1,0)</f>
        <v/>
      </c>
      <c r="B1471">
        <f>B1470+A1471</f>
        <v/>
      </c>
      <c r="C1471">
        <f>IF(1468&gt;$B$1503,"",MATCH(1468-0.5,$B$3:$B$1503,1))</f>
        <v/>
      </c>
      <c r="D1471">
        <f>"In-service hours due – "&amp;IF(LEN(INDEX('Aides'!$A$4:$A$503,468))=0,"",INDEX('Aides'!$A$4:$A$503,468))</f>
        <v/>
      </c>
      <c r="E1471">
        <f>IF(ISNUMBER(INDEX('Aides'!$O$4:$O$503,468)),TEXT(INDEX('Aides'!$O$4:$O$503,468),"yyyy-mm-dd"),"")</f>
        <v/>
      </c>
      <c r="F1471">
        <f>"Training"</f>
        <v/>
      </c>
      <c r="G1471">
        <f>"Medium"</f>
        <v/>
      </c>
      <c r="H1471">
        <f>TRIM(IF(LEN(IF(LEN(INDEX('Aides'!$P$4:$P$503,468))=0,"",INDEX('Aides'!$P$4:$P$503,468)))=0,"","Hours done: "&amp;IF(LEN(INDEX('Aides'!$P$4:$P$503,468))=0,"",INDEX('Aides'!$P$4:$P$503,468))&amp;". ")&amp;IF(LEN(IF(LEN(INDEX('Aides'!$Q$4:$Q$503,468))=0,"",INDEX('Aides'!$Q$4:$Q$503,468)))=0,"","Target: "&amp;IF(LEN(INDEX('Aides'!$Q$4:$Q$503,468))=0,"",INDEX('Aides'!$Q$4:$Q$503,468))&amp;". ")&amp;IF(LEN(IF(LEN(INDEX('Aides'!$R$4:$R$503,468))=0,"",INDEX('Aides'!$R$4:$R$503,468)))=0,"","Hours still needed: "&amp;IF(LEN(INDEX('Aides'!$R$4:$R$503,468))=0,"",INDEX('Aides'!$R$4:$R$503,468))&amp;". ")&amp;IF(LEN(IF(LEN(INDEX('Aides'!$U$4:$U$503,468))=0,"",INDEX('Aides'!$U$4:$U$503,468)))=0,"","Owner: "&amp;IF(LEN(INDEX('Aides'!$U$4:$U$503,468))=0,"",INDEX('Aides'!$U$4:$U$503,468))&amp;". "))</f>
        <v/>
      </c>
      <c r="I1471">
        <f>""</f>
        <v/>
      </c>
      <c r="J1471">
        <f>IF(LEN(INDEX('Aides'!$V$4:$V$503,468))=0,"",INDEX('Aides'!$V$4:$V$503,468))</f>
        <v/>
      </c>
    </row>
    <row r="1472">
      <c r="A1472">
        <f>IF(AND(LEN('Aides'!A472)&gt;0,ISNUMBER('Aides'!O472)),1,0)</f>
        <v/>
      </c>
      <c r="B1472">
        <f>B1471+A1472</f>
        <v/>
      </c>
      <c r="C1472">
        <f>IF(1469&gt;$B$1503,"",MATCH(1469-0.5,$B$3:$B$1503,1))</f>
        <v/>
      </c>
      <c r="D1472">
        <f>"In-service hours due – "&amp;IF(LEN(INDEX('Aides'!$A$4:$A$503,469))=0,"",INDEX('Aides'!$A$4:$A$503,469))</f>
        <v/>
      </c>
      <c r="E1472">
        <f>IF(ISNUMBER(INDEX('Aides'!$O$4:$O$503,469)),TEXT(INDEX('Aides'!$O$4:$O$503,469),"yyyy-mm-dd"),"")</f>
        <v/>
      </c>
      <c r="F1472">
        <f>"Training"</f>
        <v/>
      </c>
      <c r="G1472">
        <f>"Medium"</f>
        <v/>
      </c>
      <c r="H1472">
        <f>TRIM(IF(LEN(IF(LEN(INDEX('Aides'!$P$4:$P$503,469))=0,"",INDEX('Aides'!$P$4:$P$503,469)))=0,"","Hours done: "&amp;IF(LEN(INDEX('Aides'!$P$4:$P$503,469))=0,"",INDEX('Aides'!$P$4:$P$503,469))&amp;". ")&amp;IF(LEN(IF(LEN(INDEX('Aides'!$Q$4:$Q$503,469))=0,"",INDEX('Aides'!$Q$4:$Q$503,469)))=0,"","Target: "&amp;IF(LEN(INDEX('Aides'!$Q$4:$Q$503,469))=0,"",INDEX('Aides'!$Q$4:$Q$503,469))&amp;". ")&amp;IF(LEN(IF(LEN(INDEX('Aides'!$R$4:$R$503,469))=0,"",INDEX('Aides'!$R$4:$R$503,469)))=0,"","Hours still needed: "&amp;IF(LEN(INDEX('Aides'!$R$4:$R$503,469))=0,"",INDEX('Aides'!$R$4:$R$503,469))&amp;". ")&amp;IF(LEN(IF(LEN(INDEX('Aides'!$U$4:$U$503,469))=0,"",INDEX('Aides'!$U$4:$U$503,469)))=0,"","Owner: "&amp;IF(LEN(INDEX('Aides'!$U$4:$U$503,469))=0,"",INDEX('Aides'!$U$4:$U$503,469))&amp;". "))</f>
        <v/>
      </c>
      <c r="I1472">
        <f>""</f>
        <v/>
      </c>
      <c r="J1472">
        <f>IF(LEN(INDEX('Aides'!$V$4:$V$503,469))=0,"",INDEX('Aides'!$V$4:$V$503,469))</f>
        <v/>
      </c>
    </row>
    <row r="1473">
      <c r="A1473">
        <f>IF(AND(LEN('Aides'!A473)&gt;0,ISNUMBER('Aides'!O473)),1,0)</f>
        <v/>
      </c>
      <c r="B1473">
        <f>B1472+A1473</f>
        <v/>
      </c>
      <c r="C1473">
        <f>IF(1470&gt;$B$1503,"",MATCH(1470-0.5,$B$3:$B$1503,1))</f>
        <v/>
      </c>
      <c r="D1473">
        <f>"In-service hours due – "&amp;IF(LEN(INDEX('Aides'!$A$4:$A$503,470))=0,"",INDEX('Aides'!$A$4:$A$503,470))</f>
        <v/>
      </c>
      <c r="E1473">
        <f>IF(ISNUMBER(INDEX('Aides'!$O$4:$O$503,470)),TEXT(INDEX('Aides'!$O$4:$O$503,470),"yyyy-mm-dd"),"")</f>
        <v/>
      </c>
      <c r="F1473">
        <f>"Training"</f>
        <v/>
      </c>
      <c r="G1473">
        <f>"Medium"</f>
        <v/>
      </c>
      <c r="H1473">
        <f>TRIM(IF(LEN(IF(LEN(INDEX('Aides'!$P$4:$P$503,470))=0,"",INDEX('Aides'!$P$4:$P$503,470)))=0,"","Hours done: "&amp;IF(LEN(INDEX('Aides'!$P$4:$P$503,470))=0,"",INDEX('Aides'!$P$4:$P$503,470))&amp;". ")&amp;IF(LEN(IF(LEN(INDEX('Aides'!$Q$4:$Q$503,470))=0,"",INDEX('Aides'!$Q$4:$Q$503,470)))=0,"","Target: "&amp;IF(LEN(INDEX('Aides'!$Q$4:$Q$503,470))=0,"",INDEX('Aides'!$Q$4:$Q$503,470))&amp;". ")&amp;IF(LEN(IF(LEN(INDEX('Aides'!$R$4:$R$503,470))=0,"",INDEX('Aides'!$R$4:$R$503,470)))=0,"","Hours still needed: "&amp;IF(LEN(INDEX('Aides'!$R$4:$R$503,470))=0,"",INDEX('Aides'!$R$4:$R$503,470))&amp;". ")&amp;IF(LEN(IF(LEN(INDEX('Aides'!$U$4:$U$503,470))=0,"",INDEX('Aides'!$U$4:$U$503,470)))=0,"","Owner: "&amp;IF(LEN(INDEX('Aides'!$U$4:$U$503,470))=0,"",INDEX('Aides'!$U$4:$U$503,470))&amp;". "))</f>
        <v/>
      </c>
      <c r="I1473">
        <f>""</f>
        <v/>
      </c>
      <c r="J1473">
        <f>IF(LEN(INDEX('Aides'!$V$4:$V$503,470))=0,"",INDEX('Aides'!$V$4:$V$503,470))</f>
        <v/>
      </c>
    </row>
    <row r="1474">
      <c r="A1474">
        <f>IF(AND(LEN('Aides'!A474)&gt;0,ISNUMBER('Aides'!O474)),1,0)</f>
        <v/>
      </c>
      <c r="B1474">
        <f>B1473+A1474</f>
        <v/>
      </c>
      <c r="C1474">
        <f>IF(1471&gt;$B$1503,"",MATCH(1471-0.5,$B$3:$B$1503,1))</f>
        <v/>
      </c>
      <c r="D1474">
        <f>"In-service hours due – "&amp;IF(LEN(INDEX('Aides'!$A$4:$A$503,471))=0,"",INDEX('Aides'!$A$4:$A$503,471))</f>
        <v/>
      </c>
      <c r="E1474">
        <f>IF(ISNUMBER(INDEX('Aides'!$O$4:$O$503,471)),TEXT(INDEX('Aides'!$O$4:$O$503,471),"yyyy-mm-dd"),"")</f>
        <v/>
      </c>
      <c r="F1474">
        <f>"Training"</f>
        <v/>
      </c>
      <c r="G1474">
        <f>"Medium"</f>
        <v/>
      </c>
      <c r="H1474">
        <f>TRIM(IF(LEN(IF(LEN(INDEX('Aides'!$P$4:$P$503,471))=0,"",INDEX('Aides'!$P$4:$P$503,471)))=0,"","Hours done: "&amp;IF(LEN(INDEX('Aides'!$P$4:$P$503,471))=0,"",INDEX('Aides'!$P$4:$P$503,471))&amp;". ")&amp;IF(LEN(IF(LEN(INDEX('Aides'!$Q$4:$Q$503,471))=0,"",INDEX('Aides'!$Q$4:$Q$503,471)))=0,"","Target: "&amp;IF(LEN(INDEX('Aides'!$Q$4:$Q$503,471))=0,"",INDEX('Aides'!$Q$4:$Q$503,471))&amp;". ")&amp;IF(LEN(IF(LEN(INDEX('Aides'!$R$4:$R$503,471))=0,"",INDEX('Aides'!$R$4:$R$503,471)))=0,"","Hours still needed: "&amp;IF(LEN(INDEX('Aides'!$R$4:$R$503,471))=0,"",INDEX('Aides'!$R$4:$R$503,471))&amp;". ")&amp;IF(LEN(IF(LEN(INDEX('Aides'!$U$4:$U$503,471))=0,"",INDEX('Aides'!$U$4:$U$503,471)))=0,"","Owner: "&amp;IF(LEN(INDEX('Aides'!$U$4:$U$503,471))=0,"",INDEX('Aides'!$U$4:$U$503,471))&amp;". "))</f>
        <v/>
      </c>
      <c r="I1474">
        <f>""</f>
        <v/>
      </c>
      <c r="J1474">
        <f>IF(LEN(INDEX('Aides'!$V$4:$V$503,471))=0,"",INDEX('Aides'!$V$4:$V$503,471))</f>
        <v/>
      </c>
    </row>
    <row r="1475">
      <c r="A1475">
        <f>IF(AND(LEN('Aides'!A475)&gt;0,ISNUMBER('Aides'!O475)),1,0)</f>
        <v/>
      </c>
      <c r="B1475">
        <f>B1474+A1475</f>
        <v/>
      </c>
      <c r="C1475">
        <f>IF(1472&gt;$B$1503,"",MATCH(1472-0.5,$B$3:$B$1503,1))</f>
        <v/>
      </c>
      <c r="D1475">
        <f>"In-service hours due – "&amp;IF(LEN(INDEX('Aides'!$A$4:$A$503,472))=0,"",INDEX('Aides'!$A$4:$A$503,472))</f>
        <v/>
      </c>
      <c r="E1475">
        <f>IF(ISNUMBER(INDEX('Aides'!$O$4:$O$503,472)),TEXT(INDEX('Aides'!$O$4:$O$503,472),"yyyy-mm-dd"),"")</f>
        <v/>
      </c>
      <c r="F1475">
        <f>"Training"</f>
        <v/>
      </c>
      <c r="G1475">
        <f>"Medium"</f>
        <v/>
      </c>
      <c r="H1475">
        <f>TRIM(IF(LEN(IF(LEN(INDEX('Aides'!$P$4:$P$503,472))=0,"",INDEX('Aides'!$P$4:$P$503,472)))=0,"","Hours done: "&amp;IF(LEN(INDEX('Aides'!$P$4:$P$503,472))=0,"",INDEX('Aides'!$P$4:$P$503,472))&amp;". ")&amp;IF(LEN(IF(LEN(INDEX('Aides'!$Q$4:$Q$503,472))=0,"",INDEX('Aides'!$Q$4:$Q$503,472)))=0,"","Target: "&amp;IF(LEN(INDEX('Aides'!$Q$4:$Q$503,472))=0,"",INDEX('Aides'!$Q$4:$Q$503,472))&amp;". ")&amp;IF(LEN(IF(LEN(INDEX('Aides'!$R$4:$R$503,472))=0,"",INDEX('Aides'!$R$4:$R$503,472)))=0,"","Hours still needed: "&amp;IF(LEN(INDEX('Aides'!$R$4:$R$503,472))=0,"",INDEX('Aides'!$R$4:$R$503,472))&amp;". ")&amp;IF(LEN(IF(LEN(INDEX('Aides'!$U$4:$U$503,472))=0,"",INDEX('Aides'!$U$4:$U$503,472)))=0,"","Owner: "&amp;IF(LEN(INDEX('Aides'!$U$4:$U$503,472))=0,"",INDEX('Aides'!$U$4:$U$503,472))&amp;". "))</f>
        <v/>
      </c>
      <c r="I1475">
        <f>""</f>
        <v/>
      </c>
      <c r="J1475">
        <f>IF(LEN(INDEX('Aides'!$V$4:$V$503,472))=0,"",INDEX('Aides'!$V$4:$V$503,472))</f>
        <v/>
      </c>
    </row>
    <row r="1476">
      <c r="A1476">
        <f>IF(AND(LEN('Aides'!A476)&gt;0,ISNUMBER('Aides'!O476)),1,0)</f>
        <v/>
      </c>
      <c r="B1476">
        <f>B1475+A1476</f>
        <v/>
      </c>
      <c r="C1476">
        <f>IF(1473&gt;$B$1503,"",MATCH(1473-0.5,$B$3:$B$1503,1))</f>
        <v/>
      </c>
      <c r="D1476">
        <f>"In-service hours due – "&amp;IF(LEN(INDEX('Aides'!$A$4:$A$503,473))=0,"",INDEX('Aides'!$A$4:$A$503,473))</f>
        <v/>
      </c>
      <c r="E1476">
        <f>IF(ISNUMBER(INDEX('Aides'!$O$4:$O$503,473)),TEXT(INDEX('Aides'!$O$4:$O$503,473),"yyyy-mm-dd"),"")</f>
        <v/>
      </c>
      <c r="F1476">
        <f>"Training"</f>
        <v/>
      </c>
      <c r="G1476">
        <f>"Medium"</f>
        <v/>
      </c>
      <c r="H1476">
        <f>TRIM(IF(LEN(IF(LEN(INDEX('Aides'!$P$4:$P$503,473))=0,"",INDEX('Aides'!$P$4:$P$503,473)))=0,"","Hours done: "&amp;IF(LEN(INDEX('Aides'!$P$4:$P$503,473))=0,"",INDEX('Aides'!$P$4:$P$503,473))&amp;". ")&amp;IF(LEN(IF(LEN(INDEX('Aides'!$Q$4:$Q$503,473))=0,"",INDEX('Aides'!$Q$4:$Q$503,473)))=0,"","Target: "&amp;IF(LEN(INDEX('Aides'!$Q$4:$Q$503,473))=0,"",INDEX('Aides'!$Q$4:$Q$503,473))&amp;". ")&amp;IF(LEN(IF(LEN(INDEX('Aides'!$R$4:$R$503,473))=0,"",INDEX('Aides'!$R$4:$R$503,473)))=0,"","Hours still needed: "&amp;IF(LEN(INDEX('Aides'!$R$4:$R$503,473))=0,"",INDEX('Aides'!$R$4:$R$503,473))&amp;". ")&amp;IF(LEN(IF(LEN(INDEX('Aides'!$U$4:$U$503,473))=0,"",INDEX('Aides'!$U$4:$U$503,473)))=0,"","Owner: "&amp;IF(LEN(INDEX('Aides'!$U$4:$U$503,473))=0,"",INDEX('Aides'!$U$4:$U$503,473))&amp;". "))</f>
        <v/>
      </c>
      <c r="I1476">
        <f>""</f>
        <v/>
      </c>
      <c r="J1476">
        <f>IF(LEN(INDEX('Aides'!$V$4:$V$503,473))=0,"",INDEX('Aides'!$V$4:$V$503,473))</f>
        <v/>
      </c>
    </row>
    <row r="1477">
      <c r="A1477">
        <f>IF(AND(LEN('Aides'!A477)&gt;0,ISNUMBER('Aides'!O477)),1,0)</f>
        <v/>
      </c>
      <c r="B1477">
        <f>B1476+A1477</f>
        <v/>
      </c>
      <c r="C1477">
        <f>IF(1474&gt;$B$1503,"",MATCH(1474-0.5,$B$3:$B$1503,1))</f>
        <v/>
      </c>
      <c r="D1477">
        <f>"In-service hours due – "&amp;IF(LEN(INDEX('Aides'!$A$4:$A$503,474))=0,"",INDEX('Aides'!$A$4:$A$503,474))</f>
        <v/>
      </c>
      <c r="E1477">
        <f>IF(ISNUMBER(INDEX('Aides'!$O$4:$O$503,474)),TEXT(INDEX('Aides'!$O$4:$O$503,474),"yyyy-mm-dd"),"")</f>
        <v/>
      </c>
      <c r="F1477">
        <f>"Training"</f>
        <v/>
      </c>
      <c r="G1477">
        <f>"Medium"</f>
        <v/>
      </c>
      <c r="H1477">
        <f>TRIM(IF(LEN(IF(LEN(INDEX('Aides'!$P$4:$P$503,474))=0,"",INDEX('Aides'!$P$4:$P$503,474)))=0,"","Hours done: "&amp;IF(LEN(INDEX('Aides'!$P$4:$P$503,474))=0,"",INDEX('Aides'!$P$4:$P$503,474))&amp;". ")&amp;IF(LEN(IF(LEN(INDEX('Aides'!$Q$4:$Q$503,474))=0,"",INDEX('Aides'!$Q$4:$Q$503,474)))=0,"","Target: "&amp;IF(LEN(INDEX('Aides'!$Q$4:$Q$503,474))=0,"",INDEX('Aides'!$Q$4:$Q$503,474))&amp;". ")&amp;IF(LEN(IF(LEN(INDEX('Aides'!$R$4:$R$503,474))=0,"",INDEX('Aides'!$R$4:$R$503,474)))=0,"","Hours still needed: "&amp;IF(LEN(INDEX('Aides'!$R$4:$R$503,474))=0,"",INDEX('Aides'!$R$4:$R$503,474))&amp;". ")&amp;IF(LEN(IF(LEN(INDEX('Aides'!$U$4:$U$503,474))=0,"",INDEX('Aides'!$U$4:$U$503,474)))=0,"","Owner: "&amp;IF(LEN(INDEX('Aides'!$U$4:$U$503,474))=0,"",INDEX('Aides'!$U$4:$U$503,474))&amp;". "))</f>
        <v/>
      </c>
      <c r="I1477">
        <f>""</f>
        <v/>
      </c>
      <c r="J1477">
        <f>IF(LEN(INDEX('Aides'!$V$4:$V$503,474))=0,"",INDEX('Aides'!$V$4:$V$503,474))</f>
        <v/>
      </c>
    </row>
    <row r="1478">
      <c r="A1478">
        <f>IF(AND(LEN('Aides'!A478)&gt;0,ISNUMBER('Aides'!O478)),1,0)</f>
        <v/>
      </c>
      <c r="B1478">
        <f>B1477+A1478</f>
        <v/>
      </c>
      <c r="C1478">
        <f>IF(1475&gt;$B$1503,"",MATCH(1475-0.5,$B$3:$B$1503,1))</f>
        <v/>
      </c>
      <c r="D1478">
        <f>"In-service hours due – "&amp;IF(LEN(INDEX('Aides'!$A$4:$A$503,475))=0,"",INDEX('Aides'!$A$4:$A$503,475))</f>
        <v/>
      </c>
      <c r="E1478">
        <f>IF(ISNUMBER(INDEX('Aides'!$O$4:$O$503,475)),TEXT(INDEX('Aides'!$O$4:$O$503,475),"yyyy-mm-dd"),"")</f>
        <v/>
      </c>
      <c r="F1478">
        <f>"Training"</f>
        <v/>
      </c>
      <c r="G1478">
        <f>"Medium"</f>
        <v/>
      </c>
      <c r="H1478">
        <f>TRIM(IF(LEN(IF(LEN(INDEX('Aides'!$P$4:$P$503,475))=0,"",INDEX('Aides'!$P$4:$P$503,475)))=0,"","Hours done: "&amp;IF(LEN(INDEX('Aides'!$P$4:$P$503,475))=0,"",INDEX('Aides'!$P$4:$P$503,475))&amp;". ")&amp;IF(LEN(IF(LEN(INDEX('Aides'!$Q$4:$Q$503,475))=0,"",INDEX('Aides'!$Q$4:$Q$503,475)))=0,"","Target: "&amp;IF(LEN(INDEX('Aides'!$Q$4:$Q$503,475))=0,"",INDEX('Aides'!$Q$4:$Q$503,475))&amp;". ")&amp;IF(LEN(IF(LEN(INDEX('Aides'!$R$4:$R$503,475))=0,"",INDEX('Aides'!$R$4:$R$503,475)))=0,"","Hours still needed: "&amp;IF(LEN(INDEX('Aides'!$R$4:$R$503,475))=0,"",INDEX('Aides'!$R$4:$R$503,475))&amp;". ")&amp;IF(LEN(IF(LEN(INDEX('Aides'!$U$4:$U$503,475))=0,"",INDEX('Aides'!$U$4:$U$503,475)))=0,"","Owner: "&amp;IF(LEN(INDEX('Aides'!$U$4:$U$503,475))=0,"",INDEX('Aides'!$U$4:$U$503,475))&amp;". "))</f>
        <v/>
      </c>
      <c r="I1478">
        <f>""</f>
        <v/>
      </c>
      <c r="J1478">
        <f>IF(LEN(INDEX('Aides'!$V$4:$V$503,475))=0,"",INDEX('Aides'!$V$4:$V$503,475))</f>
        <v/>
      </c>
    </row>
    <row r="1479">
      <c r="A1479">
        <f>IF(AND(LEN('Aides'!A479)&gt;0,ISNUMBER('Aides'!O479)),1,0)</f>
        <v/>
      </c>
      <c r="B1479">
        <f>B1478+A1479</f>
        <v/>
      </c>
      <c r="C1479">
        <f>IF(1476&gt;$B$1503,"",MATCH(1476-0.5,$B$3:$B$1503,1))</f>
        <v/>
      </c>
      <c r="D1479">
        <f>"In-service hours due – "&amp;IF(LEN(INDEX('Aides'!$A$4:$A$503,476))=0,"",INDEX('Aides'!$A$4:$A$503,476))</f>
        <v/>
      </c>
      <c r="E1479">
        <f>IF(ISNUMBER(INDEX('Aides'!$O$4:$O$503,476)),TEXT(INDEX('Aides'!$O$4:$O$503,476),"yyyy-mm-dd"),"")</f>
        <v/>
      </c>
      <c r="F1479">
        <f>"Training"</f>
        <v/>
      </c>
      <c r="G1479">
        <f>"Medium"</f>
        <v/>
      </c>
      <c r="H1479">
        <f>TRIM(IF(LEN(IF(LEN(INDEX('Aides'!$P$4:$P$503,476))=0,"",INDEX('Aides'!$P$4:$P$503,476)))=0,"","Hours done: "&amp;IF(LEN(INDEX('Aides'!$P$4:$P$503,476))=0,"",INDEX('Aides'!$P$4:$P$503,476))&amp;". ")&amp;IF(LEN(IF(LEN(INDEX('Aides'!$Q$4:$Q$503,476))=0,"",INDEX('Aides'!$Q$4:$Q$503,476)))=0,"","Target: "&amp;IF(LEN(INDEX('Aides'!$Q$4:$Q$503,476))=0,"",INDEX('Aides'!$Q$4:$Q$503,476))&amp;". ")&amp;IF(LEN(IF(LEN(INDEX('Aides'!$R$4:$R$503,476))=0,"",INDEX('Aides'!$R$4:$R$503,476)))=0,"","Hours still needed: "&amp;IF(LEN(INDEX('Aides'!$R$4:$R$503,476))=0,"",INDEX('Aides'!$R$4:$R$503,476))&amp;". ")&amp;IF(LEN(IF(LEN(INDEX('Aides'!$U$4:$U$503,476))=0,"",INDEX('Aides'!$U$4:$U$503,476)))=0,"","Owner: "&amp;IF(LEN(INDEX('Aides'!$U$4:$U$503,476))=0,"",INDEX('Aides'!$U$4:$U$503,476))&amp;". "))</f>
        <v/>
      </c>
      <c r="I1479">
        <f>""</f>
        <v/>
      </c>
      <c r="J1479">
        <f>IF(LEN(INDEX('Aides'!$V$4:$V$503,476))=0,"",INDEX('Aides'!$V$4:$V$503,476))</f>
        <v/>
      </c>
    </row>
    <row r="1480">
      <c r="A1480">
        <f>IF(AND(LEN('Aides'!A480)&gt;0,ISNUMBER('Aides'!O480)),1,0)</f>
        <v/>
      </c>
      <c r="B1480">
        <f>B1479+A1480</f>
        <v/>
      </c>
      <c r="C1480">
        <f>IF(1477&gt;$B$1503,"",MATCH(1477-0.5,$B$3:$B$1503,1))</f>
        <v/>
      </c>
      <c r="D1480">
        <f>"In-service hours due – "&amp;IF(LEN(INDEX('Aides'!$A$4:$A$503,477))=0,"",INDEX('Aides'!$A$4:$A$503,477))</f>
        <v/>
      </c>
      <c r="E1480">
        <f>IF(ISNUMBER(INDEX('Aides'!$O$4:$O$503,477)),TEXT(INDEX('Aides'!$O$4:$O$503,477),"yyyy-mm-dd"),"")</f>
        <v/>
      </c>
      <c r="F1480">
        <f>"Training"</f>
        <v/>
      </c>
      <c r="G1480">
        <f>"Medium"</f>
        <v/>
      </c>
      <c r="H1480">
        <f>TRIM(IF(LEN(IF(LEN(INDEX('Aides'!$P$4:$P$503,477))=0,"",INDEX('Aides'!$P$4:$P$503,477)))=0,"","Hours done: "&amp;IF(LEN(INDEX('Aides'!$P$4:$P$503,477))=0,"",INDEX('Aides'!$P$4:$P$503,477))&amp;". ")&amp;IF(LEN(IF(LEN(INDEX('Aides'!$Q$4:$Q$503,477))=0,"",INDEX('Aides'!$Q$4:$Q$503,477)))=0,"","Target: "&amp;IF(LEN(INDEX('Aides'!$Q$4:$Q$503,477))=0,"",INDEX('Aides'!$Q$4:$Q$503,477))&amp;". ")&amp;IF(LEN(IF(LEN(INDEX('Aides'!$R$4:$R$503,477))=0,"",INDEX('Aides'!$R$4:$R$503,477)))=0,"","Hours still needed: "&amp;IF(LEN(INDEX('Aides'!$R$4:$R$503,477))=0,"",INDEX('Aides'!$R$4:$R$503,477))&amp;". ")&amp;IF(LEN(IF(LEN(INDEX('Aides'!$U$4:$U$503,477))=0,"",INDEX('Aides'!$U$4:$U$503,477)))=0,"","Owner: "&amp;IF(LEN(INDEX('Aides'!$U$4:$U$503,477))=0,"",INDEX('Aides'!$U$4:$U$503,477))&amp;". "))</f>
        <v/>
      </c>
      <c r="I1480">
        <f>""</f>
        <v/>
      </c>
      <c r="J1480">
        <f>IF(LEN(INDEX('Aides'!$V$4:$V$503,477))=0,"",INDEX('Aides'!$V$4:$V$503,477))</f>
        <v/>
      </c>
    </row>
    <row r="1481">
      <c r="A1481">
        <f>IF(AND(LEN('Aides'!A481)&gt;0,ISNUMBER('Aides'!O481)),1,0)</f>
        <v/>
      </c>
      <c r="B1481">
        <f>B1480+A1481</f>
        <v/>
      </c>
      <c r="C1481">
        <f>IF(1478&gt;$B$1503,"",MATCH(1478-0.5,$B$3:$B$1503,1))</f>
        <v/>
      </c>
      <c r="D1481">
        <f>"In-service hours due – "&amp;IF(LEN(INDEX('Aides'!$A$4:$A$503,478))=0,"",INDEX('Aides'!$A$4:$A$503,478))</f>
        <v/>
      </c>
      <c r="E1481">
        <f>IF(ISNUMBER(INDEX('Aides'!$O$4:$O$503,478)),TEXT(INDEX('Aides'!$O$4:$O$503,478),"yyyy-mm-dd"),"")</f>
        <v/>
      </c>
      <c r="F1481">
        <f>"Training"</f>
        <v/>
      </c>
      <c r="G1481">
        <f>"Medium"</f>
        <v/>
      </c>
      <c r="H1481">
        <f>TRIM(IF(LEN(IF(LEN(INDEX('Aides'!$P$4:$P$503,478))=0,"",INDEX('Aides'!$P$4:$P$503,478)))=0,"","Hours done: "&amp;IF(LEN(INDEX('Aides'!$P$4:$P$503,478))=0,"",INDEX('Aides'!$P$4:$P$503,478))&amp;". ")&amp;IF(LEN(IF(LEN(INDEX('Aides'!$Q$4:$Q$503,478))=0,"",INDEX('Aides'!$Q$4:$Q$503,478)))=0,"","Target: "&amp;IF(LEN(INDEX('Aides'!$Q$4:$Q$503,478))=0,"",INDEX('Aides'!$Q$4:$Q$503,478))&amp;". ")&amp;IF(LEN(IF(LEN(INDEX('Aides'!$R$4:$R$503,478))=0,"",INDEX('Aides'!$R$4:$R$503,478)))=0,"","Hours still needed: "&amp;IF(LEN(INDEX('Aides'!$R$4:$R$503,478))=0,"",INDEX('Aides'!$R$4:$R$503,478))&amp;". ")&amp;IF(LEN(IF(LEN(INDEX('Aides'!$U$4:$U$503,478))=0,"",INDEX('Aides'!$U$4:$U$503,478)))=0,"","Owner: "&amp;IF(LEN(INDEX('Aides'!$U$4:$U$503,478))=0,"",INDEX('Aides'!$U$4:$U$503,478))&amp;". "))</f>
        <v/>
      </c>
      <c r="I1481">
        <f>""</f>
        <v/>
      </c>
      <c r="J1481">
        <f>IF(LEN(INDEX('Aides'!$V$4:$V$503,478))=0,"",INDEX('Aides'!$V$4:$V$503,478))</f>
        <v/>
      </c>
    </row>
    <row r="1482">
      <c r="A1482">
        <f>IF(AND(LEN('Aides'!A482)&gt;0,ISNUMBER('Aides'!O482)),1,0)</f>
        <v/>
      </c>
      <c r="B1482">
        <f>B1481+A1482</f>
        <v/>
      </c>
      <c r="C1482">
        <f>IF(1479&gt;$B$1503,"",MATCH(1479-0.5,$B$3:$B$1503,1))</f>
        <v/>
      </c>
      <c r="D1482">
        <f>"In-service hours due – "&amp;IF(LEN(INDEX('Aides'!$A$4:$A$503,479))=0,"",INDEX('Aides'!$A$4:$A$503,479))</f>
        <v/>
      </c>
      <c r="E1482">
        <f>IF(ISNUMBER(INDEX('Aides'!$O$4:$O$503,479)),TEXT(INDEX('Aides'!$O$4:$O$503,479),"yyyy-mm-dd"),"")</f>
        <v/>
      </c>
      <c r="F1482">
        <f>"Training"</f>
        <v/>
      </c>
      <c r="G1482">
        <f>"Medium"</f>
        <v/>
      </c>
      <c r="H1482">
        <f>TRIM(IF(LEN(IF(LEN(INDEX('Aides'!$P$4:$P$503,479))=0,"",INDEX('Aides'!$P$4:$P$503,479)))=0,"","Hours done: "&amp;IF(LEN(INDEX('Aides'!$P$4:$P$503,479))=0,"",INDEX('Aides'!$P$4:$P$503,479))&amp;". ")&amp;IF(LEN(IF(LEN(INDEX('Aides'!$Q$4:$Q$503,479))=0,"",INDEX('Aides'!$Q$4:$Q$503,479)))=0,"","Target: "&amp;IF(LEN(INDEX('Aides'!$Q$4:$Q$503,479))=0,"",INDEX('Aides'!$Q$4:$Q$503,479))&amp;". ")&amp;IF(LEN(IF(LEN(INDEX('Aides'!$R$4:$R$503,479))=0,"",INDEX('Aides'!$R$4:$R$503,479)))=0,"","Hours still needed: "&amp;IF(LEN(INDEX('Aides'!$R$4:$R$503,479))=0,"",INDEX('Aides'!$R$4:$R$503,479))&amp;". ")&amp;IF(LEN(IF(LEN(INDEX('Aides'!$U$4:$U$503,479))=0,"",INDEX('Aides'!$U$4:$U$503,479)))=0,"","Owner: "&amp;IF(LEN(INDEX('Aides'!$U$4:$U$503,479))=0,"",INDEX('Aides'!$U$4:$U$503,479))&amp;". "))</f>
        <v/>
      </c>
      <c r="I1482">
        <f>""</f>
        <v/>
      </c>
      <c r="J1482">
        <f>IF(LEN(INDEX('Aides'!$V$4:$V$503,479))=0,"",INDEX('Aides'!$V$4:$V$503,479))</f>
        <v/>
      </c>
    </row>
    <row r="1483">
      <c r="A1483">
        <f>IF(AND(LEN('Aides'!A483)&gt;0,ISNUMBER('Aides'!O483)),1,0)</f>
        <v/>
      </c>
      <c r="B1483">
        <f>B1482+A1483</f>
        <v/>
      </c>
      <c r="C1483">
        <f>IF(1480&gt;$B$1503,"",MATCH(1480-0.5,$B$3:$B$1503,1))</f>
        <v/>
      </c>
      <c r="D1483">
        <f>"In-service hours due – "&amp;IF(LEN(INDEX('Aides'!$A$4:$A$503,480))=0,"",INDEX('Aides'!$A$4:$A$503,480))</f>
        <v/>
      </c>
      <c r="E1483">
        <f>IF(ISNUMBER(INDEX('Aides'!$O$4:$O$503,480)),TEXT(INDEX('Aides'!$O$4:$O$503,480),"yyyy-mm-dd"),"")</f>
        <v/>
      </c>
      <c r="F1483">
        <f>"Training"</f>
        <v/>
      </c>
      <c r="G1483">
        <f>"Medium"</f>
        <v/>
      </c>
      <c r="H1483">
        <f>TRIM(IF(LEN(IF(LEN(INDEX('Aides'!$P$4:$P$503,480))=0,"",INDEX('Aides'!$P$4:$P$503,480)))=0,"","Hours done: "&amp;IF(LEN(INDEX('Aides'!$P$4:$P$503,480))=0,"",INDEX('Aides'!$P$4:$P$503,480))&amp;". ")&amp;IF(LEN(IF(LEN(INDEX('Aides'!$Q$4:$Q$503,480))=0,"",INDEX('Aides'!$Q$4:$Q$503,480)))=0,"","Target: "&amp;IF(LEN(INDEX('Aides'!$Q$4:$Q$503,480))=0,"",INDEX('Aides'!$Q$4:$Q$503,480))&amp;". ")&amp;IF(LEN(IF(LEN(INDEX('Aides'!$R$4:$R$503,480))=0,"",INDEX('Aides'!$R$4:$R$503,480)))=0,"","Hours still needed: "&amp;IF(LEN(INDEX('Aides'!$R$4:$R$503,480))=0,"",INDEX('Aides'!$R$4:$R$503,480))&amp;". ")&amp;IF(LEN(IF(LEN(INDEX('Aides'!$U$4:$U$503,480))=0,"",INDEX('Aides'!$U$4:$U$503,480)))=0,"","Owner: "&amp;IF(LEN(INDEX('Aides'!$U$4:$U$503,480))=0,"",INDEX('Aides'!$U$4:$U$503,480))&amp;". "))</f>
        <v/>
      </c>
      <c r="I1483">
        <f>""</f>
        <v/>
      </c>
      <c r="J1483">
        <f>IF(LEN(INDEX('Aides'!$V$4:$V$503,480))=0,"",INDEX('Aides'!$V$4:$V$503,480))</f>
        <v/>
      </c>
    </row>
    <row r="1484">
      <c r="A1484">
        <f>IF(AND(LEN('Aides'!A484)&gt;0,ISNUMBER('Aides'!O484)),1,0)</f>
        <v/>
      </c>
      <c r="B1484">
        <f>B1483+A1484</f>
        <v/>
      </c>
      <c r="C1484">
        <f>IF(1481&gt;$B$1503,"",MATCH(1481-0.5,$B$3:$B$1503,1))</f>
        <v/>
      </c>
      <c r="D1484">
        <f>"In-service hours due – "&amp;IF(LEN(INDEX('Aides'!$A$4:$A$503,481))=0,"",INDEX('Aides'!$A$4:$A$503,481))</f>
        <v/>
      </c>
      <c r="E1484">
        <f>IF(ISNUMBER(INDEX('Aides'!$O$4:$O$503,481)),TEXT(INDEX('Aides'!$O$4:$O$503,481),"yyyy-mm-dd"),"")</f>
        <v/>
      </c>
      <c r="F1484">
        <f>"Training"</f>
        <v/>
      </c>
      <c r="G1484">
        <f>"Medium"</f>
        <v/>
      </c>
      <c r="H1484">
        <f>TRIM(IF(LEN(IF(LEN(INDEX('Aides'!$P$4:$P$503,481))=0,"",INDEX('Aides'!$P$4:$P$503,481)))=0,"","Hours done: "&amp;IF(LEN(INDEX('Aides'!$P$4:$P$503,481))=0,"",INDEX('Aides'!$P$4:$P$503,481))&amp;". ")&amp;IF(LEN(IF(LEN(INDEX('Aides'!$Q$4:$Q$503,481))=0,"",INDEX('Aides'!$Q$4:$Q$503,481)))=0,"","Target: "&amp;IF(LEN(INDEX('Aides'!$Q$4:$Q$503,481))=0,"",INDEX('Aides'!$Q$4:$Q$503,481))&amp;". ")&amp;IF(LEN(IF(LEN(INDEX('Aides'!$R$4:$R$503,481))=0,"",INDEX('Aides'!$R$4:$R$503,481)))=0,"","Hours still needed: "&amp;IF(LEN(INDEX('Aides'!$R$4:$R$503,481))=0,"",INDEX('Aides'!$R$4:$R$503,481))&amp;". ")&amp;IF(LEN(IF(LEN(INDEX('Aides'!$U$4:$U$503,481))=0,"",INDEX('Aides'!$U$4:$U$503,481)))=0,"","Owner: "&amp;IF(LEN(INDEX('Aides'!$U$4:$U$503,481))=0,"",INDEX('Aides'!$U$4:$U$503,481))&amp;". "))</f>
        <v/>
      </c>
      <c r="I1484">
        <f>""</f>
        <v/>
      </c>
      <c r="J1484">
        <f>IF(LEN(INDEX('Aides'!$V$4:$V$503,481))=0,"",INDEX('Aides'!$V$4:$V$503,481))</f>
        <v/>
      </c>
    </row>
    <row r="1485">
      <c r="A1485">
        <f>IF(AND(LEN('Aides'!A485)&gt;0,ISNUMBER('Aides'!O485)),1,0)</f>
        <v/>
      </c>
      <c r="B1485">
        <f>B1484+A1485</f>
        <v/>
      </c>
      <c r="C1485">
        <f>IF(1482&gt;$B$1503,"",MATCH(1482-0.5,$B$3:$B$1503,1))</f>
        <v/>
      </c>
      <c r="D1485">
        <f>"In-service hours due – "&amp;IF(LEN(INDEX('Aides'!$A$4:$A$503,482))=0,"",INDEX('Aides'!$A$4:$A$503,482))</f>
        <v/>
      </c>
      <c r="E1485">
        <f>IF(ISNUMBER(INDEX('Aides'!$O$4:$O$503,482)),TEXT(INDEX('Aides'!$O$4:$O$503,482),"yyyy-mm-dd"),"")</f>
        <v/>
      </c>
      <c r="F1485">
        <f>"Training"</f>
        <v/>
      </c>
      <c r="G1485">
        <f>"Medium"</f>
        <v/>
      </c>
      <c r="H1485">
        <f>TRIM(IF(LEN(IF(LEN(INDEX('Aides'!$P$4:$P$503,482))=0,"",INDEX('Aides'!$P$4:$P$503,482)))=0,"","Hours done: "&amp;IF(LEN(INDEX('Aides'!$P$4:$P$503,482))=0,"",INDEX('Aides'!$P$4:$P$503,482))&amp;". ")&amp;IF(LEN(IF(LEN(INDEX('Aides'!$Q$4:$Q$503,482))=0,"",INDEX('Aides'!$Q$4:$Q$503,482)))=0,"","Target: "&amp;IF(LEN(INDEX('Aides'!$Q$4:$Q$503,482))=0,"",INDEX('Aides'!$Q$4:$Q$503,482))&amp;". ")&amp;IF(LEN(IF(LEN(INDEX('Aides'!$R$4:$R$503,482))=0,"",INDEX('Aides'!$R$4:$R$503,482)))=0,"","Hours still needed: "&amp;IF(LEN(INDEX('Aides'!$R$4:$R$503,482))=0,"",INDEX('Aides'!$R$4:$R$503,482))&amp;". ")&amp;IF(LEN(IF(LEN(INDEX('Aides'!$U$4:$U$503,482))=0,"",INDEX('Aides'!$U$4:$U$503,482)))=0,"","Owner: "&amp;IF(LEN(INDEX('Aides'!$U$4:$U$503,482))=0,"",INDEX('Aides'!$U$4:$U$503,482))&amp;". "))</f>
        <v/>
      </c>
      <c r="I1485">
        <f>""</f>
        <v/>
      </c>
      <c r="J1485">
        <f>IF(LEN(INDEX('Aides'!$V$4:$V$503,482))=0,"",INDEX('Aides'!$V$4:$V$503,482))</f>
        <v/>
      </c>
    </row>
    <row r="1486">
      <c r="A1486">
        <f>IF(AND(LEN('Aides'!A486)&gt;0,ISNUMBER('Aides'!O486)),1,0)</f>
        <v/>
      </c>
      <c r="B1486">
        <f>B1485+A1486</f>
        <v/>
      </c>
      <c r="C1486">
        <f>IF(1483&gt;$B$1503,"",MATCH(1483-0.5,$B$3:$B$1503,1))</f>
        <v/>
      </c>
      <c r="D1486">
        <f>"In-service hours due – "&amp;IF(LEN(INDEX('Aides'!$A$4:$A$503,483))=0,"",INDEX('Aides'!$A$4:$A$503,483))</f>
        <v/>
      </c>
      <c r="E1486">
        <f>IF(ISNUMBER(INDEX('Aides'!$O$4:$O$503,483)),TEXT(INDEX('Aides'!$O$4:$O$503,483),"yyyy-mm-dd"),"")</f>
        <v/>
      </c>
      <c r="F1486">
        <f>"Training"</f>
        <v/>
      </c>
      <c r="G1486">
        <f>"Medium"</f>
        <v/>
      </c>
      <c r="H1486">
        <f>TRIM(IF(LEN(IF(LEN(INDEX('Aides'!$P$4:$P$503,483))=0,"",INDEX('Aides'!$P$4:$P$503,483)))=0,"","Hours done: "&amp;IF(LEN(INDEX('Aides'!$P$4:$P$503,483))=0,"",INDEX('Aides'!$P$4:$P$503,483))&amp;". ")&amp;IF(LEN(IF(LEN(INDEX('Aides'!$Q$4:$Q$503,483))=0,"",INDEX('Aides'!$Q$4:$Q$503,483)))=0,"","Target: "&amp;IF(LEN(INDEX('Aides'!$Q$4:$Q$503,483))=0,"",INDEX('Aides'!$Q$4:$Q$503,483))&amp;". ")&amp;IF(LEN(IF(LEN(INDEX('Aides'!$R$4:$R$503,483))=0,"",INDEX('Aides'!$R$4:$R$503,483)))=0,"","Hours still needed: "&amp;IF(LEN(INDEX('Aides'!$R$4:$R$503,483))=0,"",INDEX('Aides'!$R$4:$R$503,483))&amp;". ")&amp;IF(LEN(IF(LEN(INDEX('Aides'!$U$4:$U$503,483))=0,"",INDEX('Aides'!$U$4:$U$503,483)))=0,"","Owner: "&amp;IF(LEN(INDEX('Aides'!$U$4:$U$503,483))=0,"",INDEX('Aides'!$U$4:$U$503,483))&amp;". "))</f>
        <v/>
      </c>
      <c r="I1486">
        <f>""</f>
        <v/>
      </c>
      <c r="J1486">
        <f>IF(LEN(INDEX('Aides'!$V$4:$V$503,483))=0,"",INDEX('Aides'!$V$4:$V$503,483))</f>
        <v/>
      </c>
    </row>
    <row r="1487">
      <c r="A1487">
        <f>IF(AND(LEN('Aides'!A487)&gt;0,ISNUMBER('Aides'!O487)),1,0)</f>
        <v/>
      </c>
      <c r="B1487">
        <f>B1486+A1487</f>
        <v/>
      </c>
      <c r="C1487">
        <f>IF(1484&gt;$B$1503,"",MATCH(1484-0.5,$B$3:$B$1503,1))</f>
        <v/>
      </c>
      <c r="D1487">
        <f>"In-service hours due – "&amp;IF(LEN(INDEX('Aides'!$A$4:$A$503,484))=0,"",INDEX('Aides'!$A$4:$A$503,484))</f>
        <v/>
      </c>
      <c r="E1487">
        <f>IF(ISNUMBER(INDEX('Aides'!$O$4:$O$503,484)),TEXT(INDEX('Aides'!$O$4:$O$503,484),"yyyy-mm-dd"),"")</f>
        <v/>
      </c>
      <c r="F1487">
        <f>"Training"</f>
        <v/>
      </c>
      <c r="G1487">
        <f>"Medium"</f>
        <v/>
      </c>
      <c r="H1487">
        <f>TRIM(IF(LEN(IF(LEN(INDEX('Aides'!$P$4:$P$503,484))=0,"",INDEX('Aides'!$P$4:$P$503,484)))=0,"","Hours done: "&amp;IF(LEN(INDEX('Aides'!$P$4:$P$503,484))=0,"",INDEX('Aides'!$P$4:$P$503,484))&amp;". ")&amp;IF(LEN(IF(LEN(INDEX('Aides'!$Q$4:$Q$503,484))=0,"",INDEX('Aides'!$Q$4:$Q$503,484)))=0,"","Target: "&amp;IF(LEN(INDEX('Aides'!$Q$4:$Q$503,484))=0,"",INDEX('Aides'!$Q$4:$Q$503,484))&amp;". ")&amp;IF(LEN(IF(LEN(INDEX('Aides'!$R$4:$R$503,484))=0,"",INDEX('Aides'!$R$4:$R$503,484)))=0,"","Hours still needed: "&amp;IF(LEN(INDEX('Aides'!$R$4:$R$503,484))=0,"",INDEX('Aides'!$R$4:$R$503,484))&amp;". ")&amp;IF(LEN(IF(LEN(INDEX('Aides'!$U$4:$U$503,484))=0,"",INDEX('Aides'!$U$4:$U$503,484)))=0,"","Owner: "&amp;IF(LEN(INDEX('Aides'!$U$4:$U$503,484))=0,"",INDEX('Aides'!$U$4:$U$503,484))&amp;". "))</f>
        <v/>
      </c>
      <c r="I1487">
        <f>""</f>
        <v/>
      </c>
      <c r="J1487">
        <f>IF(LEN(INDEX('Aides'!$V$4:$V$503,484))=0,"",INDEX('Aides'!$V$4:$V$503,484))</f>
        <v/>
      </c>
    </row>
    <row r="1488">
      <c r="A1488">
        <f>IF(AND(LEN('Aides'!A488)&gt;0,ISNUMBER('Aides'!O488)),1,0)</f>
        <v/>
      </c>
      <c r="B1488">
        <f>B1487+A1488</f>
        <v/>
      </c>
      <c r="C1488">
        <f>IF(1485&gt;$B$1503,"",MATCH(1485-0.5,$B$3:$B$1503,1))</f>
        <v/>
      </c>
      <c r="D1488">
        <f>"In-service hours due – "&amp;IF(LEN(INDEX('Aides'!$A$4:$A$503,485))=0,"",INDEX('Aides'!$A$4:$A$503,485))</f>
        <v/>
      </c>
      <c r="E1488">
        <f>IF(ISNUMBER(INDEX('Aides'!$O$4:$O$503,485)),TEXT(INDEX('Aides'!$O$4:$O$503,485),"yyyy-mm-dd"),"")</f>
        <v/>
      </c>
      <c r="F1488">
        <f>"Training"</f>
        <v/>
      </c>
      <c r="G1488">
        <f>"Medium"</f>
        <v/>
      </c>
      <c r="H1488">
        <f>TRIM(IF(LEN(IF(LEN(INDEX('Aides'!$P$4:$P$503,485))=0,"",INDEX('Aides'!$P$4:$P$503,485)))=0,"","Hours done: "&amp;IF(LEN(INDEX('Aides'!$P$4:$P$503,485))=0,"",INDEX('Aides'!$P$4:$P$503,485))&amp;". ")&amp;IF(LEN(IF(LEN(INDEX('Aides'!$Q$4:$Q$503,485))=0,"",INDEX('Aides'!$Q$4:$Q$503,485)))=0,"","Target: "&amp;IF(LEN(INDEX('Aides'!$Q$4:$Q$503,485))=0,"",INDEX('Aides'!$Q$4:$Q$503,485))&amp;". ")&amp;IF(LEN(IF(LEN(INDEX('Aides'!$R$4:$R$503,485))=0,"",INDEX('Aides'!$R$4:$R$503,485)))=0,"","Hours still needed: "&amp;IF(LEN(INDEX('Aides'!$R$4:$R$503,485))=0,"",INDEX('Aides'!$R$4:$R$503,485))&amp;". ")&amp;IF(LEN(IF(LEN(INDEX('Aides'!$U$4:$U$503,485))=0,"",INDEX('Aides'!$U$4:$U$503,485)))=0,"","Owner: "&amp;IF(LEN(INDEX('Aides'!$U$4:$U$503,485))=0,"",INDEX('Aides'!$U$4:$U$503,485))&amp;". "))</f>
        <v/>
      </c>
      <c r="I1488">
        <f>""</f>
        <v/>
      </c>
      <c r="J1488">
        <f>IF(LEN(INDEX('Aides'!$V$4:$V$503,485))=0,"",INDEX('Aides'!$V$4:$V$503,485))</f>
        <v/>
      </c>
    </row>
    <row r="1489">
      <c r="A1489">
        <f>IF(AND(LEN('Aides'!A489)&gt;0,ISNUMBER('Aides'!O489)),1,0)</f>
        <v/>
      </c>
      <c r="B1489">
        <f>B1488+A1489</f>
        <v/>
      </c>
      <c r="C1489">
        <f>IF(1486&gt;$B$1503,"",MATCH(1486-0.5,$B$3:$B$1503,1))</f>
        <v/>
      </c>
      <c r="D1489">
        <f>"In-service hours due – "&amp;IF(LEN(INDEX('Aides'!$A$4:$A$503,486))=0,"",INDEX('Aides'!$A$4:$A$503,486))</f>
        <v/>
      </c>
      <c r="E1489">
        <f>IF(ISNUMBER(INDEX('Aides'!$O$4:$O$503,486)),TEXT(INDEX('Aides'!$O$4:$O$503,486),"yyyy-mm-dd"),"")</f>
        <v/>
      </c>
      <c r="F1489">
        <f>"Training"</f>
        <v/>
      </c>
      <c r="G1489">
        <f>"Medium"</f>
        <v/>
      </c>
      <c r="H1489">
        <f>TRIM(IF(LEN(IF(LEN(INDEX('Aides'!$P$4:$P$503,486))=0,"",INDEX('Aides'!$P$4:$P$503,486)))=0,"","Hours done: "&amp;IF(LEN(INDEX('Aides'!$P$4:$P$503,486))=0,"",INDEX('Aides'!$P$4:$P$503,486))&amp;". ")&amp;IF(LEN(IF(LEN(INDEX('Aides'!$Q$4:$Q$503,486))=0,"",INDEX('Aides'!$Q$4:$Q$503,486)))=0,"","Target: "&amp;IF(LEN(INDEX('Aides'!$Q$4:$Q$503,486))=0,"",INDEX('Aides'!$Q$4:$Q$503,486))&amp;". ")&amp;IF(LEN(IF(LEN(INDEX('Aides'!$R$4:$R$503,486))=0,"",INDEX('Aides'!$R$4:$R$503,486)))=0,"","Hours still needed: "&amp;IF(LEN(INDEX('Aides'!$R$4:$R$503,486))=0,"",INDEX('Aides'!$R$4:$R$503,486))&amp;". ")&amp;IF(LEN(IF(LEN(INDEX('Aides'!$U$4:$U$503,486))=0,"",INDEX('Aides'!$U$4:$U$503,486)))=0,"","Owner: "&amp;IF(LEN(INDEX('Aides'!$U$4:$U$503,486))=0,"",INDEX('Aides'!$U$4:$U$503,486))&amp;". "))</f>
        <v/>
      </c>
      <c r="I1489">
        <f>""</f>
        <v/>
      </c>
      <c r="J1489">
        <f>IF(LEN(INDEX('Aides'!$V$4:$V$503,486))=0,"",INDEX('Aides'!$V$4:$V$503,486))</f>
        <v/>
      </c>
    </row>
    <row r="1490">
      <c r="A1490">
        <f>IF(AND(LEN('Aides'!A490)&gt;0,ISNUMBER('Aides'!O490)),1,0)</f>
        <v/>
      </c>
      <c r="B1490">
        <f>B1489+A1490</f>
        <v/>
      </c>
      <c r="C1490">
        <f>IF(1487&gt;$B$1503,"",MATCH(1487-0.5,$B$3:$B$1503,1))</f>
        <v/>
      </c>
      <c r="D1490">
        <f>"In-service hours due – "&amp;IF(LEN(INDEX('Aides'!$A$4:$A$503,487))=0,"",INDEX('Aides'!$A$4:$A$503,487))</f>
        <v/>
      </c>
      <c r="E1490">
        <f>IF(ISNUMBER(INDEX('Aides'!$O$4:$O$503,487)),TEXT(INDEX('Aides'!$O$4:$O$503,487),"yyyy-mm-dd"),"")</f>
        <v/>
      </c>
      <c r="F1490">
        <f>"Training"</f>
        <v/>
      </c>
      <c r="G1490">
        <f>"Medium"</f>
        <v/>
      </c>
      <c r="H1490">
        <f>TRIM(IF(LEN(IF(LEN(INDEX('Aides'!$P$4:$P$503,487))=0,"",INDEX('Aides'!$P$4:$P$503,487)))=0,"","Hours done: "&amp;IF(LEN(INDEX('Aides'!$P$4:$P$503,487))=0,"",INDEX('Aides'!$P$4:$P$503,487))&amp;". ")&amp;IF(LEN(IF(LEN(INDEX('Aides'!$Q$4:$Q$503,487))=0,"",INDEX('Aides'!$Q$4:$Q$503,487)))=0,"","Target: "&amp;IF(LEN(INDEX('Aides'!$Q$4:$Q$503,487))=0,"",INDEX('Aides'!$Q$4:$Q$503,487))&amp;". ")&amp;IF(LEN(IF(LEN(INDEX('Aides'!$R$4:$R$503,487))=0,"",INDEX('Aides'!$R$4:$R$503,487)))=0,"","Hours still needed: "&amp;IF(LEN(INDEX('Aides'!$R$4:$R$503,487))=0,"",INDEX('Aides'!$R$4:$R$503,487))&amp;". ")&amp;IF(LEN(IF(LEN(INDEX('Aides'!$U$4:$U$503,487))=0,"",INDEX('Aides'!$U$4:$U$503,487)))=0,"","Owner: "&amp;IF(LEN(INDEX('Aides'!$U$4:$U$503,487))=0,"",INDEX('Aides'!$U$4:$U$503,487))&amp;". "))</f>
        <v/>
      </c>
      <c r="I1490">
        <f>""</f>
        <v/>
      </c>
      <c r="J1490">
        <f>IF(LEN(INDEX('Aides'!$V$4:$V$503,487))=0,"",INDEX('Aides'!$V$4:$V$503,487))</f>
        <v/>
      </c>
    </row>
    <row r="1491">
      <c r="A1491">
        <f>IF(AND(LEN('Aides'!A491)&gt;0,ISNUMBER('Aides'!O491)),1,0)</f>
        <v/>
      </c>
      <c r="B1491">
        <f>B1490+A1491</f>
        <v/>
      </c>
      <c r="C1491">
        <f>IF(1488&gt;$B$1503,"",MATCH(1488-0.5,$B$3:$B$1503,1))</f>
        <v/>
      </c>
      <c r="D1491">
        <f>"In-service hours due – "&amp;IF(LEN(INDEX('Aides'!$A$4:$A$503,488))=0,"",INDEX('Aides'!$A$4:$A$503,488))</f>
        <v/>
      </c>
      <c r="E1491">
        <f>IF(ISNUMBER(INDEX('Aides'!$O$4:$O$503,488)),TEXT(INDEX('Aides'!$O$4:$O$503,488),"yyyy-mm-dd"),"")</f>
        <v/>
      </c>
      <c r="F1491">
        <f>"Training"</f>
        <v/>
      </c>
      <c r="G1491">
        <f>"Medium"</f>
        <v/>
      </c>
      <c r="H1491">
        <f>TRIM(IF(LEN(IF(LEN(INDEX('Aides'!$P$4:$P$503,488))=0,"",INDEX('Aides'!$P$4:$P$503,488)))=0,"","Hours done: "&amp;IF(LEN(INDEX('Aides'!$P$4:$P$503,488))=0,"",INDEX('Aides'!$P$4:$P$503,488))&amp;". ")&amp;IF(LEN(IF(LEN(INDEX('Aides'!$Q$4:$Q$503,488))=0,"",INDEX('Aides'!$Q$4:$Q$503,488)))=0,"","Target: "&amp;IF(LEN(INDEX('Aides'!$Q$4:$Q$503,488))=0,"",INDEX('Aides'!$Q$4:$Q$503,488))&amp;". ")&amp;IF(LEN(IF(LEN(INDEX('Aides'!$R$4:$R$503,488))=0,"",INDEX('Aides'!$R$4:$R$503,488)))=0,"","Hours still needed: "&amp;IF(LEN(INDEX('Aides'!$R$4:$R$503,488))=0,"",INDEX('Aides'!$R$4:$R$503,488))&amp;". ")&amp;IF(LEN(IF(LEN(INDEX('Aides'!$U$4:$U$503,488))=0,"",INDEX('Aides'!$U$4:$U$503,488)))=0,"","Owner: "&amp;IF(LEN(INDEX('Aides'!$U$4:$U$503,488))=0,"",INDEX('Aides'!$U$4:$U$503,488))&amp;". "))</f>
        <v/>
      </c>
      <c r="I1491">
        <f>""</f>
        <v/>
      </c>
      <c r="J1491">
        <f>IF(LEN(INDEX('Aides'!$V$4:$V$503,488))=0,"",INDEX('Aides'!$V$4:$V$503,488))</f>
        <v/>
      </c>
    </row>
    <row r="1492">
      <c r="A1492">
        <f>IF(AND(LEN('Aides'!A492)&gt;0,ISNUMBER('Aides'!O492)),1,0)</f>
        <v/>
      </c>
      <c r="B1492">
        <f>B1491+A1492</f>
        <v/>
      </c>
      <c r="C1492">
        <f>IF(1489&gt;$B$1503,"",MATCH(1489-0.5,$B$3:$B$1503,1))</f>
        <v/>
      </c>
      <c r="D1492">
        <f>"In-service hours due – "&amp;IF(LEN(INDEX('Aides'!$A$4:$A$503,489))=0,"",INDEX('Aides'!$A$4:$A$503,489))</f>
        <v/>
      </c>
      <c r="E1492">
        <f>IF(ISNUMBER(INDEX('Aides'!$O$4:$O$503,489)),TEXT(INDEX('Aides'!$O$4:$O$503,489),"yyyy-mm-dd"),"")</f>
        <v/>
      </c>
      <c r="F1492">
        <f>"Training"</f>
        <v/>
      </c>
      <c r="G1492">
        <f>"Medium"</f>
        <v/>
      </c>
      <c r="H1492">
        <f>TRIM(IF(LEN(IF(LEN(INDEX('Aides'!$P$4:$P$503,489))=0,"",INDEX('Aides'!$P$4:$P$503,489)))=0,"","Hours done: "&amp;IF(LEN(INDEX('Aides'!$P$4:$P$503,489))=0,"",INDEX('Aides'!$P$4:$P$503,489))&amp;". ")&amp;IF(LEN(IF(LEN(INDEX('Aides'!$Q$4:$Q$503,489))=0,"",INDEX('Aides'!$Q$4:$Q$503,489)))=0,"","Target: "&amp;IF(LEN(INDEX('Aides'!$Q$4:$Q$503,489))=0,"",INDEX('Aides'!$Q$4:$Q$503,489))&amp;". ")&amp;IF(LEN(IF(LEN(INDEX('Aides'!$R$4:$R$503,489))=0,"",INDEX('Aides'!$R$4:$R$503,489)))=0,"","Hours still needed: "&amp;IF(LEN(INDEX('Aides'!$R$4:$R$503,489))=0,"",INDEX('Aides'!$R$4:$R$503,489))&amp;". ")&amp;IF(LEN(IF(LEN(INDEX('Aides'!$U$4:$U$503,489))=0,"",INDEX('Aides'!$U$4:$U$503,489)))=0,"","Owner: "&amp;IF(LEN(INDEX('Aides'!$U$4:$U$503,489))=0,"",INDEX('Aides'!$U$4:$U$503,489))&amp;". "))</f>
        <v/>
      </c>
      <c r="I1492">
        <f>""</f>
        <v/>
      </c>
      <c r="J1492">
        <f>IF(LEN(INDEX('Aides'!$V$4:$V$503,489))=0,"",INDEX('Aides'!$V$4:$V$503,489))</f>
        <v/>
      </c>
    </row>
    <row r="1493">
      <c r="A1493">
        <f>IF(AND(LEN('Aides'!A493)&gt;0,ISNUMBER('Aides'!O493)),1,0)</f>
        <v/>
      </c>
      <c r="B1493">
        <f>B1492+A1493</f>
        <v/>
      </c>
      <c r="C1493">
        <f>IF(1490&gt;$B$1503,"",MATCH(1490-0.5,$B$3:$B$1503,1))</f>
        <v/>
      </c>
      <c r="D1493">
        <f>"In-service hours due – "&amp;IF(LEN(INDEX('Aides'!$A$4:$A$503,490))=0,"",INDEX('Aides'!$A$4:$A$503,490))</f>
        <v/>
      </c>
      <c r="E1493">
        <f>IF(ISNUMBER(INDEX('Aides'!$O$4:$O$503,490)),TEXT(INDEX('Aides'!$O$4:$O$503,490),"yyyy-mm-dd"),"")</f>
        <v/>
      </c>
      <c r="F1493">
        <f>"Training"</f>
        <v/>
      </c>
      <c r="G1493">
        <f>"Medium"</f>
        <v/>
      </c>
      <c r="H1493">
        <f>TRIM(IF(LEN(IF(LEN(INDEX('Aides'!$P$4:$P$503,490))=0,"",INDEX('Aides'!$P$4:$P$503,490)))=0,"","Hours done: "&amp;IF(LEN(INDEX('Aides'!$P$4:$P$503,490))=0,"",INDEX('Aides'!$P$4:$P$503,490))&amp;". ")&amp;IF(LEN(IF(LEN(INDEX('Aides'!$Q$4:$Q$503,490))=0,"",INDEX('Aides'!$Q$4:$Q$503,490)))=0,"","Target: "&amp;IF(LEN(INDEX('Aides'!$Q$4:$Q$503,490))=0,"",INDEX('Aides'!$Q$4:$Q$503,490))&amp;". ")&amp;IF(LEN(IF(LEN(INDEX('Aides'!$R$4:$R$503,490))=0,"",INDEX('Aides'!$R$4:$R$503,490)))=0,"","Hours still needed: "&amp;IF(LEN(INDEX('Aides'!$R$4:$R$503,490))=0,"",INDEX('Aides'!$R$4:$R$503,490))&amp;". ")&amp;IF(LEN(IF(LEN(INDEX('Aides'!$U$4:$U$503,490))=0,"",INDEX('Aides'!$U$4:$U$503,490)))=0,"","Owner: "&amp;IF(LEN(INDEX('Aides'!$U$4:$U$503,490))=0,"",INDEX('Aides'!$U$4:$U$503,490))&amp;". "))</f>
        <v/>
      </c>
      <c r="I1493">
        <f>""</f>
        <v/>
      </c>
      <c r="J1493">
        <f>IF(LEN(INDEX('Aides'!$V$4:$V$503,490))=0,"",INDEX('Aides'!$V$4:$V$503,490))</f>
        <v/>
      </c>
    </row>
    <row r="1494">
      <c r="A1494">
        <f>IF(AND(LEN('Aides'!A494)&gt;0,ISNUMBER('Aides'!O494)),1,0)</f>
        <v/>
      </c>
      <c r="B1494">
        <f>B1493+A1494</f>
        <v/>
      </c>
      <c r="C1494">
        <f>IF(1491&gt;$B$1503,"",MATCH(1491-0.5,$B$3:$B$1503,1))</f>
        <v/>
      </c>
      <c r="D1494">
        <f>"In-service hours due – "&amp;IF(LEN(INDEX('Aides'!$A$4:$A$503,491))=0,"",INDEX('Aides'!$A$4:$A$503,491))</f>
        <v/>
      </c>
      <c r="E1494">
        <f>IF(ISNUMBER(INDEX('Aides'!$O$4:$O$503,491)),TEXT(INDEX('Aides'!$O$4:$O$503,491),"yyyy-mm-dd"),"")</f>
        <v/>
      </c>
      <c r="F1494">
        <f>"Training"</f>
        <v/>
      </c>
      <c r="G1494">
        <f>"Medium"</f>
        <v/>
      </c>
      <c r="H1494">
        <f>TRIM(IF(LEN(IF(LEN(INDEX('Aides'!$P$4:$P$503,491))=0,"",INDEX('Aides'!$P$4:$P$503,491)))=0,"","Hours done: "&amp;IF(LEN(INDEX('Aides'!$P$4:$P$503,491))=0,"",INDEX('Aides'!$P$4:$P$503,491))&amp;". ")&amp;IF(LEN(IF(LEN(INDEX('Aides'!$Q$4:$Q$503,491))=0,"",INDEX('Aides'!$Q$4:$Q$503,491)))=0,"","Target: "&amp;IF(LEN(INDEX('Aides'!$Q$4:$Q$503,491))=0,"",INDEX('Aides'!$Q$4:$Q$503,491))&amp;". ")&amp;IF(LEN(IF(LEN(INDEX('Aides'!$R$4:$R$503,491))=0,"",INDEX('Aides'!$R$4:$R$503,491)))=0,"","Hours still needed: "&amp;IF(LEN(INDEX('Aides'!$R$4:$R$503,491))=0,"",INDEX('Aides'!$R$4:$R$503,491))&amp;". ")&amp;IF(LEN(IF(LEN(INDEX('Aides'!$U$4:$U$503,491))=0,"",INDEX('Aides'!$U$4:$U$503,491)))=0,"","Owner: "&amp;IF(LEN(INDEX('Aides'!$U$4:$U$503,491))=0,"",INDEX('Aides'!$U$4:$U$503,491))&amp;". "))</f>
        <v/>
      </c>
      <c r="I1494">
        <f>""</f>
        <v/>
      </c>
      <c r="J1494">
        <f>IF(LEN(INDEX('Aides'!$V$4:$V$503,491))=0,"",INDEX('Aides'!$V$4:$V$503,491))</f>
        <v/>
      </c>
    </row>
    <row r="1495">
      <c r="A1495">
        <f>IF(AND(LEN('Aides'!A495)&gt;0,ISNUMBER('Aides'!O495)),1,0)</f>
        <v/>
      </c>
      <c r="B1495">
        <f>B1494+A1495</f>
        <v/>
      </c>
      <c r="C1495">
        <f>IF(1492&gt;$B$1503,"",MATCH(1492-0.5,$B$3:$B$1503,1))</f>
        <v/>
      </c>
      <c r="D1495">
        <f>"In-service hours due – "&amp;IF(LEN(INDEX('Aides'!$A$4:$A$503,492))=0,"",INDEX('Aides'!$A$4:$A$503,492))</f>
        <v/>
      </c>
      <c r="E1495">
        <f>IF(ISNUMBER(INDEX('Aides'!$O$4:$O$503,492)),TEXT(INDEX('Aides'!$O$4:$O$503,492),"yyyy-mm-dd"),"")</f>
        <v/>
      </c>
      <c r="F1495">
        <f>"Training"</f>
        <v/>
      </c>
      <c r="G1495">
        <f>"Medium"</f>
        <v/>
      </c>
      <c r="H1495">
        <f>TRIM(IF(LEN(IF(LEN(INDEX('Aides'!$P$4:$P$503,492))=0,"",INDEX('Aides'!$P$4:$P$503,492)))=0,"","Hours done: "&amp;IF(LEN(INDEX('Aides'!$P$4:$P$503,492))=0,"",INDEX('Aides'!$P$4:$P$503,492))&amp;". ")&amp;IF(LEN(IF(LEN(INDEX('Aides'!$Q$4:$Q$503,492))=0,"",INDEX('Aides'!$Q$4:$Q$503,492)))=0,"","Target: "&amp;IF(LEN(INDEX('Aides'!$Q$4:$Q$503,492))=0,"",INDEX('Aides'!$Q$4:$Q$503,492))&amp;". ")&amp;IF(LEN(IF(LEN(INDEX('Aides'!$R$4:$R$503,492))=0,"",INDEX('Aides'!$R$4:$R$503,492)))=0,"","Hours still needed: "&amp;IF(LEN(INDEX('Aides'!$R$4:$R$503,492))=0,"",INDEX('Aides'!$R$4:$R$503,492))&amp;". ")&amp;IF(LEN(IF(LEN(INDEX('Aides'!$U$4:$U$503,492))=0,"",INDEX('Aides'!$U$4:$U$503,492)))=0,"","Owner: "&amp;IF(LEN(INDEX('Aides'!$U$4:$U$503,492))=0,"",INDEX('Aides'!$U$4:$U$503,492))&amp;". "))</f>
        <v/>
      </c>
      <c r="I1495">
        <f>""</f>
        <v/>
      </c>
      <c r="J1495">
        <f>IF(LEN(INDEX('Aides'!$V$4:$V$503,492))=0,"",INDEX('Aides'!$V$4:$V$503,492))</f>
        <v/>
      </c>
    </row>
    <row r="1496">
      <c r="A1496">
        <f>IF(AND(LEN('Aides'!A496)&gt;0,ISNUMBER('Aides'!O496)),1,0)</f>
        <v/>
      </c>
      <c r="B1496">
        <f>B1495+A1496</f>
        <v/>
      </c>
      <c r="C1496">
        <f>IF(1493&gt;$B$1503,"",MATCH(1493-0.5,$B$3:$B$1503,1))</f>
        <v/>
      </c>
      <c r="D1496">
        <f>"In-service hours due – "&amp;IF(LEN(INDEX('Aides'!$A$4:$A$503,493))=0,"",INDEX('Aides'!$A$4:$A$503,493))</f>
        <v/>
      </c>
      <c r="E1496">
        <f>IF(ISNUMBER(INDEX('Aides'!$O$4:$O$503,493)),TEXT(INDEX('Aides'!$O$4:$O$503,493),"yyyy-mm-dd"),"")</f>
        <v/>
      </c>
      <c r="F1496">
        <f>"Training"</f>
        <v/>
      </c>
      <c r="G1496">
        <f>"Medium"</f>
        <v/>
      </c>
      <c r="H1496">
        <f>TRIM(IF(LEN(IF(LEN(INDEX('Aides'!$P$4:$P$503,493))=0,"",INDEX('Aides'!$P$4:$P$503,493)))=0,"","Hours done: "&amp;IF(LEN(INDEX('Aides'!$P$4:$P$503,493))=0,"",INDEX('Aides'!$P$4:$P$503,493))&amp;". ")&amp;IF(LEN(IF(LEN(INDEX('Aides'!$Q$4:$Q$503,493))=0,"",INDEX('Aides'!$Q$4:$Q$503,493)))=0,"","Target: "&amp;IF(LEN(INDEX('Aides'!$Q$4:$Q$503,493))=0,"",INDEX('Aides'!$Q$4:$Q$503,493))&amp;". ")&amp;IF(LEN(IF(LEN(INDEX('Aides'!$R$4:$R$503,493))=0,"",INDEX('Aides'!$R$4:$R$503,493)))=0,"","Hours still needed: "&amp;IF(LEN(INDEX('Aides'!$R$4:$R$503,493))=0,"",INDEX('Aides'!$R$4:$R$503,493))&amp;". ")&amp;IF(LEN(IF(LEN(INDEX('Aides'!$U$4:$U$503,493))=0,"",INDEX('Aides'!$U$4:$U$503,493)))=0,"","Owner: "&amp;IF(LEN(INDEX('Aides'!$U$4:$U$503,493))=0,"",INDEX('Aides'!$U$4:$U$503,493))&amp;". "))</f>
        <v/>
      </c>
      <c r="I1496">
        <f>""</f>
        <v/>
      </c>
      <c r="J1496">
        <f>IF(LEN(INDEX('Aides'!$V$4:$V$503,493))=0,"",INDEX('Aides'!$V$4:$V$503,493))</f>
        <v/>
      </c>
    </row>
    <row r="1497">
      <c r="A1497">
        <f>IF(AND(LEN('Aides'!A497)&gt;0,ISNUMBER('Aides'!O497)),1,0)</f>
        <v/>
      </c>
      <c r="B1497">
        <f>B1496+A1497</f>
        <v/>
      </c>
      <c r="C1497">
        <f>IF(1494&gt;$B$1503,"",MATCH(1494-0.5,$B$3:$B$1503,1))</f>
        <v/>
      </c>
      <c r="D1497">
        <f>"In-service hours due – "&amp;IF(LEN(INDEX('Aides'!$A$4:$A$503,494))=0,"",INDEX('Aides'!$A$4:$A$503,494))</f>
        <v/>
      </c>
      <c r="E1497">
        <f>IF(ISNUMBER(INDEX('Aides'!$O$4:$O$503,494)),TEXT(INDEX('Aides'!$O$4:$O$503,494),"yyyy-mm-dd"),"")</f>
        <v/>
      </c>
      <c r="F1497">
        <f>"Training"</f>
        <v/>
      </c>
      <c r="G1497">
        <f>"Medium"</f>
        <v/>
      </c>
      <c r="H1497">
        <f>TRIM(IF(LEN(IF(LEN(INDEX('Aides'!$P$4:$P$503,494))=0,"",INDEX('Aides'!$P$4:$P$503,494)))=0,"","Hours done: "&amp;IF(LEN(INDEX('Aides'!$P$4:$P$503,494))=0,"",INDEX('Aides'!$P$4:$P$503,494))&amp;". ")&amp;IF(LEN(IF(LEN(INDEX('Aides'!$Q$4:$Q$503,494))=0,"",INDEX('Aides'!$Q$4:$Q$503,494)))=0,"","Target: "&amp;IF(LEN(INDEX('Aides'!$Q$4:$Q$503,494))=0,"",INDEX('Aides'!$Q$4:$Q$503,494))&amp;". ")&amp;IF(LEN(IF(LEN(INDEX('Aides'!$R$4:$R$503,494))=0,"",INDEX('Aides'!$R$4:$R$503,494)))=0,"","Hours still needed: "&amp;IF(LEN(INDEX('Aides'!$R$4:$R$503,494))=0,"",INDEX('Aides'!$R$4:$R$503,494))&amp;". ")&amp;IF(LEN(IF(LEN(INDEX('Aides'!$U$4:$U$503,494))=0,"",INDEX('Aides'!$U$4:$U$503,494)))=0,"","Owner: "&amp;IF(LEN(INDEX('Aides'!$U$4:$U$503,494))=0,"",INDEX('Aides'!$U$4:$U$503,494))&amp;". "))</f>
        <v/>
      </c>
      <c r="I1497">
        <f>""</f>
        <v/>
      </c>
      <c r="J1497">
        <f>IF(LEN(INDEX('Aides'!$V$4:$V$503,494))=0,"",INDEX('Aides'!$V$4:$V$503,494))</f>
        <v/>
      </c>
    </row>
    <row r="1498">
      <c r="A1498">
        <f>IF(AND(LEN('Aides'!A498)&gt;0,ISNUMBER('Aides'!O498)),1,0)</f>
        <v/>
      </c>
      <c r="B1498">
        <f>B1497+A1498</f>
        <v/>
      </c>
      <c r="C1498">
        <f>IF(1495&gt;$B$1503,"",MATCH(1495-0.5,$B$3:$B$1503,1))</f>
        <v/>
      </c>
      <c r="D1498">
        <f>"In-service hours due – "&amp;IF(LEN(INDEX('Aides'!$A$4:$A$503,495))=0,"",INDEX('Aides'!$A$4:$A$503,495))</f>
        <v/>
      </c>
      <c r="E1498">
        <f>IF(ISNUMBER(INDEX('Aides'!$O$4:$O$503,495)),TEXT(INDEX('Aides'!$O$4:$O$503,495),"yyyy-mm-dd"),"")</f>
        <v/>
      </c>
      <c r="F1498">
        <f>"Training"</f>
        <v/>
      </c>
      <c r="G1498">
        <f>"Medium"</f>
        <v/>
      </c>
      <c r="H1498">
        <f>TRIM(IF(LEN(IF(LEN(INDEX('Aides'!$P$4:$P$503,495))=0,"",INDEX('Aides'!$P$4:$P$503,495)))=0,"","Hours done: "&amp;IF(LEN(INDEX('Aides'!$P$4:$P$503,495))=0,"",INDEX('Aides'!$P$4:$P$503,495))&amp;". ")&amp;IF(LEN(IF(LEN(INDEX('Aides'!$Q$4:$Q$503,495))=0,"",INDEX('Aides'!$Q$4:$Q$503,495)))=0,"","Target: "&amp;IF(LEN(INDEX('Aides'!$Q$4:$Q$503,495))=0,"",INDEX('Aides'!$Q$4:$Q$503,495))&amp;". ")&amp;IF(LEN(IF(LEN(INDEX('Aides'!$R$4:$R$503,495))=0,"",INDEX('Aides'!$R$4:$R$503,495)))=0,"","Hours still needed: "&amp;IF(LEN(INDEX('Aides'!$R$4:$R$503,495))=0,"",INDEX('Aides'!$R$4:$R$503,495))&amp;". ")&amp;IF(LEN(IF(LEN(INDEX('Aides'!$U$4:$U$503,495))=0,"",INDEX('Aides'!$U$4:$U$503,495)))=0,"","Owner: "&amp;IF(LEN(INDEX('Aides'!$U$4:$U$503,495))=0,"",INDEX('Aides'!$U$4:$U$503,495))&amp;". "))</f>
        <v/>
      </c>
      <c r="I1498">
        <f>""</f>
        <v/>
      </c>
      <c r="J1498">
        <f>IF(LEN(INDEX('Aides'!$V$4:$V$503,495))=0,"",INDEX('Aides'!$V$4:$V$503,495))</f>
        <v/>
      </c>
    </row>
    <row r="1499">
      <c r="A1499">
        <f>IF(AND(LEN('Aides'!A499)&gt;0,ISNUMBER('Aides'!O499)),1,0)</f>
        <v/>
      </c>
      <c r="B1499">
        <f>B1498+A1499</f>
        <v/>
      </c>
      <c r="C1499">
        <f>IF(1496&gt;$B$1503,"",MATCH(1496-0.5,$B$3:$B$1503,1))</f>
        <v/>
      </c>
      <c r="D1499">
        <f>"In-service hours due – "&amp;IF(LEN(INDEX('Aides'!$A$4:$A$503,496))=0,"",INDEX('Aides'!$A$4:$A$503,496))</f>
        <v/>
      </c>
      <c r="E1499">
        <f>IF(ISNUMBER(INDEX('Aides'!$O$4:$O$503,496)),TEXT(INDEX('Aides'!$O$4:$O$503,496),"yyyy-mm-dd"),"")</f>
        <v/>
      </c>
      <c r="F1499">
        <f>"Training"</f>
        <v/>
      </c>
      <c r="G1499">
        <f>"Medium"</f>
        <v/>
      </c>
      <c r="H1499">
        <f>TRIM(IF(LEN(IF(LEN(INDEX('Aides'!$P$4:$P$503,496))=0,"",INDEX('Aides'!$P$4:$P$503,496)))=0,"","Hours done: "&amp;IF(LEN(INDEX('Aides'!$P$4:$P$503,496))=0,"",INDEX('Aides'!$P$4:$P$503,496))&amp;". ")&amp;IF(LEN(IF(LEN(INDEX('Aides'!$Q$4:$Q$503,496))=0,"",INDEX('Aides'!$Q$4:$Q$503,496)))=0,"","Target: "&amp;IF(LEN(INDEX('Aides'!$Q$4:$Q$503,496))=0,"",INDEX('Aides'!$Q$4:$Q$503,496))&amp;". ")&amp;IF(LEN(IF(LEN(INDEX('Aides'!$R$4:$R$503,496))=0,"",INDEX('Aides'!$R$4:$R$503,496)))=0,"","Hours still needed: "&amp;IF(LEN(INDEX('Aides'!$R$4:$R$503,496))=0,"",INDEX('Aides'!$R$4:$R$503,496))&amp;". ")&amp;IF(LEN(IF(LEN(INDEX('Aides'!$U$4:$U$503,496))=0,"",INDEX('Aides'!$U$4:$U$503,496)))=0,"","Owner: "&amp;IF(LEN(INDEX('Aides'!$U$4:$U$503,496))=0,"",INDEX('Aides'!$U$4:$U$503,496))&amp;". "))</f>
        <v/>
      </c>
      <c r="I1499">
        <f>""</f>
        <v/>
      </c>
      <c r="J1499">
        <f>IF(LEN(INDEX('Aides'!$V$4:$V$503,496))=0,"",INDEX('Aides'!$V$4:$V$503,496))</f>
        <v/>
      </c>
    </row>
    <row r="1500">
      <c r="A1500">
        <f>IF(AND(LEN('Aides'!A500)&gt;0,ISNUMBER('Aides'!O500)),1,0)</f>
        <v/>
      </c>
      <c r="B1500">
        <f>B1499+A1500</f>
        <v/>
      </c>
      <c r="C1500">
        <f>IF(1497&gt;$B$1503,"",MATCH(1497-0.5,$B$3:$B$1503,1))</f>
        <v/>
      </c>
      <c r="D1500">
        <f>"In-service hours due – "&amp;IF(LEN(INDEX('Aides'!$A$4:$A$503,497))=0,"",INDEX('Aides'!$A$4:$A$503,497))</f>
        <v/>
      </c>
      <c r="E1500">
        <f>IF(ISNUMBER(INDEX('Aides'!$O$4:$O$503,497)),TEXT(INDEX('Aides'!$O$4:$O$503,497),"yyyy-mm-dd"),"")</f>
        <v/>
      </c>
      <c r="F1500">
        <f>"Training"</f>
        <v/>
      </c>
      <c r="G1500">
        <f>"Medium"</f>
        <v/>
      </c>
      <c r="H1500">
        <f>TRIM(IF(LEN(IF(LEN(INDEX('Aides'!$P$4:$P$503,497))=0,"",INDEX('Aides'!$P$4:$P$503,497)))=0,"","Hours done: "&amp;IF(LEN(INDEX('Aides'!$P$4:$P$503,497))=0,"",INDEX('Aides'!$P$4:$P$503,497))&amp;". ")&amp;IF(LEN(IF(LEN(INDEX('Aides'!$Q$4:$Q$503,497))=0,"",INDEX('Aides'!$Q$4:$Q$503,497)))=0,"","Target: "&amp;IF(LEN(INDEX('Aides'!$Q$4:$Q$503,497))=0,"",INDEX('Aides'!$Q$4:$Q$503,497))&amp;". ")&amp;IF(LEN(IF(LEN(INDEX('Aides'!$R$4:$R$503,497))=0,"",INDEX('Aides'!$R$4:$R$503,497)))=0,"","Hours still needed: "&amp;IF(LEN(INDEX('Aides'!$R$4:$R$503,497))=0,"",INDEX('Aides'!$R$4:$R$503,497))&amp;". ")&amp;IF(LEN(IF(LEN(INDEX('Aides'!$U$4:$U$503,497))=0,"",INDEX('Aides'!$U$4:$U$503,497)))=0,"","Owner: "&amp;IF(LEN(INDEX('Aides'!$U$4:$U$503,497))=0,"",INDEX('Aides'!$U$4:$U$503,497))&amp;". "))</f>
        <v/>
      </c>
      <c r="I1500">
        <f>""</f>
        <v/>
      </c>
      <c r="J1500">
        <f>IF(LEN(INDEX('Aides'!$V$4:$V$503,497))=0,"",INDEX('Aides'!$V$4:$V$503,497))</f>
        <v/>
      </c>
    </row>
    <row r="1501">
      <c r="A1501">
        <f>IF(AND(LEN('Aides'!A501)&gt;0,ISNUMBER('Aides'!O501)),1,0)</f>
        <v/>
      </c>
      <c r="B1501">
        <f>B1500+A1501</f>
        <v/>
      </c>
      <c r="C1501">
        <f>IF(1498&gt;$B$1503,"",MATCH(1498-0.5,$B$3:$B$1503,1))</f>
        <v/>
      </c>
      <c r="D1501">
        <f>"In-service hours due – "&amp;IF(LEN(INDEX('Aides'!$A$4:$A$503,498))=0,"",INDEX('Aides'!$A$4:$A$503,498))</f>
        <v/>
      </c>
      <c r="E1501">
        <f>IF(ISNUMBER(INDEX('Aides'!$O$4:$O$503,498)),TEXT(INDEX('Aides'!$O$4:$O$503,498),"yyyy-mm-dd"),"")</f>
        <v/>
      </c>
      <c r="F1501">
        <f>"Training"</f>
        <v/>
      </c>
      <c r="G1501">
        <f>"Medium"</f>
        <v/>
      </c>
      <c r="H1501">
        <f>TRIM(IF(LEN(IF(LEN(INDEX('Aides'!$P$4:$P$503,498))=0,"",INDEX('Aides'!$P$4:$P$503,498)))=0,"","Hours done: "&amp;IF(LEN(INDEX('Aides'!$P$4:$P$503,498))=0,"",INDEX('Aides'!$P$4:$P$503,498))&amp;". ")&amp;IF(LEN(IF(LEN(INDEX('Aides'!$Q$4:$Q$503,498))=0,"",INDEX('Aides'!$Q$4:$Q$503,498)))=0,"","Target: "&amp;IF(LEN(INDEX('Aides'!$Q$4:$Q$503,498))=0,"",INDEX('Aides'!$Q$4:$Q$503,498))&amp;". ")&amp;IF(LEN(IF(LEN(INDEX('Aides'!$R$4:$R$503,498))=0,"",INDEX('Aides'!$R$4:$R$503,498)))=0,"","Hours still needed: "&amp;IF(LEN(INDEX('Aides'!$R$4:$R$503,498))=0,"",INDEX('Aides'!$R$4:$R$503,498))&amp;". ")&amp;IF(LEN(IF(LEN(INDEX('Aides'!$U$4:$U$503,498))=0,"",INDEX('Aides'!$U$4:$U$503,498)))=0,"","Owner: "&amp;IF(LEN(INDEX('Aides'!$U$4:$U$503,498))=0,"",INDEX('Aides'!$U$4:$U$503,498))&amp;". "))</f>
        <v/>
      </c>
      <c r="I1501">
        <f>""</f>
        <v/>
      </c>
      <c r="J1501">
        <f>IF(LEN(INDEX('Aides'!$V$4:$V$503,498))=0,"",INDEX('Aides'!$V$4:$V$503,498))</f>
        <v/>
      </c>
    </row>
    <row r="1502">
      <c r="A1502">
        <f>IF(AND(LEN('Aides'!A502)&gt;0,ISNUMBER('Aides'!O502)),1,0)</f>
        <v/>
      </c>
      <c r="B1502">
        <f>B1501+A1502</f>
        <v/>
      </c>
      <c r="C1502">
        <f>IF(1499&gt;$B$1503,"",MATCH(1499-0.5,$B$3:$B$1503,1))</f>
        <v/>
      </c>
      <c r="D1502">
        <f>"In-service hours due – "&amp;IF(LEN(INDEX('Aides'!$A$4:$A$503,499))=0,"",INDEX('Aides'!$A$4:$A$503,499))</f>
        <v/>
      </c>
      <c r="E1502">
        <f>IF(ISNUMBER(INDEX('Aides'!$O$4:$O$503,499)),TEXT(INDEX('Aides'!$O$4:$O$503,499),"yyyy-mm-dd"),"")</f>
        <v/>
      </c>
      <c r="F1502">
        <f>"Training"</f>
        <v/>
      </c>
      <c r="G1502">
        <f>"Medium"</f>
        <v/>
      </c>
      <c r="H1502">
        <f>TRIM(IF(LEN(IF(LEN(INDEX('Aides'!$P$4:$P$503,499))=0,"",INDEX('Aides'!$P$4:$P$503,499)))=0,"","Hours done: "&amp;IF(LEN(INDEX('Aides'!$P$4:$P$503,499))=0,"",INDEX('Aides'!$P$4:$P$503,499))&amp;". ")&amp;IF(LEN(IF(LEN(INDEX('Aides'!$Q$4:$Q$503,499))=0,"",INDEX('Aides'!$Q$4:$Q$503,499)))=0,"","Target: "&amp;IF(LEN(INDEX('Aides'!$Q$4:$Q$503,499))=0,"",INDEX('Aides'!$Q$4:$Q$503,499))&amp;". ")&amp;IF(LEN(IF(LEN(INDEX('Aides'!$R$4:$R$503,499))=0,"",INDEX('Aides'!$R$4:$R$503,499)))=0,"","Hours still needed: "&amp;IF(LEN(INDEX('Aides'!$R$4:$R$503,499))=0,"",INDEX('Aides'!$R$4:$R$503,499))&amp;". ")&amp;IF(LEN(IF(LEN(INDEX('Aides'!$U$4:$U$503,499))=0,"",INDEX('Aides'!$U$4:$U$503,499)))=0,"","Owner: "&amp;IF(LEN(INDEX('Aides'!$U$4:$U$503,499))=0,"",INDEX('Aides'!$U$4:$U$503,499))&amp;". "))</f>
        <v/>
      </c>
      <c r="I1502">
        <f>""</f>
        <v/>
      </c>
      <c r="J1502">
        <f>IF(LEN(INDEX('Aides'!$V$4:$V$503,499))=0,"",INDEX('Aides'!$V$4:$V$503,499))</f>
        <v/>
      </c>
    </row>
    <row r="1503">
      <c r="A1503">
        <f>IF(AND(LEN('Aides'!A503)&gt;0,ISNUMBER('Aides'!O503)),1,0)</f>
        <v/>
      </c>
      <c r="B1503">
        <f>B1502+A1503</f>
        <v/>
      </c>
      <c r="C1503">
        <f>IF(1500&gt;$B$1503,"",MATCH(1500-0.5,$B$3:$B$1503,1))</f>
        <v/>
      </c>
      <c r="D1503">
        <f>"In-service hours due – "&amp;IF(LEN(INDEX('Aides'!$A$4:$A$503,500))=0,"",INDEX('Aides'!$A$4:$A$503,500))</f>
        <v/>
      </c>
      <c r="E1503">
        <f>IF(ISNUMBER(INDEX('Aides'!$O$4:$O$503,500)),TEXT(INDEX('Aides'!$O$4:$O$503,500),"yyyy-mm-dd"),"")</f>
        <v/>
      </c>
      <c r="F1503">
        <f>"Training"</f>
        <v/>
      </c>
      <c r="G1503">
        <f>"Medium"</f>
        <v/>
      </c>
      <c r="H1503">
        <f>TRIM(IF(LEN(IF(LEN(INDEX('Aides'!$P$4:$P$503,500))=0,"",INDEX('Aides'!$P$4:$P$503,500)))=0,"","Hours done: "&amp;IF(LEN(INDEX('Aides'!$P$4:$P$503,500))=0,"",INDEX('Aides'!$P$4:$P$503,500))&amp;". ")&amp;IF(LEN(IF(LEN(INDEX('Aides'!$Q$4:$Q$503,500))=0,"",INDEX('Aides'!$Q$4:$Q$503,500)))=0,"","Target: "&amp;IF(LEN(INDEX('Aides'!$Q$4:$Q$503,500))=0,"",INDEX('Aides'!$Q$4:$Q$503,500))&amp;". ")&amp;IF(LEN(IF(LEN(INDEX('Aides'!$R$4:$R$503,500))=0,"",INDEX('Aides'!$R$4:$R$503,500)))=0,"","Hours still needed: "&amp;IF(LEN(INDEX('Aides'!$R$4:$R$503,500))=0,"",INDEX('Aides'!$R$4:$R$503,500))&amp;". ")&amp;IF(LEN(IF(LEN(INDEX('Aides'!$U$4:$U$503,500))=0,"",INDEX('Aides'!$U$4:$U$503,500)))=0,"","Owner: "&amp;IF(LEN(INDEX('Aides'!$U$4:$U$503,500))=0,"",INDEX('Aides'!$U$4:$U$503,500))&amp;". "))</f>
        <v/>
      </c>
      <c r="I1503">
        <f>""</f>
        <v/>
      </c>
      <c r="J1503">
        <f>IF(LEN(INDEX('Aides'!$V$4:$V$503,500))=0,"",INDEX('Aides'!$V$4:$V$503,500))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  <Company>ExpiryEdge</Company>
</Properties>
</file>

<file path=docProps/core.xml><?xml version="1.0" encoding="utf-8"?>
<cp:coreProperties xmlns:cp="http://schemas.openxmlformats.org/package/2006/metadata/core-properties">
  <dc:creator xmlns:dc="http://purl.org/dc/elements/1.1/">ExpiryEdge</dc:creator>
  <dc:title xmlns:dc="http://purl.org/dc/elements/1.1/">CNA certification tracker (free template)</dc:title>
  <dc:description xmlns:dc="http://purl.org/dc/elements/1.1/">Free template from expiryedge.com/templates/. October 2026 edition.</dc:description>
  <dc:subject xmlns:dc="http://purl.org/dc/elements/1.1/">Every nurse aide’s registry expiry, 24-month work cut-off, in-service hours and CPR card on one row, with the next deadline worked out for you.</dc:subject>
  <dcterms:created xmlns:dcterms="http://purl.org/dc/terms/" xmlns:xsi="http://www.w3.org/2001/XMLSchema-instance" xsi:type="dcterms:W3CDTF">2026-09-28T09:00:00Z</dcterms:created>
  <dcterms:modified xmlns:dcterms="http://purl.org/dc/terms/" xmlns:xsi="http://www.w3.org/2001/XMLSchema-instance" xsi:type="dcterms:W3CDTF">2026-09-28T09:00:00Z</dcterms:modified>
  <cp:lastModifiedBy>ExpiryEdge</cp:lastModifiedBy>
  <cp:keywords>expiry tracker, renewal tracker, template, ExpiryEdge</cp:keywords>
</cp:coreProperties>
</file>