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omments/comment2.xml" ContentType="application/vnd.openxmlformats-officedocument.spreadsheetml.comments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Checklist" sheetId="2" state="visible" r:id="rId2"/>
    <sheet xmlns:r="http://schemas.openxmlformats.org/officeDocument/2006/relationships" name="Dashboard" sheetId="3" state="visible" r:id="rId3"/>
    <sheet xmlns:r="http://schemas.openxmlformats.org/officeDocument/2006/relationships" name="Import to ExpiryEdge" sheetId="4" state="visible" r:id="rId4"/>
    <sheet xmlns:r="http://schemas.openxmlformats.org/officeDocument/2006/relationships" name="Lists" sheetId="5" state="visible" r:id="rId5"/>
    <sheet xmlns:r="http://schemas.openxmlformats.org/officeDocument/2006/relationships" name="_calc" sheetId="6" state="hidden" r:id="rId6"/>
  </sheets>
  <definedNames>
    <definedName name="_xlnm.Print_Area" localSheetId="0">'Start here'!$A$1:$C$55</definedName>
    <definedName name="_xlnm.Print_Area" localSheetId="1">OFFSET('Checklist'!$A$1,0,0,MAX(4,COUNTA('Checklist'!$A$1:$A$503)),16)</definedName>
    <definedName name="_xlnm.Print_Titles" localSheetId="1">'Checklist'!$3:$3</definedName>
    <definedName name="_xlnm.Print_Area" localSheetId="2">'Dashboard'!$A$1:$J$44</definedName>
    <definedName name="_xlnm.Print_Area" localSheetId="3">OFFSET('Import to ExpiryEdge'!$A$1,0,0,MAX(2,COUNTIF('Import to ExpiryEdge'!$A$1:$A$501,"?*")),11)</definedName>
    <definedName name="_xlnm.Print_Titles" localSheetId="3">'Import to ExpiryEdge'!$1:$1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mmm d, yyyy"/>
  </numFmts>
  <fonts count="19">
    <font>
      <name val="Calibri"/>
      <family val="2"/>
      <color theme="1"/>
      <sz val="11"/>
      <scheme val="minor"/>
    </font>
    <font>
      <name val="Arial"/>
      <b val="1"/>
      <color rgb="00FFFFFF"/>
      <sz val="10"/>
    </font>
    <font>
      <name val="Arial"/>
      <color rgb="001F2A24"/>
      <sz val="10"/>
    </font>
    <font>
      <name val="Arial"/>
      <b val="1"/>
      <color rgb="001F2A24"/>
      <sz val="10"/>
    </font>
    <font>
      <name val="Arial"/>
      <color rgb="005F675C"/>
      <sz val="9"/>
    </font>
    <font>
      <name val="Arial"/>
      <b val="1"/>
      <color rgb="001F2A24"/>
      <sz val="15"/>
    </font>
    <font>
      <name val="Arial"/>
      <b val="1"/>
      <color rgb="001F2A24"/>
      <sz val="16"/>
    </font>
    <font>
      <name val="Arial"/>
      <b val="1"/>
      <color rgb="001F2A24"/>
      <sz val="12"/>
    </font>
    <font>
      <name val="Arial"/>
      <b val="1"/>
      <color rgb="001F2A24"/>
      <sz val="11"/>
    </font>
    <font>
      <name val="Arial"/>
      <color rgb="005F675C"/>
      <sz val="10"/>
    </font>
    <font>
      <name val="Arial"/>
      <b val="1"/>
      <color rgb="001F2A24"/>
      <sz val="20"/>
    </font>
    <font>
      <name val="Arial"/>
      <color rgb="00434B45"/>
      <sz val="11"/>
    </font>
    <font>
      <name val="Arial"/>
      <b val="1"/>
      <color rgb="001F2A24"/>
      <sz val="13"/>
    </font>
    <font>
      <name val="Arial"/>
      <color rgb="00434B45"/>
      <sz val="10"/>
    </font>
    <font>
      <name val="Arial"/>
      <b val="1"/>
      <color rgb="00B03A21"/>
      <sz val="10"/>
    </font>
    <font>
      <name val="Arial"/>
      <b val="1"/>
      <color rgb="008A5A13"/>
      <sz val="10"/>
    </font>
    <font>
      <name val="Arial"/>
      <b val="1"/>
      <color rgb="0017693A"/>
      <sz val="10"/>
    </font>
    <font>
      <name val="Arial"/>
      <b val="1"/>
      <color rgb="005F675C"/>
      <sz val="10"/>
    </font>
    <font>
      <name val="Arial"/>
      <color rgb="000E6B4F"/>
      <sz val="9"/>
      <u val="single"/>
    </font>
  </fonts>
  <fills count="8">
    <fill>
      <patternFill/>
    </fill>
    <fill>
      <patternFill patternType="gray125"/>
    </fill>
    <fill>
      <patternFill patternType="solid">
        <fgColor rgb="000E6B4F"/>
        <bgColor rgb="000E6B4F"/>
      </patternFill>
    </fill>
    <fill>
      <patternFill patternType="solid">
        <fgColor rgb="0035584B"/>
        <bgColor rgb="0035584B"/>
      </patternFill>
    </fill>
    <fill>
      <patternFill patternType="solid">
        <fgColor rgb="00F1F4EF"/>
        <bgColor rgb="00F1F4EF"/>
      </patternFill>
    </fill>
    <fill>
      <patternFill patternType="solid">
        <fgColor rgb="00F8DFD8"/>
        <bgColor rgb="00F8DFD8"/>
      </patternFill>
    </fill>
    <fill>
      <patternFill patternType="solid">
        <fgColor rgb="00FCEFD4"/>
        <bgColor rgb="00FCEFD4"/>
      </patternFill>
    </fill>
    <fill>
      <patternFill patternType="solid">
        <fgColor rgb="00D8F0DC"/>
        <bgColor rgb="00D8F0DC"/>
      </patternFill>
    </fill>
  </fills>
  <borders count="4">
    <border>
      <left/>
      <right/>
      <top/>
      <bottom/>
      <diagonal/>
    </border>
    <border>
      <left style="thin">
        <color rgb="00E0E2DA"/>
      </left>
      <right style="thin">
        <color rgb="00E0E2DA"/>
      </right>
      <top style="thin">
        <color rgb="00E0E2DA"/>
      </top>
      <bottom style="thin">
        <color rgb="00E0E2DA"/>
      </bottom>
    </border>
    <border>
      <bottom style="hair">
        <color rgb="00E0E2DA"/>
      </bottom>
    </border>
    <border>
      <bottom style="thin">
        <color rgb="00E0E2DA"/>
      </bottom>
    </border>
  </borders>
  <cellStyleXfs count="1">
    <xf numFmtId="0" fontId="0" fillId="0" borderId="0"/>
  </cellStyleXfs>
  <cellXfs count="47">
    <xf numFmtId="0" fontId="0" fillId="0" borderId="0" pivotButton="0" quotePrefix="0" xfId="0"/>
    <xf numFmtId="0" fontId="10" fillId="0" borderId="0" pivotButton="0" quotePrefix="0" xfId="0"/>
    <xf numFmtId="0" fontId="11" fillId="0" borderId="0" pivotButton="0" quotePrefix="0" xfId="0"/>
    <xf numFmtId="0" fontId="4" fillId="0" borderId="0" pivotButton="0" quotePrefix="0" xfId="0"/>
    <xf numFmtId="0" fontId="12" fillId="0" borderId="0" pivotButton="0" quotePrefix="0" xfId="0"/>
    <xf numFmtId="0" fontId="3" fillId="0" borderId="0" applyAlignment="1" pivotButton="0" quotePrefix="0" xfId="0">
      <alignment vertical="top" wrapText="1"/>
    </xf>
    <xf numFmtId="0" fontId="13" fillId="0" borderId="0" applyAlignment="1" pivotButton="0" quotePrefix="0" xfId="0">
      <alignment vertical="top" wrapText="1"/>
    </xf>
    <xf numFmtId="0" fontId="14" fillId="5" borderId="0" pivotButton="0" quotePrefix="0" xfId="0"/>
    <xf numFmtId="0" fontId="13" fillId="0" borderId="0" pivotButton="0" quotePrefix="0" xfId="0"/>
    <xf numFmtId="0" fontId="15" fillId="6" borderId="0" pivotButton="0" quotePrefix="0" xfId="0"/>
    <xf numFmtId="0" fontId="16" fillId="7" borderId="0" pivotButton="0" quotePrefix="0" xfId="0"/>
    <xf numFmtId="0" fontId="17" fillId="0" borderId="0" pivotButton="0" quotePrefix="0" xfId="0"/>
    <xf numFmtId="0" fontId="1" fillId="3" borderId="0" pivotButton="0" quotePrefix="0" xfId="0"/>
    <xf numFmtId="0" fontId="1" fillId="2" borderId="0" pivotButton="0" quotePrefix="0" xfId="0"/>
    <xf numFmtId="0" fontId="3" fillId="0" borderId="3" applyAlignment="1" pivotButton="0" quotePrefix="0" xfId="0">
      <alignment vertical="top" wrapText="1"/>
    </xf>
    <xf numFmtId="0" fontId="13" fillId="0" borderId="3" applyAlignment="1" pivotButton="0" quotePrefix="0" xfId="0">
      <alignment vertical="top" wrapText="1"/>
    </xf>
    <xf numFmtId="0" fontId="3" fillId="4" borderId="3" applyAlignment="1" pivotButton="0" quotePrefix="0" xfId="0">
      <alignment vertical="top" wrapText="1"/>
    </xf>
    <xf numFmtId="0" fontId="18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1" fillId="3" borderId="1" applyAlignment="1" pivotButton="0" quotePrefix="0" xfId="0">
      <alignment vertical="center" wrapText="1"/>
    </xf>
    <xf numFmtId="0" fontId="2" fillId="0" borderId="2" pivotButton="0" quotePrefix="0" xfId="0"/>
    <xf numFmtId="1" fontId="2" fillId="0" borderId="2" applyAlignment="1" pivotButton="0" quotePrefix="0" xfId="0">
      <alignment horizontal="right"/>
    </xf>
    <xf numFmtId="0" fontId="2" fillId="0" borderId="2" applyAlignment="1" pivotButton="0" quotePrefix="0" xfId="0">
      <alignment vertical="top" wrapText="1"/>
    </xf>
    <xf numFmtId="165" fontId="2" fillId="0" borderId="2" applyAlignment="1" pivotButton="0" quotePrefix="0" xfId="0">
      <alignment horizontal="left"/>
    </xf>
    <xf numFmtId="165" fontId="2" fillId="4" borderId="2" applyAlignment="1" pivotButton="0" quotePrefix="0" xfId="0">
      <alignment horizontal="left"/>
    </xf>
    <xf numFmtId="1" fontId="2" fillId="4" borderId="2" applyAlignment="1" pivotButton="0" quotePrefix="0" xfId="0">
      <alignment horizontal="right"/>
    </xf>
    <xf numFmtId="0" fontId="2" fillId="4" borderId="2" pivotButton="0" quotePrefix="0" xfId="0"/>
    <xf numFmtId="0" fontId="6" fillId="0" borderId="0" pivotButton="0" quotePrefix="0" xfId="0"/>
    <xf numFmtId="165" fontId="4" fillId="0" borderId="0" applyAlignment="1" pivotButton="0" quotePrefix="0" xfId="0">
      <alignment horizontal="left"/>
    </xf>
    <xf numFmtId="0" fontId="7" fillId="0" borderId="0" pivotButton="0" quotePrefix="0" xfId="0"/>
    <xf numFmtId="0" fontId="0" fillId="2" borderId="0" pivotButton="0" quotePrefix="0" xfId="0"/>
    <xf numFmtId="0" fontId="1" fillId="2" borderId="0" applyAlignment="1" pivotButton="0" quotePrefix="0" xfId="0">
      <alignment horizontal="left" vertical="center" wrapText="1"/>
    </xf>
    <xf numFmtId="0" fontId="1" fillId="2" borderId="0" applyAlignment="1" pivotButton="0" quotePrefix="0" xfId="0">
      <alignment horizontal="right" vertical="center" wrapText="1"/>
    </xf>
    <xf numFmtId="0" fontId="3" fillId="0" borderId="3" pivotButton="0" quotePrefix="0" xfId="0"/>
    <xf numFmtId="1" fontId="2" fillId="0" borderId="3" applyAlignment="1" pivotButton="0" quotePrefix="0" xfId="0">
      <alignment horizontal="right"/>
    </xf>
    <xf numFmtId="9" fontId="2" fillId="0" borderId="3" applyAlignment="1" pivotButton="0" quotePrefix="0" xfId="0">
      <alignment horizontal="right"/>
    </xf>
    <xf numFmtId="1" fontId="8" fillId="0" borderId="3" applyAlignment="1" pivotButton="0" quotePrefix="0" xfId="0">
      <alignment horizontal="right"/>
    </xf>
    <xf numFmtId="9" fontId="8" fillId="0" borderId="3" applyAlignment="1" pivotButton="0" quotePrefix="0" xfId="0">
      <alignment horizontal="right"/>
    </xf>
    <xf numFmtId="0" fontId="9" fillId="0" borderId="3" applyAlignment="1" pivotButton="0" quotePrefix="0" xfId="0">
      <alignment horizontal="center"/>
    </xf>
    <xf numFmtId="0" fontId="2" fillId="0" borderId="3" pivotButton="0" quotePrefix="0" xfId="0"/>
    <xf numFmtId="0" fontId="0" fillId="0" borderId="3" pivotButton="0" quotePrefix="0" xfId="0"/>
    <xf numFmtId="165" fontId="2" fillId="0" borderId="3" applyAlignment="1" pivotButton="0" quotePrefix="0" xfId="0">
      <alignment horizontal="left"/>
    </xf>
    <xf numFmtId="1" fontId="2" fillId="0" borderId="3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applyAlignment="1" pivotButton="0" quotePrefix="0" xfId="0">
      <alignment vertical="top" wrapText="1"/>
    </xf>
  </cellXfs>
  <cellStyles count="1">
    <cellStyle name="Normal" xfId="0" builtinId="0" hidden="0"/>
  </cellStyles>
  <dxfs count="8">
    <dxf>
      <font>
        <b val="1"/>
        <color rgb="00B03A21"/>
      </font>
      <fill>
        <patternFill patternType="solid">
          <fgColor rgb="00F8DFD8"/>
          <bgColor rgb="00F8DFD8"/>
        </patternFill>
      </fill>
    </dxf>
    <dxf>
      <font>
        <b val="1"/>
        <color rgb="008A5A13"/>
      </font>
      <fill>
        <patternFill patternType="solid">
          <fgColor rgb="00FCEFD4"/>
          <bgColor rgb="00FCEFD4"/>
        </patternFill>
      </fill>
    </dxf>
    <dxf>
      <font>
        <color rgb="008A5A13"/>
      </font>
      <fill>
        <patternFill patternType="solid">
          <fgColor rgb="00FEF7E7"/>
          <bgColor rgb="00FEF7E7"/>
        </patternFill>
      </fill>
    </dxf>
    <dxf>
      <font>
        <color rgb="0017693A"/>
      </font>
      <fill>
        <patternFill patternType="solid">
          <fgColor rgb="00D8F0DC"/>
          <bgColor rgb="00D8F0DC"/>
        </patternFill>
      </fill>
    </dxf>
    <dxf>
      <font>
        <i val="1"/>
        <color rgb="007A8178"/>
      </font>
    </dxf>
    <dxf>
      <fill>
        <patternFill patternType="solid">
          <fgColor rgb="00F7F8F4"/>
          <bgColor rgb="00F7F8F4"/>
        </patternFill>
      </fill>
    </dxf>
    <dxf>
      <font>
        <i val="1"/>
        <color rgb="005F675C"/>
      </font>
    </dxf>
    <dxf>
      <font>
        <b val="1"/>
        <color rgb="0017693A"/>
      </font>
      <fill>
        <patternFill patternType="solid">
          <fgColor rgb="00D8F0DC"/>
          <bgColor rgb="00D8F0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comments/comment1.xml><?xml version="1.0" encoding="utf-8"?>
<comments xmlns="http://schemas.openxmlformats.org/spreadsheetml/2006/main">
  <authors>
    <author>ExpiryEdge</author>
  </authors>
  <commentList>
    <comment ref="A3" authorId="0" shapeId="0">
      <text>
        <t>One of the seven checklist groups. The dashboard counts by group.</t>
      </text>
    </comment>
    <comment ref="B3" authorId="0" shapeId="0">
      <text>
        <t>Item number, matching the printable PDF.</t>
      </text>
    </comment>
    <comment ref="C3" authorId="0" shapeId="0">
      <text>
        <t>What a surveyor would check. Edit the wording to match your own state rule. (Required for import.)</t>
      </text>
    </comment>
    <comment ref="D3" authorId="0" shapeId="0">
      <text>
        <t>Where a number comes from. Most are Wisconsin (DHS 83) or Georgia (111-8-62) examples: replace them with your own state's rule.</t>
      </text>
    </comment>
    <comment ref="E3" authorId="0" shapeId="0">
      <text>
        <t>The person who keeps this item right. Pre-filled with a suggested role: replace it with a name.</t>
      </text>
    </comment>
    <comment ref="F3" authorId="0" shapeId="0">
      <text>
        <t>Who covers when the owner is off.</t>
      </text>
    </comment>
    <comment ref="G3" authorId="0" shapeId="0">
      <text>
        <t>Who should be reminded. Becomes notification_email on import.</t>
      </text>
    </comment>
    <comment ref="H3" authorId="0" shapeId="0">
      <text>
        <t>Date you last checked this item against real files or the building.</t>
      </text>
    </comment>
    <comment ref="I3" authorId="0" shapeId="0">
      <text>
        <t>Met, Partly met, Not met or N/A. Score a sample of files: anything you cannot find in 5 minutes counts as not met.</t>
      </text>
    </comment>
    <comment ref="J3" authorId="0" shapeId="0">
      <text>
        <t>Where a surveyor would find the proof: binder tab, folder or system. Blank counts as Red.</t>
      </text>
    </comment>
    <comment ref="K3" authorId="0" shapeId="0">
      <text>
        <t>How often to re-check. Blank = 3 months (our suggestion, not a rule). Use 1 for items that drift fast, such as medication counts.</t>
      </text>
    </comment>
    <comment ref="L3" authorId="0" shapeId="0">
      <text>
        <t>Calculated. Last checked plus the re-check interval.</t>
      </text>
    </comment>
    <comment ref="M3" authorId="0" shapeId="0">
      <text>
        <t>Calculated. Negative once the re-check is overdue.</t>
      </text>
    </comment>
    <comment ref="N3" authorId="0" shapeId="0">
      <text>
        <t>Calculated. Red = not met, no evidence location, or re-check overdue. Amber = partly met or re-check due within 30 days. Green = met with evidence. Also Not checked and N/A.</t>
      </text>
    </comment>
    <comment ref="O3" authorId="0" shapeId="0">
      <text>
        <t>Calculated. The reason for a Red or Amber status.</t>
      </text>
    </comment>
    <comment ref="P3" authorId="0" shapeId="0">
      <text>
        <t>Anything the next person needs to know.</t>
      </text>
    </comment>
  </commentList>
</comments>
</file>

<file path=xl/comments/comment2.xml><?xml version="1.0" encoding="utf-8"?>
<comments xmlns="http://schemas.openxmlformats.org/spreadsheetml/2006/main">
  <authors>
    <author>ExpiryEdge</author>
  </authors>
  <commentList>
    <comment ref="A1" authorId="0" shapeId="0">
      <text>
        <t>This sheet fills itself from the tracker. Only rows with a name and a date appear. In ExpiryEdge, go to Bulk Import and upload this .xlsx (choose this sheet), or save this sheet as CSV first. Required columns: name, expiry_date, type.</t>
      </text>
    </comment>
  </commentList>
</comments>
</file>

<file path=xl/tables/table1.xml><?xml version="1.0" encoding="utf-8"?>
<table xmlns="http://schemas.openxmlformats.org/spreadsheetml/2006/main" id="1" name="tblChecklist" displayName="tblChecklist" ref="A3:P503" headerRowCount="1">
  <autoFilter ref="A3:P503"/>
  <tableColumns count="16">
    <tableColumn id="1" name="Group"/>
    <tableColumn id="2" name="#"/>
    <tableColumn id="3" name="Checklist item"/>
    <tableColumn id="4" name="Rule example (check your state)"/>
    <tableColumn id="5" name="Owner"/>
    <tableColumn id="6" name="Backup owner"/>
    <tableColumn id="7" name="Owner email"/>
    <tableColumn id="8" name="Last checked"/>
    <tableColumn id="9" name="Finding"/>
    <tableColumn id="10" name="Evidence location"/>
    <tableColumn id="11" name="Re-check every (months)"/>
    <tableColumn id="12" name="Next check"/>
    <tableColumn id="13" name="Days to next check"/>
    <tableColumn id="14" name="RAG status"/>
    <tableColumn id="15" name="Why"/>
    <tableColumn id="16" name="Notes"/>
  </tableColumns>
  <tableStyleInfo name="TableStyleLight1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expiryedge.com/templates/assisted-living-survey-readiness-checklist/" TargetMode="Externa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4.xml.rels><Relationships xmlns="http://schemas.openxmlformats.org/package/2006/relationships"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sheet1.xml><?xml version="1.0" encoding="utf-8"?>
<worksheet xmlns="http://schemas.openxmlformats.org/spreadsheetml/2006/main">
  <sheetPr>
    <tabColor rgb="000E6B4F"/>
    <outlinePr summaryBelow="1" summaryRight="1"/>
    <pageSetUpPr fitToPage="1"/>
  </sheetPr>
  <dimension ref="B2:C55"/>
  <sheetViews>
    <sheetView showGridLines="0" tabSelected="1" workbookViewId="0">
      <selection activeCell="A1" sqref="A1"/>
    </sheetView>
  </sheetViews>
  <sheetFormatPr baseColWidth="8" defaultRowHeight="15"/>
  <cols>
    <col width="3" customWidth="1" min="1" max="1"/>
    <col width="30" customWidth="1" min="2" max="2"/>
    <col width="96" customWidth="1" min="3" max="3"/>
  </cols>
  <sheetData>
    <row r="2">
      <c r="B2" s="1" t="inlineStr">
        <is>
          <t>Assisted living survey readiness checklist</t>
        </is>
      </c>
    </row>
    <row r="3">
      <c r="B3" s="2" t="inlineStr">
        <is>
          <t>The 50 records, postings and building checks state surveyors review, each with an owner, evidence location and a red, amber or green status.</t>
        </is>
      </c>
    </row>
    <row r="4">
      <c r="B4" s="3" t="inlineStr">
        <is>
          <t>Free template · October 2026 edition · works in Excel, Google Sheets and LibreOffice</t>
        </is>
      </c>
    </row>
    <row r="6">
      <c r="B6" s="4" t="inlineStr">
        <is>
          <t>How to use it</t>
        </is>
      </c>
    </row>
    <row r="7" ht="33" customHeight="1">
      <c r="B7" s="5" t="inlineStr">
        <is>
          <t>1. Clear the samples</t>
        </is>
      </c>
      <c r="C7" s="6" t="inlineStr">
        <is>
          <t>Ten rows carry sample results (their evidence starts "Example –"). Clear Last checked, Finding and Evidence location on those rows.</t>
        </is>
      </c>
    </row>
    <row r="8" ht="18" customHeight="1">
      <c r="B8" s="5" t="inlineStr">
        <is>
          <t>2. Name the owners</t>
        </is>
      </c>
      <c r="C8" s="6" t="inlineStr">
        <is>
          <t>Replace each suggested role with a person and a backup. One owner per group works well.</t>
        </is>
      </c>
    </row>
    <row r="9" ht="48" customHeight="1">
      <c r="B9" s="5" t="inlineStr">
        <is>
          <t>3. Run the gap audit</t>
        </is>
      </c>
      <c r="C9" s="6" t="inlineStr">
        <is>
          <t>Pull 5 staff files and 5 resident files and walk the building (about 3 hours for one home). For each item, type the date, the finding and where the proof is. Anything you cannot find in 5 minutes counts as Not met. An item failing in 2 or more of 5 files is a process gap.</t>
        </is>
      </c>
    </row>
    <row r="10" ht="33" customHeight="1">
      <c r="B10" s="5" t="inlineStr">
        <is>
          <t>4. Replace the rule examples</t>
        </is>
      </c>
      <c r="C10" s="6" t="inlineStr">
        <is>
          <t>The numbers in "Rule example" are mostly Wisconsin (DHS 83) and Georgia (111-8-62). Overwrite them with your own state's rule.</t>
        </is>
      </c>
    </row>
    <row r="11" ht="33" customHeight="1">
      <c r="B11" s="5" t="inlineStr">
        <is>
          <t>5. Review weekly</t>
        </is>
      </c>
      <c r="C11" s="6" t="inlineStr">
        <is>
          <t>On the Dashboard, read red then amber by group. Re-check items on the Next check date (3 months unless you set your own).</t>
        </is>
      </c>
    </row>
    <row r="13">
      <c r="B13" s="4" t="inlineStr">
        <is>
          <t>Colour key</t>
        </is>
      </c>
    </row>
    <row r="14">
      <c r="B14" s="7" t="inlineStr">
        <is>
          <t>Red</t>
        </is>
      </c>
      <c r="C14" s="8" t="inlineStr">
        <is>
          <t>Not met, no evidence location, or the re-check date has passed.</t>
        </is>
      </c>
    </row>
    <row r="15">
      <c r="B15" s="9" t="inlineStr">
        <is>
          <t>Amber</t>
        </is>
      </c>
      <c r="C15" s="8" t="inlineStr">
        <is>
          <t>Partly met, or the re-check is due within 30 days.</t>
        </is>
      </c>
    </row>
    <row r="16">
      <c r="B16" s="10" t="inlineStr">
        <is>
          <t>Green</t>
        </is>
      </c>
      <c r="C16" s="8" t="inlineStr">
        <is>
          <t>Met, with evidence, and not due for a re-check yet.</t>
        </is>
      </c>
    </row>
    <row r="17">
      <c r="B17" s="11" t="inlineStr">
        <is>
          <t>Not checked / N/A</t>
        </is>
      </c>
      <c r="C17" s="8" t="inlineStr">
        <is>
          <t>No finding or date yet / does not apply to your home.</t>
        </is>
      </c>
    </row>
    <row r="18">
      <c r="B18" s="12" t="inlineStr">
        <is>
          <t>Calculated column</t>
        </is>
      </c>
      <c r="C18" s="8" t="inlineStr">
        <is>
          <t>Dark header and shaded cells: filled in by formula, no need to type.</t>
        </is>
      </c>
    </row>
    <row r="19">
      <c r="B19" s="13" t="inlineStr">
        <is>
          <t>Your input</t>
        </is>
      </c>
      <c r="C19" s="8" t="inlineStr">
        <is>
          <t>Green header: type here. Hover a header to see what it expects.</t>
        </is>
      </c>
    </row>
    <row r="21">
      <c r="B21" s="4" t="inlineStr">
        <is>
          <t>Columns on "Checklist"</t>
        </is>
      </c>
    </row>
    <row r="22">
      <c r="B22" s="13" t="inlineStr">
        <is>
          <t>Column</t>
        </is>
      </c>
      <c r="C22" s="13" t="inlineStr">
        <is>
          <t>What to enter</t>
        </is>
      </c>
    </row>
    <row r="23" ht="18" customHeight="1">
      <c r="B23" s="14" t="inlineStr">
        <is>
          <t>Group</t>
        </is>
      </c>
      <c r="C23" s="15" t="inlineStr">
        <is>
          <t>One of the seven checklist groups. The dashboard counts by group.</t>
        </is>
      </c>
    </row>
    <row r="24" ht="18" customHeight="1">
      <c r="B24" s="14" t="inlineStr">
        <is>
          <t>#</t>
        </is>
      </c>
      <c r="C24" s="15" t="inlineStr">
        <is>
          <t>Item number, matching the printable PDF.</t>
        </is>
      </c>
    </row>
    <row r="25" ht="18" customHeight="1">
      <c r="B25" s="14" t="inlineStr">
        <is>
          <t>Checklist item *</t>
        </is>
      </c>
      <c r="C25" s="15" t="inlineStr">
        <is>
          <t>What a surveyor would check. Edit the wording to match your own state rule.</t>
        </is>
      </c>
    </row>
    <row r="26" ht="33" customHeight="1">
      <c r="B26" s="14" t="inlineStr">
        <is>
          <t>Rule example (check your state)</t>
        </is>
      </c>
      <c r="C26" s="15" t="inlineStr">
        <is>
          <t>Where a number comes from. Most are Wisconsin (DHS 83) or Georgia (111-8-62) examples: replace them with your own state's rule.</t>
        </is>
      </c>
    </row>
    <row r="27" ht="18" customHeight="1">
      <c r="B27" s="14" t="inlineStr">
        <is>
          <t>Owner</t>
        </is>
      </c>
      <c r="C27" s="15" t="inlineStr">
        <is>
          <t>The person who keeps this item right. Pre-filled with a suggested role: replace it with a name.</t>
        </is>
      </c>
    </row>
    <row r="28" ht="18" customHeight="1">
      <c r="B28" s="14" t="inlineStr">
        <is>
          <t>Backup owner</t>
        </is>
      </c>
      <c r="C28" s="15" t="inlineStr">
        <is>
          <t>Who covers when the owner is off.</t>
        </is>
      </c>
    </row>
    <row r="29" ht="18" customHeight="1">
      <c r="B29" s="14" t="inlineStr">
        <is>
          <t>Owner email</t>
        </is>
      </c>
      <c r="C29" s="15" t="inlineStr">
        <is>
          <t>Who should be reminded. Becomes notification_email on import.</t>
        </is>
      </c>
    </row>
    <row r="30" ht="18" customHeight="1">
      <c r="B30" s="14" t="inlineStr">
        <is>
          <t>Last checked</t>
        </is>
      </c>
      <c r="C30" s="15" t="inlineStr">
        <is>
          <t>Date you last checked this item against real files or the building.</t>
        </is>
      </c>
    </row>
    <row r="31" ht="33" customHeight="1">
      <c r="B31" s="14" t="inlineStr">
        <is>
          <t>Finding</t>
        </is>
      </c>
      <c r="C31" s="15" t="inlineStr">
        <is>
          <t>Met, Partly met, Not met or N/A. Score a sample of files: anything you cannot find in 5 minutes counts as not met.</t>
        </is>
      </c>
    </row>
    <row r="32" ht="18" customHeight="1">
      <c r="B32" s="14" t="inlineStr">
        <is>
          <t>Evidence location</t>
        </is>
      </c>
      <c r="C32" s="15" t="inlineStr">
        <is>
          <t>Where a surveyor would find the proof: binder tab, folder or system. Blank counts as Red.</t>
        </is>
      </c>
    </row>
    <row r="33" ht="33" customHeight="1">
      <c r="B33" s="14" t="inlineStr">
        <is>
          <t>Re-check every (months)</t>
        </is>
      </c>
      <c r="C33" s="15" t="inlineStr">
        <is>
          <t>How often to re-check. Blank = 3 months (our suggestion, not a rule). Use 1 for items that drift fast, such as medication counts.</t>
        </is>
      </c>
    </row>
    <row r="34" ht="18" customHeight="1">
      <c r="B34" s="16" t="inlineStr">
        <is>
          <t>Next check</t>
        </is>
      </c>
      <c r="C34" s="15" t="inlineStr">
        <is>
          <t>Calculated. Last checked plus the re-check interval.</t>
        </is>
      </c>
    </row>
    <row r="35" ht="18" customHeight="1">
      <c r="B35" s="16" t="inlineStr">
        <is>
          <t>Days to next check</t>
        </is>
      </c>
      <c r="C35" s="15" t="inlineStr">
        <is>
          <t>Calculated. Negative once the re-check is overdue.</t>
        </is>
      </c>
    </row>
    <row r="36" ht="33" customHeight="1">
      <c r="B36" s="16" t="inlineStr">
        <is>
          <t>RAG status</t>
        </is>
      </c>
      <c r="C36" s="15" t="inlineStr">
        <is>
          <t>Calculated. Red = not met, no evidence location, or re-check overdue. Amber = partly met or re-check due within 30 days. Green = met with evidence. Also Not checked and N/A.</t>
        </is>
      </c>
    </row>
    <row r="37" ht="18" customHeight="1">
      <c r="B37" s="16" t="inlineStr">
        <is>
          <t>Why</t>
        </is>
      </c>
      <c r="C37" s="15" t="inlineStr">
        <is>
          <t>Calculated. The reason for a Red or Amber status.</t>
        </is>
      </c>
    </row>
    <row r="38" ht="18" customHeight="1">
      <c r="B38" s="14" t="inlineStr">
        <is>
          <t>Notes</t>
        </is>
      </c>
      <c r="C38" s="15" t="inlineStr">
        <is>
          <t>Anything the next person needs to know.</t>
        </is>
      </c>
    </row>
    <row r="39">
      <c r="B39" s="3" t="inlineStr">
        <is>
          <t>* needed for the import sheet.</t>
        </is>
      </c>
    </row>
    <row r="41">
      <c r="B41" s="4" t="inlineStr">
        <is>
          <t>Other sheets</t>
        </is>
      </c>
    </row>
    <row r="42" ht="33" customHeight="1">
      <c r="B42" s="5" t="inlineStr">
        <is>
          <t>Dashboard</t>
        </is>
      </c>
      <c r="C42" s="6" t="inlineStr">
        <is>
          <t>Red, amber and green counts for each of the seven groups, % green, the first 10 red items and the next 10 re-checks.</t>
        </is>
      </c>
    </row>
    <row r="43" ht="33" customHeight="1">
      <c r="B43" s="5" t="inlineStr">
        <is>
          <t>Import to ExpiryEdge</t>
        </is>
      </c>
      <c r="C43" s="6" t="inlineStr">
        <is>
          <t>Checked items laid out in the ExpiryEdge bulk-import columns, with the next check date as the due date. It fills itself; ignore it unless you move the list into ExpiryEdge.</t>
        </is>
      </c>
    </row>
    <row r="44" ht="18" customHeight="1">
      <c r="B44" s="5" t="inlineStr">
        <is>
          <t>Lists</t>
        </is>
      </c>
      <c r="C44" s="6" t="inlineStr">
        <is>
          <t>The seven group names behind the dropdown.</t>
        </is>
      </c>
    </row>
    <row r="45" ht="33" customHeight="1">
      <c r="B45" s="5" t="inlineStr">
        <is>
          <t>Printable checklist</t>
        </is>
      </c>
      <c r="C45" s="6" t="inlineStr">
        <is>
          <t>A two-page paper version of the 50 items is on the template page (PDF), for walking the building with a pen.</t>
        </is>
      </c>
    </row>
    <row r="47">
      <c r="B47" s="4" t="inlineStr">
        <is>
          <t>Good to know</t>
        </is>
      </c>
    </row>
    <row r="48">
      <c r="B48" s="8" t="inlineStr">
        <is>
          <t>·  Assisted living is licensed by each state, so agencies, deadlines and frequencies differ. Use the 50 items as the structure and fill in your own state's numbers.</t>
        </is>
      </c>
    </row>
    <row r="49">
      <c r="B49" s="8" t="inlineStr">
        <is>
          <t>·  This is the assisted living version. Medicare skilled nursing and Medicaid nursing facilities meet federal requirements (42 CFR Part 483); our separate State Survey Readiness Checklist covers them.</t>
        </is>
      </c>
    </row>
    <row r="50">
      <c r="B50" s="8" t="inlineStr">
        <is>
          <t>·  The 3-month re-check, the suggested owners and the sample rows are our suggestions, not rules.</t>
        </is>
      </c>
    </row>
    <row r="51">
      <c r="B51" s="8" t="inlineStr">
        <is>
          <t>·  Formulas are filled down for 500 rows, so you can add your own items at the bottom.</t>
        </is>
      </c>
    </row>
    <row r="52">
      <c r="B52" s="8" t="inlineStr">
        <is>
          <t>·  The file only changes when someone opens it. It cannot send reminders on its own.</t>
        </is>
      </c>
    </row>
    <row r="53">
      <c r="B53" s="8" t="inlineStr">
        <is>
          <t>·  This is a free template, not legal advice. Check every item against your state rule.</t>
        </is>
      </c>
    </row>
    <row r="55">
      <c r="B55" s="17" t="inlineStr">
        <is>
          <t>Made by ExpiryEdge · expiryedge.com</t>
        </is>
      </c>
    </row>
  </sheetData>
  <hyperlinks>
    <hyperlink xmlns:r="http://schemas.openxmlformats.org/officeDocument/2006/relationships" ref="B55" r:id="rId1"/>
  </hyperlinks>
  <printOptions horizontalCentered="0"/>
  <pageMargins left="0.4" right="0.4" top="0.5" bottom="0.6" header="0.5" footer="0.5"/>
  <pageSetup orientation="portrait" paperSize="1" fitToHeight="0" fitToWidth="1"/>
  <headerFooter>
    <oddHeader/>
    <oddFooter>&amp;C&amp;"Arial"&amp;8 expiryedge.com · 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7CD9AE"/>
    <outlinePr summaryBelow="1" summaryRight="1"/>
    <pageSetUpPr fitToPage="1"/>
  </sheetPr>
  <dimension ref="A1:P503"/>
  <sheetViews>
    <sheetView showGridLines="0" tabSelected="0" zoomScale="100"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5" customWidth="1" min="2" max="2"/>
    <col width="52" customWidth="1" min="3" max="3"/>
    <col width="36" customWidth="1" min="4" max="4"/>
    <col width="18" customWidth="1" min="5" max="5"/>
    <col width="16" customWidth="1" min="6" max="6"/>
    <col width="26" customWidth="1" min="7" max="7"/>
    <col width="13" customWidth="1" min="8" max="8"/>
    <col width="11" customWidth="1" min="9" max="9"/>
    <col width="30" customWidth="1" min="10" max="10"/>
    <col width="10" customWidth="1" min="11" max="11"/>
    <col width="13" customWidth="1" min="12" max="12"/>
    <col width="10" customWidth="1" min="13" max="13"/>
    <col width="12" customWidth="1" min="14" max="14"/>
    <col width="20" customWidth="1" min="15" max="15"/>
    <col width="36" customWidth="1" min="16" max="16"/>
  </cols>
  <sheetData>
    <row r="1" ht="24" customHeight="1">
      <c r="A1" s="18" t="inlineStr">
        <is>
          <t>Assisted living survey readiness checklist (50 items)</t>
        </is>
      </c>
    </row>
    <row r="2" ht="16" customHeight="1">
      <c r="A2" s="3" t="inlineStr">
        <is>
          <t>Type in the white columns. Shaded columns are calculated. Owners are suggested roles: replace them with names. Rows whose evidence starts "Example –" are samples: clear Last checked, Finding and Evidence when you start.</t>
        </is>
      </c>
    </row>
    <row r="3" ht="32" customHeight="1">
      <c r="A3" s="19" t="inlineStr">
        <is>
          <t>Group</t>
        </is>
      </c>
      <c r="B3" s="19" t="inlineStr">
        <is>
          <t>#</t>
        </is>
      </c>
      <c r="C3" s="19" t="inlineStr">
        <is>
          <t>Checklist item</t>
        </is>
      </c>
      <c r="D3" s="19" t="inlineStr">
        <is>
          <t>Rule example (check your state)</t>
        </is>
      </c>
      <c r="E3" s="19" t="inlineStr">
        <is>
          <t>Owner</t>
        </is>
      </c>
      <c r="F3" s="19" t="inlineStr">
        <is>
          <t>Backup owner</t>
        </is>
      </c>
      <c r="G3" s="19" t="inlineStr">
        <is>
          <t>Owner email</t>
        </is>
      </c>
      <c r="H3" s="19" t="inlineStr">
        <is>
          <t>Last checked</t>
        </is>
      </c>
      <c r="I3" s="19" t="inlineStr">
        <is>
          <t>Finding</t>
        </is>
      </c>
      <c r="J3" s="19" t="inlineStr">
        <is>
          <t>Evidence location</t>
        </is>
      </c>
      <c r="K3" s="19" t="inlineStr">
        <is>
          <t>Re-check every (months)</t>
        </is>
      </c>
      <c r="L3" s="20" t="inlineStr">
        <is>
          <t>Next check</t>
        </is>
      </c>
      <c r="M3" s="20" t="inlineStr">
        <is>
          <t>Days to next check</t>
        </is>
      </c>
      <c r="N3" s="20" t="inlineStr">
        <is>
          <t>RAG status</t>
        </is>
      </c>
      <c r="O3" s="20" t="inlineStr">
        <is>
          <t>Why</t>
        </is>
      </c>
      <c r="P3" s="19" t="inlineStr">
        <is>
          <t>Notes</t>
        </is>
      </c>
    </row>
    <row r="4" ht="28" customHeight="1">
      <c r="A4" s="21" t="inlineStr">
        <is>
          <t>License and postings</t>
        </is>
      </c>
      <c r="B4" s="22" t="n">
        <v>1</v>
      </c>
      <c r="C4" s="23" t="inlineStr">
        <is>
          <t>Current license posted in a public area, with capacity and class matching your actual census and services</t>
        </is>
      </c>
      <c r="D4" s="23" t="inlineStr">
        <is>
          <t>Wis. DHS 83.14(2)(h), 83.13(3)(a)</t>
        </is>
      </c>
      <c r="E4" s="21" t="inlineStr">
        <is>
          <t>Administrator</t>
        </is>
      </c>
      <c r="F4" s="21" t="n"/>
      <c r="G4" s="21" t="n"/>
      <c r="H4" s="24" t="n">
        <v>46280</v>
      </c>
      <c r="I4" s="21" t="inlineStr">
        <is>
          <t>Met</t>
        </is>
      </c>
      <c r="J4" s="21" t="inlineStr">
        <is>
          <t>Example – Lobby notice board (photo in survey binder, tab 1)</t>
        </is>
      </c>
      <c r="K4" s="22" t="n"/>
      <c r="L4" s="25">
        <f>IF(ISNUMBER(H4),EDATE(H4,IF(ISNUMBER(K4),K4,3)),"")</f>
        <v/>
      </c>
      <c r="M4" s="26">
        <f>IF(L4="","",IF(ISNUMBER(L4),L4-TODAY(),"Check date"))</f>
        <v/>
      </c>
      <c r="N4" s="27">
        <f>IF(LEN(C4)=0,"",IF(I4="N/A","N/A",IF(OR(I4="",NOT(ISNUMBER(H4))),"Not checked",IF(OR(I4="Not met",LEN(J4)=0,M4&lt;0),"Red",IF(OR(I4="Partly met",M4&lt;=30),"Amber","Green")))))</f>
        <v/>
      </c>
      <c r="O4" s="27">
        <f>IF(N4="Red",IF(I4="Not met","Not met",IF(LEN(J4)=0,"No evidence location","Re-check overdue")),IF(N4="Amber",IF(I4="Partly met","Partly met","Re-check due ≤30 days"),""))</f>
        <v/>
      </c>
      <c r="P4" s="21" t="n"/>
    </row>
    <row r="5" ht="28" customHeight="1">
      <c r="A5" s="21" t="inlineStr">
        <is>
          <t>License and postings</t>
        </is>
      </c>
      <c r="B5" s="22" t="n">
        <v>2</v>
      </c>
      <c r="C5" s="23" t="inlineStr">
        <is>
          <t>Latest statement of deficiency (SOD) and any enforcement notice posted</t>
        </is>
      </c>
      <c r="D5" s="23" t="inlineStr">
        <is>
          <t>Wisconsin: an SOD stays posted for 90 days (DHS 83.14(2)(h))</t>
        </is>
      </c>
      <c r="E5" s="21" t="inlineStr">
        <is>
          <t>Administrator</t>
        </is>
      </c>
      <c r="F5" s="21" t="n"/>
      <c r="G5" s="21" t="n"/>
      <c r="H5" s="24" t="n">
        <v>46204</v>
      </c>
      <c r="I5" s="21" t="inlineStr">
        <is>
          <t>Met</t>
        </is>
      </c>
      <c r="J5" s="21" t="inlineStr">
        <is>
          <t>Example – Lobby notice board</t>
        </is>
      </c>
      <c r="K5" s="22" t="n"/>
      <c r="L5" s="25">
        <f>IF(ISNUMBER(H5),EDATE(H5,IF(ISNUMBER(K5),K5,3)),"")</f>
        <v/>
      </c>
      <c r="M5" s="26">
        <f>IF(L5="","",IF(ISNUMBER(L5),L5-TODAY(),"Check date"))</f>
        <v/>
      </c>
      <c r="N5" s="27">
        <f>IF(LEN(C5)=0,"",IF(I5="N/A","N/A",IF(OR(I5="",NOT(ISNUMBER(H5))),"Not checked",IF(OR(I5="Not met",LEN(J5)=0,M5&lt;0),"Red",IF(OR(I5="Partly met",M5&lt;=30),"Amber","Green")))))</f>
        <v/>
      </c>
      <c r="O5" s="27">
        <f>IF(N5="Red",IF(I5="Not met","Not met",IF(LEN(J5)=0,"No evidence location","Re-check overdue")),IF(N5="Amber",IF(I5="Partly met","Partly met","Re-check due ≤30 days"),""))</f>
        <v/>
      </c>
      <c r="P5" s="21" t="n"/>
    </row>
    <row r="6" ht="28" customHeight="1">
      <c r="A6" s="21" t="inlineStr">
        <is>
          <t>License and postings</t>
        </is>
      </c>
      <c r="B6" s="22" t="n">
        <v>3</v>
      </c>
      <c r="C6" s="23" t="inlineStr">
        <is>
          <t>Most recent inspection report and plan of correction displayed where residents and visitors see notices</t>
        </is>
      </c>
      <c r="D6" s="23" t="inlineStr">
        <is>
          <t>Georgia personal care homes (Ga. 111-8-62-.11(4))</t>
        </is>
      </c>
      <c r="E6" s="21" t="inlineStr">
        <is>
          <t>Administrator</t>
        </is>
      </c>
      <c r="F6" s="21" t="n"/>
      <c r="G6" s="21" t="n"/>
      <c r="H6" s="24" t="n">
        <v>46280</v>
      </c>
      <c r="I6" s="21" t="inlineStr">
        <is>
          <t>N/A</t>
        </is>
      </c>
      <c r="J6" s="21" t="inlineStr">
        <is>
          <t>Example – Not a Georgia home</t>
        </is>
      </c>
      <c r="K6" s="22" t="n"/>
      <c r="L6" s="25">
        <f>IF(ISNUMBER(H6),EDATE(H6,IF(ISNUMBER(K6),K6,3)),"")</f>
        <v/>
      </c>
      <c r="M6" s="26">
        <f>IF(L6="","",IF(ISNUMBER(L6),L6-TODAY(),"Check date"))</f>
        <v/>
      </c>
      <c r="N6" s="27">
        <f>IF(LEN(C6)=0,"",IF(I6="N/A","N/A",IF(OR(I6="",NOT(ISNUMBER(H6))),"Not checked",IF(OR(I6="Not met",LEN(J6)=0,M6&lt;0),"Red",IF(OR(I6="Partly met",M6&lt;=30),"Amber","Green")))))</f>
        <v/>
      </c>
      <c r="O6" s="27">
        <f>IF(N6="Red",IF(I6="Not met","Not met",IF(LEN(J6)=0,"No evidence location","Re-check overdue")),IF(N6="Amber",IF(I6="Partly met","Partly met","Re-check due ≤30 days"),""))</f>
        <v/>
      </c>
      <c r="P6" s="21" t="inlineStr">
        <is>
          <t>Georgia rule; not applicable in this sample</t>
        </is>
      </c>
    </row>
    <row r="7" ht="28" customHeight="1">
      <c r="A7" s="21" t="inlineStr">
        <is>
          <t>License and postings</t>
        </is>
      </c>
      <c r="B7" s="22" t="n">
        <v>4</v>
      </c>
      <c r="C7" s="23" t="inlineStr">
        <is>
          <t>Resident rights, house rules and grievance procedure posted</t>
        </is>
      </c>
      <c r="D7" s="23" t="inlineStr">
        <is>
          <t>Wis. DHS 83.13(3)(b)</t>
        </is>
      </c>
      <c r="E7" s="21" t="inlineStr">
        <is>
          <t>Administrator</t>
        </is>
      </c>
      <c r="F7" s="21" t="n"/>
      <c r="G7" s="21" t="n"/>
      <c r="H7" s="24" t="n"/>
      <c r="I7" s="21" t="n"/>
      <c r="J7" s="21" t="n"/>
      <c r="K7" s="22" t="n"/>
      <c r="L7" s="25">
        <f>IF(ISNUMBER(H7),EDATE(H7,IF(ISNUMBER(K7),K7,3)),"")</f>
        <v/>
      </c>
      <c r="M7" s="26">
        <f>IF(L7="","",IF(ISNUMBER(L7),L7-TODAY(),"Check date"))</f>
        <v/>
      </c>
      <c r="N7" s="27">
        <f>IF(LEN(C7)=0,"",IF(I7="N/A","N/A",IF(OR(I7="",NOT(ISNUMBER(H7))),"Not checked",IF(OR(I7="Not met",LEN(J7)=0,M7&lt;0),"Red",IF(OR(I7="Partly met",M7&lt;=30),"Amber","Green")))))</f>
        <v/>
      </c>
      <c r="O7" s="27">
        <f>IF(N7="Red",IF(I7="Not met","Not met",IF(LEN(J7)=0,"No evidence location","Re-check overdue")),IF(N7="Amber",IF(I7="Partly met","Partly met","Re-check due ≤30 days"),""))</f>
        <v/>
      </c>
      <c r="P7" s="21" t="n"/>
    </row>
    <row r="8" ht="28" customHeight="1">
      <c r="A8" s="21" t="inlineStr">
        <is>
          <t>License and postings</t>
        </is>
      </c>
      <c r="B8" s="22" t="n">
        <v>5</v>
      </c>
      <c r="C8" s="23" t="inlineStr">
        <is>
          <t>Long-term care ombudsman poster posted, with the office's name, address and phone number</t>
        </is>
      </c>
      <c r="D8" s="23" t="inlineStr">
        <is>
          <t>Wis. DHS 83.13(3)(c), 83.33(4)</t>
        </is>
      </c>
      <c r="E8" s="21" t="inlineStr">
        <is>
          <t>Administrator</t>
        </is>
      </c>
      <c r="F8" s="21" t="n"/>
      <c r="G8" s="21" t="n"/>
      <c r="H8" s="24" t="n"/>
      <c r="I8" s="21" t="n"/>
      <c r="J8" s="21" t="n"/>
      <c r="K8" s="22" t="n"/>
      <c r="L8" s="25">
        <f>IF(ISNUMBER(H8),EDATE(H8,IF(ISNUMBER(K8),K8,3)),"")</f>
        <v/>
      </c>
      <c r="M8" s="26">
        <f>IF(L8="","",IF(ISNUMBER(L8),L8-TODAY(),"Check date"))</f>
        <v/>
      </c>
      <c r="N8" s="27">
        <f>IF(LEN(C8)=0,"",IF(I8="N/A","N/A",IF(OR(I8="",NOT(ISNUMBER(H8))),"Not checked",IF(OR(I8="Not met",LEN(J8)=0,M8&lt;0),"Red",IF(OR(I8="Partly met",M8&lt;=30),"Amber","Green")))))</f>
        <v/>
      </c>
      <c r="O8" s="27">
        <f>IF(N8="Red",IF(I8="Not met","Not met",IF(LEN(J8)=0,"No evidence location","Re-check overdue")),IF(N8="Amber",IF(I8="Partly met","Partly met","Re-check due ≤30 days"),""))</f>
        <v/>
      </c>
      <c r="P8" s="21" t="n"/>
    </row>
    <row r="9" ht="28" customHeight="1">
      <c r="A9" s="21" t="inlineStr">
        <is>
          <t>License and postings</t>
        </is>
      </c>
      <c r="B9" s="22" t="n">
        <v>6</v>
      </c>
      <c r="C9" s="23" t="inlineStr">
        <is>
          <t>Activity schedule posted</t>
        </is>
      </c>
      <c r="D9" s="23" t="inlineStr">
        <is>
          <t>Wis. DHS 83.13(3)(d)</t>
        </is>
      </c>
      <c r="E9" s="21" t="inlineStr">
        <is>
          <t>Administrator</t>
        </is>
      </c>
      <c r="F9" s="21" t="n"/>
      <c r="G9" s="21" t="n"/>
      <c r="H9" s="24" t="n"/>
      <c r="I9" s="21" t="n"/>
      <c r="J9" s="21" t="n"/>
      <c r="K9" s="22" t="n"/>
      <c r="L9" s="25">
        <f>IF(ISNUMBER(H9),EDATE(H9,IF(ISNUMBER(K9),K9,3)),"")</f>
        <v/>
      </c>
      <c r="M9" s="26">
        <f>IF(L9="","",IF(ISNUMBER(L9),L9-TODAY(),"Check date"))</f>
        <v/>
      </c>
      <c r="N9" s="27">
        <f>IF(LEN(C9)=0,"",IF(I9="N/A","N/A",IF(OR(I9="",NOT(ISNUMBER(H9))),"Not checked",IF(OR(I9="Not met",LEN(J9)=0,M9&lt;0),"Red",IF(OR(I9="Partly met",M9&lt;=30),"Amber","Green")))))</f>
        <v/>
      </c>
      <c r="O9" s="27">
        <f>IF(N9="Red",IF(I9="Not met","Not met",IF(LEN(J9)=0,"No evidence location","Re-check overdue")),IF(N9="Amber",IF(I9="Partly met","Partly met","Re-check due ≤30 days"),""))</f>
        <v/>
      </c>
      <c r="P9" s="21" t="n"/>
    </row>
    <row r="10" ht="28" customHeight="1">
      <c r="A10" s="21" t="inlineStr">
        <is>
          <t>License and postings</t>
        </is>
      </c>
      <c r="B10" s="22" t="n">
        <v>7</v>
      </c>
      <c r="C10" s="23" t="inlineStr">
        <is>
          <t>Copy of your state's assisted living rule kept on site</t>
        </is>
      </c>
      <c r="D10" s="23" t="inlineStr">
        <is>
          <t>Wisconsin requires a copy of DHS 83 in the CBRF (DHS 83.14(2)(f))</t>
        </is>
      </c>
      <c r="E10" s="21" t="inlineStr">
        <is>
          <t>Administrator</t>
        </is>
      </c>
      <c r="F10" s="21" t="n"/>
      <c r="G10" s="21" t="n"/>
      <c r="H10" s="24" t="n"/>
      <c r="I10" s="21" t="n"/>
      <c r="J10" s="21" t="n"/>
      <c r="K10" s="22" t="n"/>
      <c r="L10" s="25">
        <f>IF(ISNUMBER(H10),EDATE(H10,IF(ISNUMBER(K10),K10,3)),"")</f>
        <v/>
      </c>
      <c r="M10" s="26">
        <f>IF(L10="","",IF(ISNUMBER(L10),L10-TODAY(),"Check date"))</f>
        <v/>
      </c>
      <c r="N10" s="27">
        <f>IF(LEN(C10)=0,"",IF(I10="N/A","N/A",IF(OR(I10="",NOT(ISNUMBER(H10))),"Not checked",IF(OR(I10="Not met",LEN(J10)=0,M10&lt;0),"Red",IF(OR(I10="Partly met",M10&lt;=30),"Amber","Green")))))</f>
        <v/>
      </c>
      <c r="O10" s="27">
        <f>IF(N10="Red",IF(I10="Not met","Not met",IF(LEN(J10)=0,"No evidence location","Re-check overdue")),IF(N10="Amber",IF(I10="Partly met","Partly met","Re-check due ≤30 days"),""))</f>
        <v/>
      </c>
      <c r="P10" s="21" t="n"/>
    </row>
    <row r="11" ht="28" customHeight="1">
      <c r="A11" s="21" t="inlineStr">
        <is>
          <t>Staff files</t>
        </is>
      </c>
      <c r="B11" s="22" t="n">
        <v>8</v>
      </c>
      <c r="C11" s="23" t="inlineStr">
        <is>
          <t>Written job description in every employee file</t>
        </is>
      </c>
      <c r="D11" s="23" t="inlineStr">
        <is>
          <t>Wis. DHS 83.18(1)(a)</t>
        </is>
      </c>
      <c r="E11" s="21" t="inlineStr">
        <is>
          <t>Office or HR lead</t>
        </is>
      </c>
      <c r="F11" s="21" t="n"/>
      <c r="G11" s="21" t="n"/>
      <c r="H11" s="24" t="n"/>
      <c r="I11" s="21" t="n"/>
      <c r="J11" s="21" t="n"/>
      <c r="K11" s="22" t="n"/>
      <c r="L11" s="25">
        <f>IF(ISNUMBER(H11),EDATE(H11,IF(ISNUMBER(K11),K11,3)),"")</f>
        <v/>
      </c>
      <c r="M11" s="26">
        <f>IF(L11="","",IF(ISNUMBER(L11),L11-TODAY(),"Check date"))</f>
        <v/>
      </c>
      <c r="N11" s="27">
        <f>IF(LEN(C11)=0,"",IF(I11="N/A","N/A",IF(OR(I11="",NOT(ISNUMBER(H11))),"Not checked",IF(OR(I11="Not met",LEN(J11)=0,M11&lt;0),"Red",IF(OR(I11="Partly met",M11&lt;=30),"Amber","Green")))))</f>
        <v/>
      </c>
      <c r="O11" s="27">
        <f>IF(N11="Red",IF(I11="Not met","Not met",IF(LEN(J11)=0,"No evidence location","Re-check overdue")),IF(N11="Amber",IF(I11="Partly met","Partly met","Re-check due ≤30 days"),""))</f>
        <v/>
      </c>
      <c r="P11" s="21" t="n"/>
    </row>
    <row r="12" ht="28" customHeight="1">
      <c r="A12" s="21" t="inlineStr">
        <is>
          <t>Staff files</t>
        </is>
      </c>
      <c r="B12" s="22" t="n">
        <v>9</v>
      </c>
      <c r="C12" s="23" t="inlineStr">
        <is>
          <t>Caregiver background check at hire, and repeated on your state's cycle</t>
        </is>
      </c>
      <c r="D12" s="23" t="inlineStr">
        <is>
          <t>Wisconsin: at hire and every 4 years (DHS 83.17(1))</t>
        </is>
      </c>
      <c r="E12" s="21" t="inlineStr">
        <is>
          <t>Office or HR lead</t>
        </is>
      </c>
      <c r="F12" s="21" t="n"/>
      <c r="G12" s="21" t="n"/>
      <c r="H12" s="24" t="n">
        <v>46254</v>
      </c>
      <c r="I12" s="21" t="inlineStr">
        <is>
          <t>Partly met</t>
        </is>
      </c>
      <c r="J12" s="21" t="inlineStr">
        <is>
          <t>Example – HR files, background check log</t>
        </is>
      </c>
      <c r="K12" s="22" t="n"/>
      <c r="L12" s="25">
        <f>IF(ISNUMBER(H12),EDATE(H12,IF(ISNUMBER(K12),K12,3)),"")</f>
        <v/>
      </c>
      <c r="M12" s="26">
        <f>IF(L12="","",IF(ISNUMBER(L12),L12-TODAY(),"Check date"))</f>
        <v/>
      </c>
      <c r="N12" s="27">
        <f>IF(LEN(C12)=0,"",IF(I12="N/A","N/A",IF(OR(I12="",NOT(ISNUMBER(H12))),"Not checked",IF(OR(I12="Not met",LEN(J12)=0,M12&lt;0),"Red",IF(OR(I12="Partly met",M12&lt;=30),"Amber","Green")))))</f>
        <v/>
      </c>
      <c r="O12" s="27">
        <f>IF(N12="Red",IF(I12="Not met","Not met",IF(LEN(J12)=0,"No evidence location","Re-check overdue")),IF(N12="Amber",IF(I12="Partly met","Partly met","Re-check due ≤30 days"),""))</f>
        <v/>
      </c>
      <c r="P12" s="21" t="inlineStr">
        <is>
          <t>2 four-year rechecks due next month</t>
        </is>
      </c>
    </row>
    <row r="13" ht="28" customHeight="1">
      <c r="A13" s="21" t="inlineStr">
        <is>
          <t>Staff files</t>
        </is>
      </c>
      <c r="B13" s="22" t="n">
        <v>10</v>
      </c>
      <c r="C13" s="23" t="inlineStr">
        <is>
          <t>Tuberculosis (TB) screening documented before hire</t>
        </is>
      </c>
      <c r="D13" s="23" t="inlineStr">
        <is>
          <t>Wisconsin: within 90 days before the start of employment (DHS 83.17(2)(a))</t>
        </is>
      </c>
      <c r="E13" s="21" t="inlineStr">
        <is>
          <t>Office or HR lead</t>
        </is>
      </c>
      <c r="F13" s="21" t="n"/>
      <c r="G13" s="21" t="n"/>
      <c r="H13" s="24" t="n">
        <v>46266</v>
      </c>
      <c r="I13" s="21" t="inlineStr">
        <is>
          <t>Not met</t>
        </is>
      </c>
      <c r="J13" s="21" t="inlineStr">
        <is>
          <t>Example – HR files</t>
        </is>
      </c>
      <c r="K13" s="22" t="n"/>
      <c r="L13" s="25">
        <f>IF(ISNUMBER(H13),EDATE(H13,IF(ISNUMBER(K13),K13,3)),"")</f>
        <v/>
      </c>
      <c r="M13" s="26">
        <f>IF(L13="","",IF(ISNUMBER(L13),L13-TODAY(),"Check date"))</f>
        <v/>
      </c>
      <c r="N13" s="27">
        <f>IF(LEN(C13)=0,"",IF(I13="N/A","N/A",IF(OR(I13="",NOT(ISNUMBER(H13))),"Not checked",IF(OR(I13="Not met",LEN(J13)=0,M13&lt;0),"Red",IF(OR(I13="Partly met",M13&lt;=30),"Amber","Green")))))</f>
        <v/>
      </c>
      <c r="O13" s="27">
        <f>IF(N13="Red",IF(I13="Not met","Not met",IF(LEN(J13)=0,"No evidence location","Re-check overdue")),IF(N13="Amber",IF(I13="Partly met","Partly met","Re-check due ≤30 days"),""))</f>
        <v/>
      </c>
      <c r="P13" s="21" t="inlineStr">
        <is>
          <t>1 of 5 sampled files had no TB screen</t>
        </is>
      </c>
    </row>
    <row r="14" ht="28" customHeight="1">
      <c r="A14" s="21" t="inlineStr">
        <is>
          <t>Staff files</t>
        </is>
      </c>
      <c r="B14" s="22" t="n">
        <v>11</v>
      </c>
      <c r="C14" s="23" t="inlineStr">
        <is>
          <t>Standard precautions training completed before any task with exposure to body fluids</t>
        </is>
      </c>
      <c r="D14" s="23" t="inlineStr">
        <is>
          <t>Wis. DHS 83.20(2)(a)</t>
        </is>
      </c>
      <c r="E14" s="21" t="inlineStr">
        <is>
          <t>Office or HR lead</t>
        </is>
      </c>
      <c r="F14" s="21" t="n"/>
      <c r="G14" s="21" t="n"/>
      <c r="H14" s="24" t="n"/>
      <c r="I14" s="21" t="n"/>
      <c r="J14" s="21" t="n"/>
      <c r="K14" s="22" t="n"/>
      <c r="L14" s="25">
        <f>IF(ISNUMBER(H14),EDATE(H14,IF(ISNUMBER(K14),K14,3)),"")</f>
        <v/>
      </c>
      <c r="M14" s="26">
        <f>IF(L14="","",IF(ISNUMBER(L14),L14-TODAY(),"Check date"))</f>
        <v/>
      </c>
      <c r="N14" s="27">
        <f>IF(LEN(C14)=0,"",IF(I14="N/A","N/A",IF(OR(I14="",NOT(ISNUMBER(H14))),"Not checked",IF(OR(I14="Not met",LEN(J14)=0,M14&lt;0),"Red",IF(OR(I14="Partly met",M14&lt;=30),"Amber","Green")))))</f>
        <v/>
      </c>
      <c r="O14" s="27">
        <f>IF(N14="Red",IF(I14="Not met","Not met",IF(LEN(J14)=0,"No evidence location","Re-check overdue")),IF(N14="Amber",IF(I14="Partly met","Partly met","Re-check due ≤30 days"),""))</f>
        <v/>
      </c>
      <c r="P14" s="21" t="n"/>
    </row>
    <row r="15" ht="28" customHeight="1">
      <c r="A15" s="21" t="inlineStr">
        <is>
          <t>Staff files</t>
        </is>
      </c>
      <c r="B15" s="22" t="n">
        <v>12</v>
      </c>
      <c r="C15" s="23" t="inlineStr">
        <is>
          <t>Fire safety training completed</t>
        </is>
      </c>
      <c r="D15" s="23" t="inlineStr">
        <is>
          <t>Wisconsin: within 90 days of starting (DHS 83.20(2)(b))</t>
        </is>
      </c>
      <c r="E15" s="21" t="inlineStr">
        <is>
          <t>Office or HR lead</t>
        </is>
      </c>
      <c r="F15" s="21" t="n"/>
      <c r="G15" s="21" t="n"/>
      <c r="H15" s="24" t="n">
        <v>46228</v>
      </c>
      <c r="I15" s="21" t="inlineStr">
        <is>
          <t>Met</t>
        </is>
      </c>
      <c r="J15" s="21" t="inlineStr">
        <is>
          <t>Example – Training binder, fire safety sign-in sheets</t>
        </is>
      </c>
      <c r="K15" s="22" t="n"/>
      <c r="L15" s="25">
        <f>IF(ISNUMBER(H15),EDATE(H15,IF(ISNUMBER(K15),K15,3)),"")</f>
        <v/>
      </c>
      <c r="M15" s="26">
        <f>IF(L15="","",IF(ISNUMBER(L15),L15-TODAY(),"Check date"))</f>
        <v/>
      </c>
      <c r="N15" s="27">
        <f>IF(LEN(C15)=0,"",IF(I15="N/A","N/A",IF(OR(I15="",NOT(ISNUMBER(H15))),"Not checked",IF(OR(I15="Not met",LEN(J15)=0,M15&lt;0),"Red",IF(OR(I15="Partly met",M15&lt;=30),"Amber","Green")))))</f>
        <v/>
      </c>
      <c r="O15" s="27">
        <f>IF(N15="Red",IF(I15="Not met","Not met",IF(LEN(J15)=0,"No evidence location","Re-check overdue")),IF(N15="Amber",IF(I15="Partly met","Partly met","Re-check due ≤30 days"),""))</f>
        <v/>
      </c>
      <c r="P15" s="21" t="n"/>
    </row>
    <row r="16" ht="28" customHeight="1">
      <c r="A16" s="21" t="inlineStr">
        <is>
          <t>Staff files</t>
        </is>
      </c>
      <c r="B16" s="22" t="n">
        <v>13</v>
      </c>
      <c r="C16" s="23" t="inlineStr">
        <is>
          <t>First aid and choking training completed</t>
        </is>
      </c>
      <c r="D16" s="23" t="inlineStr">
        <is>
          <t>Wisconsin: within 90 days of starting (DHS 83.20(2)(c))</t>
        </is>
      </c>
      <c r="E16" s="21" t="inlineStr">
        <is>
          <t>Office or HR lead</t>
        </is>
      </c>
      <c r="F16" s="21" t="n"/>
      <c r="G16" s="21" t="n"/>
      <c r="H16" s="24" t="n"/>
      <c r="I16" s="21" t="n"/>
      <c r="J16" s="21" t="n"/>
      <c r="K16" s="22" t="n"/>
      <c r="L16" s="25">
        <f>IF(ISNUMBER(H16),EDATE(H16,IF(ISNUMBER(K16),K16,3)),"")</f>
        <v/>
      </c>
      <c r="M16" s="26">
        <f>IF(L16="","",IF(ISNUMBER(L16),L16-TODAY(),"Check date"))</f>
        <v/>
      </c>
      <c r="N16" s="27">
        <f>IF(LEN(C16)=0,"",IF(I16="N/A","N/A",IF(OR(I16="",NOT(ISNUMBER(H16))),"Not checked",IF(OR(I16="Not met",LEN(J16)=0,M16&lt;0),"Red",IF(OR(I16="Partly met",M16&lt;=30),"Amber","Green")))))</f>
        <v/>
      </c>
      <c r="O16" s="27">
        <f>IF(N16="Red",IF(I16="Not met","Not met",IF(LEN(J16)=0,"No evidence location","Re-check overdue")),IF(N16="Amber",IF(I16="Partly met","Partly met","Re-check due ≤30 days"),""))</f>
        <v/>
      </c>
      <c r="P16" s="21" t="n"/>
    </row>
    <row r="17" ht="28" customHeight="1">
      <c r="A17" s="21" t="inlineStr">
        <is>
          <t>Staff files</t>
        </is>
      </c>
      <c r="B17" s="22" t="n">
        <v>14</v>
      </c>
      <c r="C17" s="23" t="inlineStr">
        <is>
          <t>Medication administration training completed before the employee passes medications, with trainer approval number recorded where required</t>
        </is>
      </c>
      <c r="D17" s="23" t="inlineStr">
        <is>
          <t>Wis. DHS 83.20(2)(d), 83.20(1)(b)</t>
        </is>
      </c>
      <c r="E17" s="21" t="inlineStr">
        <is>
          <t>Office or HR lead</t>
        </is>
      </c>
      <c r="F17" s="21" t="n"/>
      <c r="G17" s="21" t="n"/>
      <c r="H17" s="24" t="n"/>
      <c r="I17" s="21" t="n"/>
      <c r="J17" s="21" t="n"/>
      <c r="K17" s="22" t="n"/>
      <c r="L17" s="25">
        <f>IF(ISNUMBER(H17),EDATE(H17,IF(ISNUMBER(K17),K17,3)),"")</f>
        <v/>
      </c>
      <c r="M17" s="26">
        <f>IF(L17="","",IF(ISNUMBER(L17),L17-TODAY(),"Check date"))</f>
        <v/>
      </c>
      <c r="N17" s="27">
        <f>IF(LEN(C17)=0,"",IF(I17="N/A","N/A",IF(OR(I17="",NOT(ISNUMBER(H17))),"Not checked",IF(OR(I17="Not met",LEN(J17)=0,M17&lt;0),"Red",IF(OR(I17="Partly met",M17&lt;=30),"Amber","Green")))))</f>
        <v/>
      </c>
      <c r="O17" s="27">
        <f>IF(N17="Red",IF(I17="Not met","Not met",IF(LEN(J17)=0,"No evidence location","Re-check overdue")),IF(N17="Amber",IF(I17="Partly met","Partly met","Re-check due ≤30 days"),""))</f>
        <v/>
      </c>
      <c r="P17" s="21" t="n"/>
    </row>
    <row r="18" ht="28" customHeight="1">
      <c r="A18" s="21" t="inlineStr">
        <is>
          <t>Staff files</t>
        </is>
      </c>
      <c r="B18" s="22" t="n">
        <v>15</v>
      </c>
      <c r="C18" s="23" t="inlineStr">
        <is>
          <t>Registered nurse (RN) delegation records on file for delegated tasks, where your state uses delegation</t>
        </is>
      </c>
      <c r="D18" s="23" t="inlineStr">
        <is>
          <t>Check your state rule</t>
        </is>
      </c>
      <c r="E18" s="21" t="inlineStr">
        <is>
          <t>Office or HR lead</t>
        </is>
      </c>
      <c r="F18" s="21" t="n"/>
      <c r="G18" s="21" t="n"/>
      <c r="H18" s="24" t="n"/>
      <c r="I18" s="21" t="n"/>
      <c r="J18" s="21" t="n"/>
      <c r="K18" s="22" t="n"/>
      <c r="L18" s="25">
        <f>IF(ISNUMBER(H18),EDATE(H18,IF(ISNUMBER(K18),K18,3)),"")</f>
        <v/>
      </c>
      <c r="M18" s="26">
        <f>IF(L18="","",IF(ISNUMBER(L18),L18-TODAY(),"Check date"))</f>
        <v/>
      </c>
      <c r="N18" s="27">
        <f>IF(LEN(C18)=0,"",IF(I18="N/A","N/A",IF(OR(I18="",NOT(ISNUMBER(H18))),"Not checked",IF(OR(I18="Not met",LEN(J18)=0,M18&lt;0),"Red",IF(OR(I18="Partly met",M18&lt;=30),"Amber","Green")))))</f>
        <v/>
      </c>
      <c r="O18" s="27">
        <f>IF(N18="Red",IF(I18="Not met","Not met",IF(LEN(J18)=0,"No evidence location","Re-check overdue")),IF(N18="Amber",IF(I18="Partly met","Partly met","Re-check due ≤30 days"),""))</f>
        <v/>
      </c>
      <c r="P18" s="21" t="n"/>
    </row>
    <row r="19" ht="28" customHeight="1">
      <c r="A19" s="21" t="inlineStr">
        <is>
          <t>Staff files</t>
        </is>
      </c>
      <c r="B19" s="22" t="n">
        <v>16</v>
      </c>
      <c r="C19" s="23" t="inlineStr">
        <is>
          <t>Certified nursing assistant (CNA) or certified medication aide (CMA) registry status checked and expiry dates logged</t>
        </is>
      </c>
      <c r="D19" s="23" t="inlineStr">
        <is>
          <t>Check your state rule</t>
        </is>
      </c>
      <c r="E19" s="21" t="inlineStr">
        <is>
          <t>Office or HR lead</t>
        </is>
      </c>
      <c r="F19" s="21" t="n"/>
      <c r="G19" s="21" t="n"/>
      <c r="H19" s="24" t="n"/>
      <c r="I19" s="21" t="n"/>
      <c r="J19" s="21" t="n"/>
      <c r="K19" s="22" t="n"/>
      <c r="L19" s="25">
        <f>IF(ISNUMBER(H19),EDATE(H19,IF(ISNUMBER(K19),K19,3)),"")</f>
        <v/>
      </c>
      <c r="M19" s="26">
        <f>IF(L19="","",IF(ISNUMBER(L19),L19-TODAY(),"Check date"))</f>
        <v/>
      </c>
      <c r="N19" s="27">
        <f>IF(LEN(C19)=0,"",IF(I19="N/A","N/A",IF(OR(I19="",NOT(ISNUMBER(H19))),"Not checked",IF(OR(I19="Not met",LEN(J19)=0,M19&lt;0),"Red",IF(OR(I19="Partly met",M19&lt;=30),"Amber","Green")))))</f>
        <v/>
      </c>
      <c r="O19" s="27">
        <f>IF(N19="Red",IF(I19="Not met","Not met",IF(LEN(J19)=0,"No evidence location","Re-check overdue")),IF(N19="Amber",IF(I19="Partly met","Partly met","Re-check due ≤30 days"),""))</f>
        <v/>
      </c>
      <c r="P19" s="21" t="n"/>
    </row>
    <row r="20" ht="28" customHeight="1">
      <c r="A20" s="21" t="inlineStr">
        <is>
          <t>Resident files</t>
        </is>
      </c>
      <c r="B20" s="22" t="n">
        <v>17</v>
      </c>
      <c r="C20" s="23" t="inlineStr">
        <is>
          <t>Pre-admission assessment, updated at least annually and after any change in condition</t>
        </is>
      </c>
      <c r="D20" s="23" t="inlineStr">
        <is>
          <t>Wis. DHS 83.35(1)(a)</t>
        </is>
      </c>
      <c r="E20" s="21" t="inlineStr">
        <is>
          <t>Resident care lead</t>
        </is>
      </c>
      <c r="F20" s="21" t="n"/>
      <c r="G20" s="21" t="n"/>
      <c r="H20" s="24" t="n"/>
      <c r="I20" s="21" t="n"/>
      <c r="J20" s="21" t="n"/>
      <c r="K20" s="22" t="n"/>
      <c r="L20" s="25">
        <f>IF(ISNUMBER(H20),EDATE(H20,IF(ISNUMBER(K20),K20,3)),"")</f>
        <v/>
      </c>
      <c r="M20" s="26">
        <f>IF(L20="","",IF(ISNUMBER(L20),L20-TODAY(),"Check date"))</f>
        <v/>
      </c>
      <c r="N20" s="27">
        <f>IF(LEN(C20)=0,"",IF(I20="N/A","N/A",IF(OR(I20="",NOT(ISNUMBER(H20))),"Not checked",IF(OR(I20="Not met",LEN(J20)=0,M20&lt;0),"Red",IF(OR(I20="Partly met",M20&lt;=30),"Amber","Green")))))</f>
        <v/>
      </c>
      <c r="O20" s="27">
        <f>IF(N20="Red",IF(I20="Not met","Not met",IF(LEN(J20)=0,"No evidence location","Re-check overdue")),IF(N20="Amber",IF(I20="Partly met","Partly met","Re-check due ≤30 days"),""))</f>
        <v/>
      </c>
      <c r="P20" s="21" t="n"/>
    </row>
    <row r="21" ht="28" customHeight="1">
      <c r="A21" s="21" t="inlineStr">
        <is>
          <t>Resident files</t>
        </is>
      </c>
      <c r="B21" s="22" t="n">
        <v>18</v>
      </c>
      <c r="C21" s="23" t="inlineStr">
        <is>
          <t>Physician report or physical exam on file</t>
        </is>
      </c>
      <c r="D21" s="23" t="inlineStr">
        <is>
          <t>Georgia personal care homes: dated within 30 days before admission (Ga. 111-8-62-.15)</t>
        </is>
      </c>
      <c r="E21" s="21" t="inlineStr">
        <is>
          <t>Resident care lead</t>
        </is>
      </c>
      <c r="F21" s="21" t="n"/>
      <c r="G21" s="21" t="n"/>
      <c r="H21" s="24" t="n"/>
      <c r="I21" s="21" t="n"/>
      <c r="J21" s="21" t="n"/>
      <c r="K21" s="22" t="n"/>
      <c r="L21" s="25">
        <f>IF(ISNUMBER(H21),EDATE(H21,IF(ISNUMBER(K21),K21,3)),"")</f>
        <v/>
      </c>
      <c r="M21" s="26">
        <f>IF(L21="","",IF(ISNUMBER(L21),L21-TODAY(),"Check date"))</f>
        <v/>
      </c>
      <c r="N21" s="27">
        <f>IF(LEN(C21)=0,"",IF(I21="N/A","N/A",IF(OR(I21="",NOT(ISNUMBER(H21))),"Not checked",IF(OR(I21="Not met",LEN(J21)=0,M21&lt;0),"Red",IF(OR(I21="Partly met",M21&lt;=30),"Amber","Green")))))</f>
        <v/>
      </c>
      <c r="O21" s="27">
        <f>IF(N21="Red",IF(I21="Not met","Not met",IF(LEN(J21)=0,"No evidence location","Re-check overdue")),IF(N21="Amber",IF(I21="Partly met","Partly met","Re-check due ≤30 days"),""))</f>
        <v/>
      </c>
      <c r="P21" s="21" t="n"/>
    </row>
    <row r="22" ht="28" customHeight="1">
      <c r="A22" s="21" t="inlineStr">
        <is>
          <t>Resident files</t>
        </is>
      </c>
      <c r="B22" s="22" t="n">
        <v>19</v>
      </c>
      <c r="C22" s="23" t="inlineStr">
        <is>
          <t>Temporary service plan written on admission</t>
        </is>
      </c>
      <c r="D22" s="23" t="inlineStr">
        <is>
          <t>Wis. DHS 83.35(2)</t>
        </is>
      </c>
      <c r="E22" s="21" t="inlineStr">
        <is>
          <t>Resident care lead</t>
        </is>
      </c>
      <c r="F22" s="21" t="n"/>
      <c r="G22" s="21" t="n"/>
      <c r="H22" s="24" t="n"/>
      <c r="I22" s="21" t="n"/>
      <c r="J22" s="21" t="n"/>
      <c r="K22" s="22" t="n"/>
      <c r="L22" s="25">
        <f>IF(ISNUMBER(H22),EDATE(H22,IF(ISNUMBER(K22),K22,3)),"")</f>
        <v/>
      </c>
      <c r="M22" s="26">
        <f>IF(L22="","",IF(ISNUMBER(L22),L22-TODAY(),"Check date"))</f>
        <v/>
      </c>
      <c r="N22" s="27">
        <f>IF(LEN(C22)=0,"",IF(I22="N/A","N/A",IF(OR(I22="",NOT(ISNUMBER(H22))),"Not checked",IF(OR(I22="Not met",LEN(J22)=0,M22&lt;0),"Red",IF(OR(I22="Partly met",M22&lt;=30),"Amber","Green")))))</f>
        <v/>
      </c>
      <c r="O22" s="27">
        <f>IF(N22="Red",IF(I22="Not met","Not met",IF(LEN(J22)=0,"No evidence location","Re-check overdue")),IF(N22="Amber",IF(I22="Partly met","Partly met","Re-check due ≤30 days"),""))</f>
        <v/>
      </c>
      <c r="P22" s="21" t="n"/>
    </row>
    <row r="23" ht="28" customHeight="1">
      <c r="A23" s="21" t="inlineStr">
        <is>
          <t>Resident files</t>
        </is>
      </c>
      <c r="B23" s="22" t="n">
        <v>20</v>
      </c>
      <c r="C23" s="23" t="inlineStr">
        <is>
          <t>Individual service plan completed, signed by the resident or representative</t>
        </is>
      </c>
      <c r="D23" s="23" t="inlineStr">
        <is>
          <t>Wisconsin: within 30 days after admission (DHS 83.35(3))</t>
        </is>
      </c>
      <c r="E23" s="21" t="inlineStr">
        <is>
          <t>Resident care lead</t>
        </is>
      </c>
      <c r="F23" s="21" t="n"/>
      <c r="G23" s="21" t="n"/>
      <c r="H23" s="24" t="n"/>
      <c r="I23" s="21" t="n"/>
      <c r="J23" s="21" t="n"/>
      <c r="K23" s="22" t="n"/>
      <c r="L23" s="25">
        <f>IF(ISNUMBER(H23),EDATE(H23,IF(ISNUMBER(K23),K23,3)),"")</f>
        <v/>
      </c>
      <c r="M23" s="26">
        <f>IF(L23="","",IF(ISNUMBER(L23),L23-TODAY(),"Check date"))</f>
        <v/>
      </c>
      <c r="N23" s="27">
        <f>IF(LEN(C23)=0,"",IF(I23="N/A","N/A",IF(OR(I23="",NOT(ISNUMBER(H23))),"Not checked",IF(OR(I23="Not met",LEN(J23)=0,M23&lt;0),"Red",IF(OR(I23="Partly met",M23&lt;=30),"Amber","Green")))))</f>
        <v/>
      </c>
      <c r="O23" s="27">
        <f>IF(N23="Red",IF(I23="Not met","Not met",IF(LEN(J23)=0,"No evidence location","Re-check overdue")),IF(N23="Amber",IF(I23="Partly met","Partly met","Re-check due ≤30 days"),""))</f>
        <v/>
      </c>
      <c r="P23" s="21" t="n"/>
    </row>
    <row r="24" ht="28" customHeight="1">
      <c r="A24" s="21" t="inlineStr">
        <is>
          <t>Resident files</t>
        </is>
      </c>
      <c r="B24" s="22" t="n">
        <v>21</v>
      </c>
      <c r="C24" s="23" t="inlineStr">
        <is>
          <t>Service plan reviewed annually or at a change in condition, with the review documented</t>
        </is>
      </c>
      <c r="D24" s="23" t="inlineStr">
        <is>
          <t>Wis. DHS 83.35(3)(d)</t>
        </is>
      </c>
      <c r="E24" s="21" t="inlineStr">
        <is>
          <t>Resident care lead</t>
        </is>
      </c>
      <c r="F24" s="21" t="n"/>
      <c r="G24" s="21" t="n"/>
      <c r="H24" s="24" t="n"/>
      <c r="I24" s="21" t="n"/>
      <c r="J24" s="21" t="n"/>
      <c r="K24" s="22" t="n"/>
      <c r="L24" s="25">
        <f>IF(ISNUMBER(H24),EDATE(H24,IF(ISNUMBER(K24),K24,3)),"")</f>
        <v/>
      </c>
      <c r="M24" s="26">
        <f>IF(L24="","",IF(ISNUMBER(L24),L24-TODAY(),"Check date"))</f>
        <v/>
      </c>
      <c r="N24" s="27">
        <f>IF(LEN(C24)=0,"",IF(I24="N/A","N/A",IF(OR(I24="",NOT(ISNUMBER(H24))),"Not checked",IF(OR(I24="Not met",LEN(J24)=0,M24&lt;0),"Red",IF(OR(I24="Partly met",M24&lt;=30),"Amber","Green")))))</f>
        <v/>
      </c>
      <c r="O24" s="27">
        <f>IF(N24="Red",IF(I24="Not met","Not met",IF(LEN(J24)=0,"No evidence location","Re-check overdue")),IF(N24="Amber",IF(I24="Partly met","Partly met","Re-check due ≤30 days"),""))</f>
        <v/>
      </c>
      <c r="P24" s="21" t="n"/>
    </row>
    <row r="25" ht="28" customHeight="1">
      <c r="A25" s="21" t="inlineStr">
        <is>
          <t>Resident files</t>
        </is>
      </c>
      <c r="B25" s="22" t="n">
        <v>22</v>
      </c>
      <c r="C25" s="23" t="inlineStr">
        <is>
          <t>Evacuation capability assessment</t>
        </is>
      </c>
      <c r="D25" s="23" t="inlineStr">
        <is>
          <t>Wisconsin: within 3 days of admission, updated at least annually (DHS 83.35(5))</t>
        </is>
      </c>
      <c r="E25" s="21" t="inlineStr">
        <is>
          <t>Resident care lead</t>
        </is>
      </c>
      <c r="F25" s="21" t="n"/>
      <c r="G25" s="21" t="n"/>
      <c r="H25" s="24" t="n">
        <v>46275</v>
      </c>
      <c r="I25" s="21" t="inlineStr">
        <is>
          <t>Met</t>
        </is>
      </c>
      <c r="J25" s="21" t="n"/>
      <c r="K25" s="22" t="n"/>
      <c r="L25" s="25">
        <f>IF(ISNUMBER(H25),EDATE(H25,IF(ISNUMBER(K25),K25,3)),"")</f>
        <v/>
      </c>
      <c r="M25" s="26">
        <f>IF(L25="","",IF(ISNUMBER(L25),L25-TODAY(),"Check date"))</f>
        <v/>
      </c>
      <c r="N25" s="27">
        <f>IF(LEN(C25)=0,"",IF(I25="N/A","N/A",IF(OR(I25="",NOT(ISNUMBER(H25))),"Not checked",IF(OR(I25="Not met",LEN(J25)=0,M25&lt;0),"Red",IF(OR(I25="Partly met",M25&lt;=30),"Amber","Green")))))</f>
        <v/>
      </c>
      <c r="O25" s="27">
        <f>IF(N25="Red",IF(I25="Not met","Not met",IF(LEN(J25)=0,"No evidence location","Re-check overdue")),IF(N25="Amber",IF(I25="Partly met","Partly met","Re-check due ≤30 days"),""))</f>
        <v/>
      </c>
      <c r="P25" s="21" t="inlineStr">
        <is>
          <t>Example – proof not filed yet, so it shows Red</t>
        </is>
      </c>
    </row>
    <row r="26" ht="28" customHeight="1">
      <c r="A26" s="21" t="inlineStr">
        <is>
          <t>Resident files</t>
        </is>
      </c>
      <c r="B26" s="22" t="n">
        <v>23</v>
      </c>
      <c r="C26" s="23" t="inlineStr">
        <is>
          <t>Current medication list with dose, directions and changes in condition</t>
        </is>
      </c>
      <c r="D26" s="23" t="inlineStr">
        <is>
          <t>Wis. DHS 83.37(1)(d)</t>
        </is>
      </c>
      <c r="E26" s="21" t="inlineStr">
        <is>
          <t>Resident care lead</t>
        </is>
      </c>
      <c r="F26" s="21" t="n"/>
      <c r="G26" s="21" t="n"/>
      <c r="H26" s="24" t="n"/>
      <c r="I26" s="21" t="n"/>
      <c r="J26" s="21" t="n"/>
      <c r="K26" s="22" t="n"/>
      <c r="L26" s="25">
        <f>IF(ISNUMBER(H26),EDATE(H26,IF(ISNUMBER(K26),K26,3)),"")</f>
        <v/>
      </c>
      <c r="M26" s="26">
        <f>IF(L26="","",IF(ISNUMBER(L26),L26-TODAY(),"Check date"))</f>
        <v/>
      </c>
      <c r="N26" s="27">
        <f>IF(LEN(C26)=0,"",IF(I26="N/A","N/A",IF(OR(I26="",NOT(ISNUMBER(H26))),"Not checked",IF(OR(I26="Not met",LEN(J26)=0,M26&lt;0),"Red",IF(OR(I26="Partly met",M26&lt;=30),"Amber","Green")))))</f>
        <v/>
      </c>
      <c r="O26" s="27">
        <f>IF(N26="Red",IF(I26="Not met","Not met",IF(LEN(J26)=0,"No evidence location","Re-check overdue")),IF(N26="Amber",IF(I26="Partly met","Partly met","Re-check due ≤30 days"),""))</f>
        <v/>
      </c>
      <c r="P26" s="21" t="n"/>
    </row>
    <row r="27" ht="28" customHeight="1">
      <c r="A27" s="21" t="inlineStr">
        <is>
          <t>Resident files</t>
        </is>
      </c>
      <c r="B27" s="22" t="n">
        <v>24</v>
      </c>
      <c r="C27" s="23" t="inlineStr">
        <is>
          <t>Advance directives, guardianship or power of attorney papers on file where applicable</t>
        </is>
      </c>
      <c r="D27" s="23" t="inlineStr">
        <is>
          <t>Check your state rule</t>
        </is>
      </c>
      <c r="E27" s="21" t="inlineStr">
        <is>
          <t>Resident care lead</t>
        </is>
      </c>
      <c r="F27" s="21" t="n"/>
      <c r="G27" s="21" t="n"/>
      <c r="H27" s="24" t="n"/>
      <c r="I27" s="21" t="n"/>
      <c r="J27" s="21" t="n"/>
      <c r="K27" s="22" t="n"/>
      <c r="L27" s="25">
        <f>IF(ISNUMBER(H27),EDATE(H27,IF(ISNUMBER(K27),K27,3)),"")</f>
        <v/>
      </c>
      <c r="M27" s="26">
        <f>IF(L27="","",IF(ISNUMBER(L27),L27-TODAY(),"Check date"))</f>
        <v/>
      </c>
      <c r="N27" s="27">
        <f>IF(LEN(C27)=0,"",IF(I27="N/A","N/A",IF(OR(I27="",NOT(ISNUMBER(H27))),"Not checked",IF(OR(I27="Not met",LEN(J27)=0,M27&lt;0),"Red",IF(OR(I27="Partly met",M27&lt;=30),"Amber","Green")))))</f>
        <v/>
      </c>
      <c r="O27" s="27">
        <f>IF(N27="Red",IF(I27="Not met","Not met",IF(LEN(J27)=0,"No evidence location","Re-check overdue")),IF(N27="Amber",IF(I27="Partly met","Partly met","Re-check due ≤30 days"),""))</f>
        <v/>
      </c>
      <c r="P27" s="21" t="n"/>
    </row>
    <row r="28" ht="28" customHeight="1">
      <c r="A28" s="21" t="inlineStr">
        <is>
          <t>Resident files</t>
        </is>
      </c>
      <c r="B28" s="22" t="n">
        <v>25</v>
      </c>
      <c r="C28" s="23" t="inlineStr">
        <is>
          <t>Annual resident satisfaction evaluation offered</t>
        </is>
      </c>
      <c r="D28" s="23" t="inlineStr">
        <is>
          <t>Wisconsin CBRFs (DHS 83.35(4))</t>
        </is>
      </c>
      <c r="E28" s="21" t="inlineStr">
        <is>
          <t>Resident care lead</t>
        </is>
      </c>
      <c r="F28" s="21" t="n"/>
      <c r="G28" s="21" t="n"/>
      <c r="H28" s="24" t="n"/>
      <c r="I28" s="21" t="n"/>
      <c r="J28" s="21" t="n"/>
      <c r="K28" s="22" t="n"/>
      <c r="L28" s="25">
        <f>IF(ISNUMBER(H28),EDATE(H28,IF(ISNUMBER(K28),K28,3)),"")</f>
        <v/>
      </c>
      <c r="M28" s="26">
        <f>IF(L28="","",IF(ISNUMBER(L28),L28-TODAY(),"Check date"))</f>
        <v/>
      </c>
      <c r="N28" s="27">
        <f>IF(LEN(C28)=0,"",IF(I28="N/A","N/A",IF(OR(I28="",NOT(ISNUMBER(H28))),"Not checked",IF(OR(I28="Not met",LEN(J28)=0,M28&lt;0),"Red",IF(OR(I28="Partly met",M28&lt;=30),"Amber","Green")))))</f>
        <v/>
      </c>
      <c r="O28" s="27">
        <f>IF(N28="Red",IF(I28="Not met","Not met",IF(LEN(J28)=0,"No evidence location","Re-check overdue")),IF(N28="Amber",IF(I28="Partly met","Partly met","Re-check due ≤30 days"),""))</f>
        <v/>
      </c>
      <c r="P28" s="21" t="n"/>
    </row>
    <row r="29" ht="28" customHeight="1">
      <c r="A29" s="21" t="inlineStr">
        <is>
          <t>Medication</t>
        </is>
      </c>
      <c r="B29" s="22" t="n">
        <v>26</v>
      </c>
      <c r="C29" s="23" t="inlineStr">
        <is>
          <t>Medication cart and room audit: locked, clean, labeled and organized by resident</t>
        </is>
      </c>
      <c r="D29" s="23" t="inlineStr">
        <is>
          <t>Your written policy</t>
        </is>
      </c>
      <c r="E29" s="21" t="inlineStr">
        <is>
          <t>Medication lead</t>
        </is>
      </c>
      <c r="F29" s="21" t="n"/>
      <c r="G29" s="21" t="n"/>
      <c r="H29" s="24" t="n"/>
      <c r="I29" s="21" t="n"/>
      <c r="J29" s="21" t="n"/>
      <c r="K29" s="22" t="n"/>
      <c r="L29" s="25">
        <f>IF(ISNUMBER(H29),EDATE(H29,IF(ISNUMBER(K29),K29,3)),"")</f>
        <v/>
      </c>
      <c r="M29" s="26">
        <f>IF(L29="","",IF(ISNUMBER(L29),L29-TODAY(),"Check date"))</f>
        <v/>
      </c>
      <c r="N29" s="27">
        <f>IF(LEN(C29)=0,"",IF(I29="N/A","N/A",IF(OR(I29="",NOT(ISNUMBER(H29))),"Not checked",IF(OR(I29="Not met",LEN(J29)=0,M29&lt;0),"Red",IF(OR(I29="Partly met",M29&lt;=30),"Amber","Green")))))</f>
        <v/>
      </c>
      <c r="O29" s="27">
        <f>IF(N29="Red",IF(I29="Not met","Not met",IF(LEN(J29)=0,"No evidence location","Re-check overdue")),IF(N29="Amber",IF(I29="Partly met","Partly met","Re-check due ≤30 days"),""))</f>
        <v/>
      </c>
      <c r="P29" s="21" t="n"/>
    </row>
    <row r="30" ht="28" customHeight="1">
      <c r="A30" s="21" t="inlineStr">
        <is>
          <t>Medication</t>
        </is>
      </c>
      <c r="B30" s="22" t="n">
        <v>27</v>
      </c>
      <c r="C30" s="23" t="inlineStr">
        <is>
          <t>Expired, discontinued and recalled medications pulled and destroyed under your written disposal policy</t>
        </is>
      </c>
      <c r="D30" s="23" t="inlineStr">
        <is>
          <t>Wis. DHS 83.37(1)(g)3</t>
        </is>
      </c>
      <c r="E30" s="21" t="inlineStr">
        <is>
          <t>Medication lead</t>
        </is>
      </c>
      <c r="F30" s="21" t="n"/>
      <c r="G30" s="21" t="n"/>
      <c r="H30" s="24" t="n"/>
      <c r="I30" s="21" t="n"/>
      <c r="J30" s="21" t="n"/>
      <c r="K30" s="22" t="n"/>
      <c r="L30" s="25">
        <f>IF(ISNUMBER(H30),EDATE(H30,IF(ISNUMBER(K30),K30,3)),"")</f>
        <v/>
      </c>
      <c r="M30" s="26">
        <f>IF(L30="","",IF(ISNUMBER(L30),L30-TODAY(),"Check date"))</f>
        <v/>
      </c>
      <c r="N30" s="27">
        <f>IF(LEN(C30)=0,"",IF(I30="N/A","N/A",IF(OR(I30="",NOT(ISNUMBER(H30))),"Not checked",IF(OR(I30="Not met",LEN(J30)=0,M30&lt;0),"Red",IF(OR(I30="Partly met",M30&lt;=30),"Amber","Green")))))</f>
        <v/>
      </c>
      <c r="O30" s="27">
        <f>IF(N30="Red",IF(I30="Not met","Not met",IF(LEN(J30)=0,"No evidence location","Re-check overdue")),IF(N30="Amber",IF(I30="Partly met","Partly met","Re-check due ≤30 days"),""))</f>
        <v/>
      </c>
      <c r="P30" s="21" t="n"/>
    </row>
    <row r="31" ht="28" customHeight="1">
      <c r="A31" s="21" t="inlineStr">
        <is>
          <t>Medication</t>
        </is>
      </c>
      <c r="B31" s="22" t="n">
        <v>28</v>
      </c>
      <c r="C31" s="23" t="inlineStr">
        <is>
          <t>Discontinued medications not held past your state's limit</t>
        </is>
      </c>
      <c r="D31" s="23" t="inlineStr">
        <is>
          <t>Wisconsin: no more than 30 days without a new order or pharmacist request (DHS 83.37(1)(g)2)</t>
        </is>
      </c>
      <c r="E31" s="21" t="inlineStr">
        <is>
          <t>Medication lead</t>
        </is>
      </c>
      <c r="F31" s="21" t="n"/>
      <c r="G31" s="21" t="n"/>
      <c r="H31" s="24" t="n"/>
      <c r="I31" s="21" t="n"/>
      <c r="J31" s="21" t="n"/>
      <c r="K31" s="22" t="n"/>
      <c r="L31" s="25">
        <f>IF(ISNUMBER(H31),EDATE(H31,IF(ISNUMBER(K31),K31,3)),"")</f>
        <v/>
      </c>
      <c r="M31" s="26">
        <f>IF(L31="","",IF(ISNUMBER(L31),L31-TODAY(),"Check date"))</f>
        <v/>
      </c>
      <c r="N31" s="27">
        <f>IF(LEN(C31)=0,"",IF(I31="N/A","N/A",IF(OR(I31="",NOT(ISNUMBER(H31))),"Not checked",IF(OR(I31="Not met",LEN(J31)=0,M31&lt;0),"Red",IF(OR(I31="Partly met",M31&lt;=30),"Amber","Green")))))</f>
        <v/>
      </c>
      <c r="O31" s="27">
        <f>IF(N31="Red",IF(I31="Not met","Not met",IF(LEN(J31)=0,"No evidence location","Re-check overdue")),IF(N31="Amber",IF(I31="Partly met","Partly met","Re-check due ≤30 days"),""))</f>
        <v/>
      </c>
      <c r="P31" s="21" t="n"/>
    </row>
    <row r="32" ht="28" customHeight="1">
      <c r="A32" s="21" t="inlineStr">
        <is>
          <t>Medication</t>
        </is>
      </c>
      <c r="B32" s="22" t="n">
        <v>29</v>
      </c>
      <c r="C32" s="23" t="inlineStr">
        <is>
          <t>Controlled substances stored in a separate locked compartment</t>
        </is>
      </c>
      <c r="D32" s="23" t="inlineStr">
        <is>
          <t>Wis. DHS 83.37(3)(g)</t>
        </is>
      </c>
      <c r="E32" s="21" t="inlineStr">
        <is>
          <t>Medication lead</t>
        </is>
      </c>
      <c r="F32" s="21" t="n"/>
      <c r="G32" s="21" t="n"/>
      <c r="H32" s="24" t="n">
        <v>46296</v>
      </c>
      <c r="I32" s="21" t="inlineStr">
        <is>
          <t>Met</t>
        </is>
      </c>
      <c r="J32" s="21" t="inlineStr">
        <is>
          <t>Example – Med room, locked drawer 2</t>
        </is>
      </c>
      <c r="K32" s="22" t="n"/>
      <c r="L32" s="25">
        <f>IF(ISNUMBER(H32),EDATE(H32,IF(ISNUMBER(K32),K32,3)),"")</f>
        <v/>
      </c>
      <c r="M32" s="26">
        <f>IF(L32="","",IF(ISNUMBER(L32),L32-TODAY(),"Check date"))</f>
        <v/>
      </c>
      <c r="N32" s="27">
        <f>IF(LEN(C32)=0,"",IF(I32="N/A","N/A",IF(OR(I32="",NOT(ISNUMBER(H32))),"Not checked",IF(OR(I32="Not met",LEN(J32)=0,M32&lt;0),"Red",IF(OR(I32="Partly met",M32&lt;=30),"Amber","Green")))))</f>
        <v/>
      </c>
      <c r="O32" s="27">
        <f>IF(N32="Red",IF(I32="Not met","Not met",IF(LEN(J32)=0,"No evidence location","Re-check overdue")),IF(N32="Amber",IF(I32="Partly met","Partly met","Re-check due ≤30 days"),""))</f>
        <v/>
      </c>
      <c r="P32" s="21" t="n"/>
    </row>
    <row r="33" ht="28" customHeight="1">
      <c r="A33" s="21" t="inlineStr">
        <is>
          <t>Medication</t>
        </is>
      </c>
      <c r="B33" s="22" t="n">
        <v>30</v>
      </c>
      <c r="C33" s="23" t="inlineStr">
        <is>
          <t>Controlled-substance count sheets complete, signed and reconciled, with every discrepancy investigated</t>
        </is>
      </c>
      <c r="D33" s="23" t="inlineStr">
        <is>
          <t>Your written policy</t>
        </is>
      </c>
      <c r="E33" s="21" t="inlineStr">
        <is>
          <t>Medication lead</t>
        </is>
      </c>
      <c r="F33" s="21" t="n"/>
      <c r="G33" s="21" t="n"/>
      <c r="H33" s="24" t="n"/>
      <c r="I33" s="21" t="n"/>
      <c r="J33" s="21" t="n"/>
      <c r="K33" s="22" t="n"/>
      <c r="L33" s="25">
        <f>IF(ISNUMBER(H33),EDATE(H33,IF(ISNUMBER(K33),K33,3)),"")</f>
        <v/>
      </c>
      <c r="M33" s="26">
        <f>IF(L33="","",IF(ISNUMBER(L33),L33-TODAY(),"Check date"))</f>
        <v/>
      </c>
      <c r="N33" s="27">
        <f>IF(LEN(C33)=0,"",IF(I33="N/A","N/A",IF(OR(I33="",NOT(ISNUMBER(H33))),"Not checked",IF(OR(I33="Not met",LEN(J33)=0,M33&lt;0),"Red",IF(OR(I33="Partly met",M33&lt;=30),"Amber","Green")))))</f>
        <v/>
      </c>
      <c r="O33" s="27">
        <f>IF(N33="Red",IF(I33="Not met","Not met",IF(LEN(J33)=0,"No evidence location","Re-check overdue")),IF(N33="Amber",IF(I33="Partly met","Partly met","Re-check due ≤30 days"),""))</f>
        <v/>
      </c>
      <c r="P33" s="21" t="n"/>
    </row>
    <row r="34" ht="28" customHeight="1">
      <c r="A34" s="21" t="inlineStr">
        <is>
          <t>Medication</t>
        </is>
      </c>
      <c r="B34" s="22" t="n">
        <v>31</v>
      </c>
      <c r="C34" s="23" t="inlineStr">
        <is>
          <t>Medication administration records (MARs) match current orders, with no blank doses</t>
        </is>
      </c>
      <c r="D34" s="23" t="inlineStr">
        <is>
          <t>Your written policy</t>
        </is>
      </c>
      <c r="E34" s="21" t="inlineStr">
        <is>
          <t>Medication lead</t>
        </is>
      </c>
      <c r="F34" s="21" t="n"/>
      <c r="G34" s="21" t="n"/>
      <c r="H34" s="24" t="n"/>
      <c r="I34" s="21" t="n"/>
      <c r="J34" s="21" t="n"/>
      <c r="K34" s="22" t="n"/>
      <c r="L34" s="25">
        <f>IF(ISNUMBER(H34),EDATE(H34,IF(ISNUMBER(K34),K34,3)),"")</f>
        <v/>
      </c>
      <c r="M34" s="26">
        <f>IF(L34="","",IF(ISNUMBER(L34),L34-TODAY(),"Check date"))</f>
        <v/>
      </c>
      <c r="N34" s="27">
        <f>IF(LEN(C34)=0,"",IF(I34="N/A","N/A",IF(OR(I34="",NOT(ISNUMBER(H34))),"Not checked",IF(OR(I34="Not met",LEN(J34)=0,M34&lt;0),"Red",IF(OR(I34="Partly met",M34&lt;=30),"Amber","Green")))))</f>
        <v/>
      </c>
      <c r="O34" s="27">
        <f>IF(N34="Red",IF(I34="Not met","Not met",IF(LEN(J34)=0,"No evidence location","Re-check overdue")),IF(N34="Amber",IF(I34="Partly met","Partly met","Re-check due ≤30 days"),""))</f>
        <v/>
      </c>
      <c r="P34" s="21" t="n"/>
    </row>
    <row r="35" ht="28" customHeight="1">
      <c r="A35" s="21" t="inlineStr">
        <is>
          <t>Medication</t>
        </is>
      </c>
      <c r="B35" s="22" t="n">
        <v>32</v>
      </c>
      <c r="C35" s="23" t="inlineStr">
        <is>
          <t>Pharmacist or physician medication regimen review on file</t>
        </is>
      </c>
      <c r="D35" s="23" t="inlineStr">
        <is>
          <t>Wisconsin: around admission, after significant changes and at least every 12 months (DHS 83.37(1)(e))</t>
        </is>
      </c>
      <c r="E35" s="21" t="inlineStr">
        <is>
          <t>Medication lead</t>
        </is>
      </c>
      <c r="F35" s="21" t="n"/>
      <c r="G35" s="21" t="n"/>
      <c r="H35" s="24" t="n"/>
      <c r="I35" s="21" t="n"/>
      <c r="J35" s="21" t="n"/>
      <c r="K35" s="22" t="n"/>
      <c r="L35" s="25">
        <f>IF(ISNUMBER(H35),EDATE(H35,IF(ISNUMBER(K35),K35,3)),"")</f>
        <v/>
      </c>
      <c r="M35" s="26">
        <f>IF(L35="","",IF(ISNUMBER(L35),L35-TODAY(),"Check date"))</f>
        <v/>
      </c>
      <c r="N35" s="27">
        <f>IF(LEN(C35)=0,"",IF(I35="N/A","N/A",IF(OR(I35="",NOT(ISNUMBER(H35))),"Not checked",IF(OR(I35="Not met",LEN(J35)=0,M35&lt;0),"Red",IF(OR(I35="Partly met",M35&lt;=30),"Amber","Green")))))</f>
        <v/>
      </c>
      <c r="O35" s="27">
        <f>IF(N35="Red",IF(I35="Not met","Not met",IF(LEN(J35)=0,"No evidence location","Re-check overdue")),IF(N35="Amber",IF(I35="Partly met","Partly met","Re-check due ≤30 days"),""))</f>
        <v/>
      </c>
      <c r="P35" s="21" t="n"/>
    </row>
    <row r="36" ht="28" customHeight="1">
      <c r="A36" s="21" t="inlineStr">
        <is>
          <t>Fire and life safety</t>
        </is>
      </c>
      <c r="B36" s="22" t="n">
        <v>33</v>
      </c>
      <c r="C36" s="23" t="inlineStr">
        <is>
          <t>Fire drill log with date, time and total evacuation time</t>
        </is>
      </c>
      <c r="D36" s="23" t="inlineStr">
        <is>
          <t>Wisconsin: at least quarterly (DHS 83.47(2)(d))</t>
        </is>
      </c>
      <c r="E36" s="21" t="inlineStr">
        <is>
          <t>Maintenance lead</t>
        </is>
      </c>
      <c r="F36" s="21" t="n"/>
      <c r="G36" s="21" t="n"/>
      <c r="H36" s="24" t="n">
        <v>46295</v>
      </c>
      <c r="I36" s="21" t="inlineStr">
        <is>
          <t>Met</t>
        </is>
      </c>
      <c r="J36" s="21" t="inlineStr">
        <is>
          <t>Example – Fire drill log, maintenance office</t>
        </is>
      </c>
      <c r="K36" s="22" t="n"/>
      <c r="L36" s="25">
        <f>IF(ISNUMBER(H36),EDATE(H36,IF(ISNUMBER(K36),K36,3)),"")</f>
        <v/>
      </c>
      <c r="M36" s="26">
        <f>IF(L36="","",IF(ISNUMBER(L36),L36-TODAY(),"Check date"))</f>
        <v/>
      </c>
      <c r="N36" s="27">
        <f>IF(LEN(C36)=0,"",IF(I36="N/A","N/A",IF(OR(I36="",NOT(ISNUMBER(H36))),"Not checked",IF(OR(I36="Not met",LEN(J36)=0,M36&lt;0),"Red",IF(OR(I36="Partly met",M36&lt;=30),"Amber","Green")))))</f>
        <v/>
      </c>
      <c r="O36" s="27">
        <f>IF(N36="Red",IF(I36="Not met","Not met",IF(LEN(J36)=0,"No evidence location","Re-check overdue")),IF(N36="Amber",IF(I36="Partly met","Partly met","Re-check due ≤30 days"),""))</f>
        <v/>
      </c>
      <c r="P36" s="21" t="n"/>
    </row>
    <row r="37" ht="28" customHeight="1">
      <c r="A37" s="21" t="inlineStr">
        <is>
          <t>Fire and life safety</t>
        </is>
      </c>
      <c r="B37" s="22" t="n">
        <v>34</v>
      </c>
      <c r="C37" s="23" t="inlineStr">
        <is>
          <t>At least one drill a year that simulates sleeping-hours conditions with overnight staff</t>
        </is>
      </c>
      <c r="D37" s="23" t="inlineStr">
        <is>
          <t>Wisconsin (DHS 83.47(2)(d))</t>
        </is>
      </c>
      <c r="E37" s="21" t="inlineStr">
        <is>
          <t>Maintenance lead</t>
        </is>
      </c>
      <c r="F37" s="21" t="n"/>
      <c r="G37" s="21" t="n"/>
      <c r="H37" s="24" t="n"/>
      <c r="I37" s="21" t="n"/>
      <c r="J37" s="21" t="n"/>
      <c r="K37" s="22" t="n"/>
      <c r="L37" s="25">
        <f>IF(ISNUMBER(H37),EDATE(H37,IF(ISNUMBER(K37),K37,3)),"")</f>
        <v/>
      </c>
      <c r="M37" s="26">
        <f>IF(L37="","",IF(ISNUMBER(L37),L37-TODAY(),"Check date"))</f>
        <v/>
      </c>
      <c r="N37" s="27">
        <f>IF(LEN(C37)=0,"",IF(I37="N/A","N/A",IF(OR(I37="",NOT(ISNUMBER(H37))),"Not checked",IF(OR(I37="Not met",LEN(J37)=0,M37&lt;0),"Red",IF(OR(I37="Partly met",M37&lt;=30),"Amber","Green")))))</f>
        <v/>
      </c>
      <c r="O37" s="27">
        <f>IF(N37="Red",IF(I37="Not met","Not met",IF(LEN(J37)=0,"No evidence location","Re-check overdue")),IF(N37="Amber",IF(I37="Partly met","Partly met","Re-check due ≤30 days"),""))</f>
        <v/>
      </c>
      <c r="P37" s="21" t="n"/>
    </row>
    <row r="38" ht="28" customHeight="1">
      <c r="A38" s="21" t="inlineStr">
        <is>
          <t>Fire and life safety</t>
        </is>
      </c>
      <c r="B38" s="22" t="n">
        <v>35</v>
      </c>
      <c r="C38" s="23" t="inlineStr">
        <is>
          <t>Tornado, flood or other disaster drills logged</t>
        </is>
      </c>
      <c r="D38" s="23" t="inlineStr">
        <is>
          <t>Wisconsin: at least semi-annually (DHS 83.47(2)(e))</t>
        </is>
      </c>
      <c r="E38" s="21" t="inlineStr">
        <is>
          <t>Maintenance lead</t>
        </is>
      </c>
      <c r="F38" s="21" t="n"/>
      <c r="G38" s="21" t="n"/>
      <c r="H38" s="24" t="n"/>
      <c r="I38" s="21" t="n"/>
      <c r="J38" s="21" t="n"/>
      <c r="K38" s="22" t="n"/>
      <c r="L38" s="25">
        <f>IF(ISNUMBER(H38),EDATE(H38,IF(ISNUMBER(K38),K38,3)),"")</f>
        <v/>
      </c>
      <c r="M38" s="26">
        <f>IF(L38="","",IF(ISNUMBER(L38),L38-TODAY(),"Check date"))</f>
        <v/>
      </c>
      <c r="N38" s="27">
        <f>IF(LEN(C38)=0,"",IF(I38="N/A","N/A",IF(OR(I38="",NOT(ISNUMBER(H38))),"Not checked",IF(OR(I38="Not met",LEN(J38)=0,M38&lt;0),"Red",IF(OR(I38="Partly met",M38&lt;=30),"Amber","Green")))))</f>
        <v/>
      </c>
      <c r="O38" s="27">
        <f>IF(N38="Red",IF(I38="Not met","Not met",IF(LEN(J38)=0,"No evidence location","Re-check overdue")),IF(N38="Amber",IF(I38="Partly met","Partly met","Re-check due ≤30 days"),""))</f>
        <v/>
      </c>
      <c r="P38" s="21" t="n"/>
    </row>
    <row r="39" ht="28" customHeight="1">
      <c r="A39" s="21" t="inlineStr">
        <is>
          <t>Fire and life safety</t>
        </is>
      </c>
      <c r="B39" s="22" t="n">
        <v>36</v>
      </c>
      <c r="C39" s="23" t="inlineStr">
        <is>
          <t>Annual fire inspection report by the local fire authority, kept for 2 years</t>
        </is>
      </c>
      <c r="D39" s="23" t="inlineStr">
        <is>
          <t>Wisconsin (DHS 83.47(3))</t>
        </is>
      </c>
      <c r="E39" s="21" t="inlineStr">
        <is>
          <t>Maintenance lead</t>
        </is>
      </c>
      <c r="F39" s="21" t="n"/>
      <c r="G39" s="21" t="n"/>
      <c r="H39" s="24" t="n"/>
      <c r="I39" s="21" t="n"/>
      <c r="J39" s="21" t="n"/>
      <c r="K39" s="22" t="n"/>
      <c r="L39" s="25">
        <f>IF(ISNUMBER(H39),EDATE(H39,IF(ISNUMBER(K39),K39,3)),"")</f>
        <v/>
      </c>
      <c r="M39" s="26">
        <f>IF(L39="","",IF(ISNUMBER(L39),L39-TODAY(),"Check date"))</f>
        <v/>
      </c>
      <c r="N39" s="27">
        <f>IF(LEN(C39)=0,"",IF(I39="N/A","N/A",IF(OR(I39="",NOT(ISNUMBER(H39))),"Not checked",IF(OR(I39="Not met",LEN(J39)=0,M39&lt;0),"Red",IF(OR(I39="Partly met",M39&lt;=30),"Amber","Green")))))</f>
        <v/>
      </c>
      <c r="O39" s="27">
        <f>IF(N39="Red",IF(I39="Not met","Not met",IF(LEN(J39)=0,"No evidence location","Re-check overdue")),IF(N39="Amber",IF(I39="Partly met","Partly met","Re-check due ≤30 days"),""))</f>
        <v/>
      </c>
      <c r="P39" s="21" t="n"/>
    </row>
    <row r="40" ht="28" customHeight="1">
      <c r="A40" s="21" t="inlineStr">
        <is>
          <t>Fire and life safety</t>
        </is>
      </c>
      <c r="B40" s="22" t="n">
        <v>37</v>
      </c>
      <c r="C40" s="23" t="inlineStr">
        <is>
          <t>Fire extinguishers inspected annually by a qualified professional, with a dated tag on each</t>
        </is>
      </c>
      <c r="D40" s="23" t="inlineStr">
        <is>
          <t>Wisconsin (DHS 83.47(4)(a))</t>
        </is>
      </c>
      <c r="E40" s="21" t="inlineStr">
        <is>
          <t>Maintenance lead</t>
        </is>
      </c>
      <c r="F40" s="21" t="n"/>
      <c r="G40" s="21" t="n"/>
      <c r="H40" s="24" t="n"/>
      <c r="I40" s="21" t="n"/>
      <c r="J40" s="21" t="n"/>
      <c r="K40" s="22" t="n"/>
      <c r="L40" s="25">
        <f>IF(ISNUMBER(H40),EDATE(H40,IF(ISNUMBER(K40),K40,3)),"")</f>
        <v/>
      </c>
      <c r="M40" s="26">
        <f>IF(L40="","",IF(ISNUMBER(L40),L40-TODAY(),"Check date"))</f>
        <v/>
      </c>
      <c r="N40" s="27">
        <f>IF(LEN(C40)=0,"",IF(I40="N/A","N/A",IF(OR(I40="",NOT(ISNUMBER(H40))),"Not checked",IF(OR(I40="Not met",LEN(J40)=0,M40&lt;0),"Red",IF(OR(I40="Partly met",M40&lt;=30),"Amber","Green")))))</f>
        <v/>
      </c>
      <c r="O40" s="27">
        <f>IF(N40="Red",IF(I40="Not met","Not met",IF(LEN(J40)=0,"No evidence location","Re-check overdue")),IF(N40="Amber",IF(I40="Partly met","Partly met","Re-check due ≤30 days"),""))</f>
        <v/>
      </c>
      <c r="P40" s="21" t="n"/>
    </row>
    <row r="41" ht="28" customHeight="1">
      <c r="A41" s="21" t="inlineStr">
        <is>
          <t>Fire and life safety</t>
        </is>
      </c>
      <c r="B41" s="22" t="n">
        <v>38</v>
      </c>
      <c r="C41" s="23" t="inlineStr">
        <is>
          <t>Smoke detector tests logged and sprinkler inspection reports filed</t>
        </is>
      </c>
      <c r="D41" s="23" t="inlineStr">
        <is>
          <t>Wisconsin: smoke detectors not less than once every other month (DHS 83.48(1)(b))</t>
        </is>
      </c>
      <c r="E41" s="21" t="inlineStr">
        <is>
          <t>Maintenance lead</t>
        </is>
      </c>
      <c r="F41" s="21" t="n"/>
      <c r="G41" s="21" t="n"/>
      <c r="H41" s="24" t="n"/>
      <c r="I41" s="21" t="n"/>
      <c r="J41" s="21" t="n"/>
      <c r="K41" s="22" t="n"/>
      <c r="L41" s="25">
        <f>IF(ISNUMBER(H41),EDATE(H41,IF(ISNUMBER(K41),K41,3)),"")</f>
        <v/>
      </c>
      <c r="M41" s="26">
        <f>IF(L41="","",IF(ISNUMBER(L41),L41-TODAY(),"Check date"))</f>
        <v/>
      </c>
      <c r="N41" s="27">
        <f>IF(LEN(C41)=0,"",IF(I41="N/A","N/A",IF(OR(I41="",NOT(ISNUMBER(H41))),"Not checked",IF(OR(I41="Not met",LEN(J41)=0,M41&lt;0),"Red",IF(OR(I41="Partly met",M41&lt;=30),"Amber","Green")))))</f>
        <v/>
      </c>
      <c r="O41" s="27">
        <f>IF(N41="Red",IF(I41="Not met","Not met",IF(LEN(J41)=0,"No evidence location","Re-check overdue")),IF(N41="Amber",IF(I41="Partly met","Partly met","Re-check due ≤30 days"),""))</f>
        <v/>
      </c>
      <c r="P41" s="21" t="n"/>
    </row>
    <row r="42" ht="28" customHeight="1">
      <c r="A42" s="21" t="inlineStr">
        <is>
          <t>Fire and life safety</t>
        </is>
      </c>
      <c r="B42" s="22" t="n">
        <v>39</v>
      </c>
      <c r="C42" s="23" t="inlineStr">
        <is>
          <t>Kitchen hood suppression inspection report current under your fire code</t>
        </is>
      </c>
      <c r="D42" s="23" t="inlineStr">
        <is>
          <t>Your fire code</t>
        </is>
      </c>
      <c r="E42" s="21" t="inlineStr">
        <is>
          <t>Maintenance lead</t>
        </is>
      </c>
      <c r="F42" s="21" t="n"/>
      <c r="G42" s="21" t="n"/>
      <c r="H42" s="24" t="n"/>
      <c r="I42" s="21" t="n"/>
      <c r="J42" s="21" t="n"/>
      <c r="K42" s="22" t="n"/>
      <c r="L42" s="25">
        <f>IF(ISNUMBER(H42),EDATE(H42,IF(ISNUMBER(K42),K42,3)),"")</f>
        <v/>
      </c>
      <c r="M42" s="26">
        <f>IF(L42="","",IF(ISNUMBER(L42),L42-TODAY(),"Check date"))</f>
        <v/>
      </c>
      <c r="N42" s="27">
        <f>IF(LEN(C42)=0,"",IF(I42="N/A","N/A",IF(OR(I42="",NOT(ISNUMBER(H42))),"Not checked",IF(OR(I42="Not met",LEN(J42)=0,M42&lt;0),"Red",IF(OR(I42="Partly met",M42&lt;=30),"Amber","Green")))))</f>
        <v/>
      </c>
      <c r="O42" s="27">
        <f>IF(N42="Red",IF(I42="Not met","Not met",IF(LEN(J42)=0,"No evidence location","Re-check overdue")),IF(N42="Amber",IF(I42="Partly met","Partly met","Re-check due ≤30 days"),""))</f>
        <v/>
      </c>
      <c r="P42" s="21" t="n"/>
    </row>
    <row r="43" ht="28" customHeight="1">
      <c r="A43" s="21" t="inlineStr">
        <is>
          <t>Fire and life safety</t>
        </is>
      </c>
      <c r="B43" s="22" t="n">
        <v>40</v>
      </c>
      <c r="C43" s="23" t="inlineStr">
        <is>
          <t>Exits and corridors clear, exit diagram posted and emergency numbers posted near staff phones</t>
        </is>
      </c>
      <c r="D43" s="23" t="inlineStr">
        <is>
          <t>Wis. DHS 83.13(3)(e)-(f), 83.47(2)(h)</t>
        </is>
      </c>
      <c r="E43" s="21" t="inlineStr">
        <is>
          <t>Maintenance lead</t>
        </is>
      </c>
      <c r="F43" s="21" t="n"/>
      <c r="G43" s="21" t="n"/>
      <c r="H43" s="24" t="n"/>
      <c r="I43" s="21" t="n"/>
      <c r="J43" s="21" t="n"/>
      <c r="K43" s="22" t="n"/>
      <c r="L43" s="25">
        <f>IF(ISNUMBER(H43),EDATE(H43,IF(ISNUMBER(K43),K43,3)),"")</f>
        <v/>
      </c>
      <c r="M43" s="26">
        <f>IF(L43="","",IF(ISNUMBER(L43),L43-TODAY(),"Check date"))</f>
        <v/>
      </c>
      <c r="N43" s="27">
        <f>IF(LEN(C43)=0,"",IF(I43="N/A","N/A",IF(OR(I43="",NOT(ISNUMBER(H43))),"Not checked",IF(OR(I43="Not met",LEN(J43)=0,M43&lt;0),"Red",IF(OR(I43="Partly met",M43&lt;=30),"Amber","Green")))))</f>
        <v/>
      </c>
      <c r="O43" s="27">
        <f>IF(N43="Red",IF(I43="Not met","Not met",IF(LEN(J43)=0,"No evidence location","Re-check overdue")),IF(N43="Amber",IF(I43="Partly met","Partly met","Re-check due ≤30 days"),""))</f>
        <v/>
      </c>
      <c r="P43" s="21" t="n"/>
    </row>
    <row r="44" ht="28" customHeight="1">
      <c r="A44" s="21" t="inlineStr">
        <is>
          <t>Environment and food</t>
        </is>
      </c>
      <c r="B44" s="22" t="n">
        <v>41</v>
      </c>
      <c r="C44" s="23" t="inlineStr">
        <is>
          <t>Hot water temperatures checked and logged at resident taps</t>
        </is>
      </c>
      <c r="D44" s="23" t="inlineStr">
        <is>
          <t>Georgia personal care homes: not over 120°F (Ga. 111-8-62-.13)</t>
        </is>
      </c>
      <c r="E44" s="21" t="inlineStr">
        <is>
          <t>Kitchen lead</t>
        </is>
      </c>
      <c r="F44" s="21" t="n"/>
      <c r="G44" s="21" t="n"/>
      <c r="H44" s="24" t="n"/>
      <c r="I44" s="21" t="n"/>
      <c r="J44" s="21" t="n"/>
      <c r="K44" s="22" t="n"/>
      <c r="L44" s="25">
        <f>IF(ISNUMBER(H44),EDATE(H44,IF(ISNUMBER(K44),K44,3)),"")</f>
        <v/>
      </c>
      <c r="M44" s="26">
        <f>IF(L44="","",IF(ISNUMBER(L44),L44-TODAY(),"Check date"))</f>
        <v/>
      </c>
      <c r="N44" s="27">
        <f>IF(LEN(C44)=0,"",IF(I44="N/A","N/A",IF(OR(I44="",NOT(ISNUMBER(H44))),"Not checked",IF(OR(I44="Not met",LEN(J44)=0,M44&lt;0),"Red",IF(OR(I44="Partly met",M44&lt;=30),"Amber","Green")))))</f>
        <v/>
      </c>
      <c r="O44" s="27">
        <f>IF(N44="Red",IF(I44="Not met","Not met",IF(LEN(J44)=0,"No evidence location","Re-check overdue")),IF(N44="Amber",IF(I44="Partly met","Partly met","Re-check due ≤30 days"),""))</f>
        <v/>
      </c>
      <c r="P44" s="21" t="n"/>
    </row>
    <row r="45" ht="28" customHeight="1">
      <c r="A45" s="21" t="inlineStr">
        <is>
          <t>Environment and food</t>
        </is>
      </c>
      <c r="B45" s="22" t="n">
        <v>42</v>
      </c>
      <c r="C45" s="23" t="inlineStr">
        <is>
          <t>Food temperature logs complete for cooking, holding and refrigeration</t>
        </is>
      </c>
      <c r="D45" s="23" t="inlineStr">
        <is>
          <t>Your written policy</t>
        </is>
      </c>
      <c r="E45" s="21" t="inlineStr">
        <is>
          <t>Kitchen lead</t>
        </is>
      </c>
      <c r="F45" s="21" t="n"/>
      <c r="G45" s="21" t="n"/>
      <c r="H45" s="24" t="n"/>
      <c r="I45" s="21" t="n"/>
      <c r="J45" s="21" t="n"/>
      <c r="K45" s="22" t="n"/>
      <c r="L45" s="25">
        <f>IF(ISNUMBER(H45),EDATE(H45,IF(ISNUMBER(K45),K45,3)),"")</f>
        <v/>
      </c>
      <c r="M45" s="26">
        <f>IF(L45="","",IF(ISNUMBER(L45),L45-TODAY(),"Check date"))</f>
        <v/>
      </c>
      <c r="N45" s="27">
        <f>IF(LEN(C45)=0,"",IF(I45="N/A","N/A",IF(OR(I45="",NOT(ISNUMBER(H45))),"Not checked",IF(OR(I45="Not met",LEN(J45)=0,M45&lt;0),"Red",IF(OR(I45="Partly met",M45&lt;=30),"Amber","Green")))))</f>
        <v/>
      </c>
      <c r="O45" s="27">
        <f>IF(N45="Red",IF(I45="Not met","Not met",IF(LEN(J45)=0,"No evidence location","Re-check overdue")),IF(N45="Amber",IF(I45="Partly met","Partly met","Re-check due ≤30 days"),""))</f>
        <v/>
      </c>
      <c r="P45" s="21" t="n"/>
    </row>
    <row r="46" ht="28" customHeight="1">
      <c r="A46" s="21" t="inlineStr">
        <is>
          <t>Environment and food</t>
        </is>
      </c>
      <c r="B46" s="22" t="n">
        <v>43</v>
      </c>
      <c r="C46" s="23" t="inlineStr">
        <is>
          <t>Food stored off the floor, covered, labeled and dated, with nothing past its use-by date</t>
        </is>
      </c>
      <c r="D46" s="23" t="inlineStr">
        <is>
          <t>Your written policy</t>
        </is>
      </c>
      <c r="E46" s="21" t="inlineStr">
        <is>
          <t>Kitchen lead</t>
        </is>
      </c>
      <c r="F46" s="21" t="n"/>
      <c r="G46" s="21" t="n"/>
      <c r="H46" s="24" t="n"/>
      <c r="I46" s="21" t="n"/>
      <c r="J46" s="21" t="n"/>
      <c r="K46" s="22" t="n"/>
      <c r="L46" s="25">
        <f>IF(ISNUMBER(H46),EDATE(H46,IF(ISNUMBER(K46),K46,3)),"")</f>
        <v/>
      </c>
      <c r="M46" s="26">
        <f>IF(L46="","",IF(ISNUMBER(L46),L46-TODAY(),"Check date"))</f>
        <v/>
      </c>
      <c r="N46" s="27">
        <f>IF(LEN(C46)=0,"",IF(I46="N/A","N/A",IF(OR(I46="",NOT(ISNUMBER(H46))),"Not checked",IF(OR(I46="Not met",LEN(J46)=0,M46&lt;0),"Red",IF(OR(I46="Partly met",M46&lt;=30),"Amber","Green")))))</f>
        <v/>
      </c>
      <c r="O46" s="27">
        <f>IF(N46="Red",IF(I46="Not met","Not met",IF(LEN(J46)=0,"No evidence location","Re-check overdue")),IF(N46="Amber",IF(I46="Partly met","Partly met","Re-check due ≤30 days"),""))</f>
        <v/>
      </c>
      <c r="P46" s="21" t="n"/>
    </row>
    <row r="47" ht="28" customHeight="1">
      <c r="A47" s="21" t="inlineStr">
        <is>
          <t>Environment and food</t>
        </is>
      </c>
      <c r="B47" s="22" t="n">
        <v>44</v>
      </c>
      <c r="C47" s="23" t="inlineStr">
        <is>
          <t>Weekly menus written and available to residents, and dated menus kept</t>
        </is>
      </c>
      <c r="D47" s="23" t="inlineStr">
        <is>
          <t>Wisconsin: dated menus kept 60 days (DHS 83.41(2)(c), 83.13(2)(d))</t>
        </is>
      </c>
      <c r="E47" s="21" t="inlineStr">
        <is>
          <t>Kitchen lead</t>
        </is>
      </c>
      <c r="F47" s="21" t="n"/>
      <c r="G47" s="21" t="n"/>
      <c r="H47" s="24" t="n">
        <v>46239</v>
      </c>
      <c r="I47" s="21" t="inlineStr">
        <is>
          <t>Met</t>
        </is>
      </c>
      <c r="J47" s="21" t="inlineStr">
        <is>
          <t>Example – Kitchen menu file</t>
        </is>
      </c>
      <c r="K47" s="22" t="n"/>
      <c r="L47" s="25">
        <f>IF(ISNUMBER(H47),EDATE(H47,IF(ISNUMBER(K47),K47,3)),"")</f>
        <v/>
      </c>
      <c r="M47" s="26">
        <f>IF(L47="","",IF(ISNUMBER(L47),L47-TODAY(),"Check date"))</f>
        <v/>
      </c>
      <c r="N47" s="27">
        <f>IF(LEN(C47)=0,"",IF(I47="N/A","N/A",IF(OR(I47="",NOT(ISNUMBER(H47))),"Not checked",IF(OR(I47="Not met",LEN(J47)=0,M47&lt;0),"Red",IF(OR(I47="Partly met",M47&lt;=30),"Amber","Green")))))</f>
        <v/>
      </c>
      <c r="O47" s="27">
        <f>IF(N47="Red",IF(I47="Not met","Not met",IF(LEN(J47)=0,"No evidence location","Re-check overdue")),IF(N47="Amber",IF(I47="Partly met","Partly met","Re-check due ≤30 days"),""))</f>
        <v/>
      </c>
      <c r="P47" s="21" t="n"/>
    </row>
    <row r="48" ht="28" customHeight="1">
      <c r="A48" s="21" t="inlineStr">
        <is>
          <t>Environment and food</t>
        </is>
      </c>
      <c r="B48" s="22" t="n">
        <v>45</v>
      </c>
      <c r="C48" s="23" t="inlineStr">
        <is>
          <t>Chemicals and hazardous materials stored securely, with no trip, burn or entrapment hazards on the tour route</t>
        </is>
      </c>
      <c r="D48" s="23" t="inlineStr">
        <is>
          <t>Your written policy</t>
        </is>
      </c>
      <c r="E48" s="21" t="inlineStr">
        <is>
          <t>Kitchen lead</t>
        </is>
      </c>
      <c r="F48" s="21" t="n"/>
      <c r="G48" s="21" t="n"/>
      <c r="H48" s="24" t="n"/>
      <c r="I48" s="21" t="n"/>
      <c r="J48" s="21" t="n"/>
      <c r="K48" s="22" t="n"/>
      <c r="L48" s="25">
        <f>IF(ISNUMBER(H48),EDATE(H48,IF(ISNUMBER(K48),K48,3)),"")</f>
        <v/>
      </c>
      <c r="M48" s="26">
        <f>IF(L48="","",IF(ISNUMBER(L48),L48-TODAY(),"Check date"))</f>
        <v/>
      </c>
      <c r="N48" s="27">
        <f>IF(LEN(C48)=0,"",IF(I48="N/A","N/A",IF(OR(I48="",NOT(ISNUMBER(H48))),"Not checked",IF(OR(I48="Not met",LEN(J48)=0,M48&lt;0),"Red",IF(OR(I48="Partly met",M48&lt;=30),"Amber","Green")))))</f>
        <v/>
      </c>
      <c r="O48" s="27">
        <f>IF(N48="Red",IF(I48="Not met","Not met",IF(LEN(J48)=0,"No evidence location","Re-check overdue")),IF(N48="Amber",IF(I48="Partly met","Partly met","Re-check due ≤30 days"),""))</f>
        <v/>
      </c>
      <c r="P48" s="21" t="n"/>
    </row>
    <row r="49" ht="28" customHeight="1">
      <c r="A49" s="21" t="inlineStr">
        <is>
          <t>Policies and incidents</t>
        </is>
      </c>
      <c r="B49" s="22" t="n">
        <v>46</v>
      </c>
      <c r="C49" s="23" t="inlineStr">
        <is>
          <t>Policies and procedures reviewed and dated, matching the current version of your state rule</t>
        </is>
      </c>
      <c r="D49" s="23" t="inlineStr">
        <is>
          <t>Check your state rule</t>
        </is>
      </c>
      <c r="E49" s="21" t="inlineStr">
        <is>
          <t>Administrator</t>
        </is>
      </c>
      <c r="F49" s="21" t="n"/>
      <c r="G49" s="21" t="n"/>
      <c r="H49" s="24" t="n"/>
      <c r="I49" s="21" t="n"/>
      <c r="J49" s="21" t="n"/>
      <c r="K49" s="22" t="n"/>
      <c r="L49" s="25">
        <f>IF(ISNUMBER(H49),EDATE(H49,IF(ISNUMBER(K49),K49,3)),"")</f>
        <v/>
      </c>
      <c r="M49" s="26">
        <f>IF(L49="","",IF(ISNUMBER(L49),L49-TODAY(),"Check date"))</f>
        <v/>
      </c>
      <c r="N49" s="27">
        <f>IF(LEN(C49)=0,"",IF(I49="N/A","N/A",IF(OR(I49="",NOT(ISNUMBER(H49))),"Not checked",IF(OR(I49="Not met",LEN(J49)=0,M49&lt;0),"Red",IF(OR(I49="Partly met",M49&lt;=30),"Amber","Green")))))</f>
        <v/>
      </c>
      <c r="O49" s="27">
        <f>IF(N49="Red",IF(I49="Not met","Not met",IF(LEN(J49)=0,"No evidence location","Re-check overdue")),IF(N49="Amber",IF(I49="Partly met","Partly met","Re-check due ≤30 days"),""))</f>
        <v/>
      </c>
      <c r="P49" s="21" t="n"/>
    </row>
    <row r="50" ht="28" customHeight="1">
      <c r="A50" s="21" t="inlineStr">
        <is>
          <t>Policies and incidents</t>
        </is>
      </c>
      <c r="B50" s="22" t="n">
        <v>47</v>
      </c>
      <c r="C50" s="23" t="inlineStr">
        <is>
          <t>Incident reports complete, each with an investigation and follow-up action</t>
        </is>
      </c>
      <c r="D50" s="23" t="inlineStr">
        <is>
          <t>Your written policy</t>
        </is>
      </c>
      <c r="E50" s="21" t="inlineStr">
        <is>
          <t>Administrator</t>
        </is>
      </c>
      <c r="F50" s="21" t="n"/>
      <c r="G50" s="21" t="n"/>
      <c r="H50" s="24" t="n"/>
      <c r="I50" s="21" t="n"/>
      <c r="J50" s="21" t="n"/>
      <c r="K50" s="22" t="n"/>
      <c r="L50" s="25">
        <f>IF(ISNUMBER(H50),EDATE(H50,IF(ISNUMBER(K50),K50,3)),"")</f>
        <v/>
      </c>
      <c r="M50" s="26">
        <f>IF(L50="","",IF(ISNUMBER(L50),L50-TODAY(),"Check date"))</f>
        <v/>
      </c>
      <c r="N50" s="27">
        <f>IF(LEN(C50)=0,"",IF(I50="N/A","N/A",IF(OR(I50="",NOT(ISNUMBER(H50))),"Not checked",IF(OR(I50="Not met",LEN(J50)=0,M50&lt;0),"Red",IF(OR(I50="Partly met",M50&lt;=30),"Amber","Green")))))</f>
        <v/>
      </c>
      <c r="O50" s="27">
        <f>IF(N50="Red",IF(I50="Not met","Not met",IF(LEN(J50)=0,"No evidence location","Re-check overdue")),IF(N50="Amber",IF(I50="Partly met","Partly met","Re-check due ≤30 days"),""))</f>
        <v/>
      </c>
      <c r="P50" s="21" t="n"/>
    </row>
    <row r="51" ht="28" customHeight="1">
      <c r="A51" s="21" t="inlineStr">
        <is>
          <t>Policies and incidents</t>
        </is>
      </c>
      <c r="B51" s="22" t="n">
        <v>48</v>
      </c>
      <c r="C51" s="23" t="inlineStr">
        <is>
          <t>Self-reports to the state agency filed, with copies accessible on survey day</t>
        </is>
      </c>
      <c r="D51" s="23" t="inlineStr">
        <is>
          <t>Check your state rule</t>
        </is>
      </c>
      <c r="E51" s="21" t="inlineStr">
        <is>
          <t>Administrator</t>
        </is>
      </c>
      <c r="F51" s="21" t="n"/>
      <c r="G51" s="21" t="n"/>
      <c r="H51" s="24" t="n"/>
      <c r="I51" s="21" t="n"/>
      <c r="J51" s="21" t="n"/>
      <c r="K51" s="22" t="n"/>
      <c r="L51" s="25">
        <f>IF(ISNUMBER(H51),EDATE(H51,IF(ISNUMBER(K51),K51,3)),"")</f>
        <v/>
      </c>
      <c r="M51" s="26">
        <f>IF(L51="","",IF(ISNUMBER(L51),L51-TODAY(),"Check date"))</f>
        <v/>
      </c>
      <c r="N51" s="27">
        <f>IF(LEN(C51)=0,"",IF(I51="N/A","N/A",IF(OR(I51="",NOT(ISNUMBER(H51))),"Not checked",IF(OR(I51="Not met",LEN(J51)=0,M51&lt;0),"Red",IF(OR(I51="Partly met",M51&lt;=30),"Amber","Green")))))</f>
        <v/>
      </c>
      <c r="O51" s="27">
        <f>IF(N51="Red",IF(I51="Not met","Not met",IF(LEN(J51)=0,"No evidence location","Re-check overdue")),IF(N51="Amber",IF(I51="Partly met","Partly met","Re-check due ≤30 days"),""))</f>
        <v/>
      </c>
      <c r="P51" s="21" t="n"/>
    </row>
    <row r="52" ht="28" customHeight="1">
      <c r="A52" s="21" t="inlineStr">
        <is>
          <t>Policies and incidents</t>
        </is>
      </c>
      <c r="B52" s="22" t="n">
        <v>49</v>
      </c>
      <c r="C52" s="23" t="inlineStr">
        <is>
          <t>Grievance log with a written summary of findings and action for each grievance</t>
        </is>
      </c>
      <c r="D52" s="23" t="inlineStr">
        <is>
          <t>Wisconsin (DHS 83.33(1)(d))</t>
        </is>
      </c>
      <c r="E52" s="21" t="inlineStr">
        <is>
          <t>Administrator</t>
        </is>
      </c>
      <c r="F52" s="21" t="n"/>
      <c r="G52" s="21" t="n"/>
      <c r="H52" s="24" t="n"/>
      <c r="I52" s="21" t="n"/>
      <c r="J52" s="21" t="n"/>
      <c r="K52" s="22" t="n"/>
      <c r="L52" s="25">
        <f>IF(ISNUMBER(H52),EDATE(H52,IF(ISNUMBER(K52),K52,3)),"")</f>
        <v/>
      </c>
      <c r="M52" s="26">
        <f>IF(L52="","",IF(ISNUMBER(L52),L52-TODAY(),"Check date"))</f>
        <v/>
      </c>
      <c r="N52" s="27">
        <f>IF(LEN(C52)=0,"",IF(I52="N/A","N/A",IF(OR(I52="",NOT(ISNUMBER(H52))),"Not checked",IF(OR(I52="Not met",LEN(J52)=0,M52&lt;0),"Red",IF(OR(I52="Partly met",M52&lt;=30),"Amber","Green")))))</f>
        <v/>
      </c>
      <c r="O52" s="27">
        <f>IF(N52="Red",IF(I52="Not met","Not met",IF(LEN(J52)=0,"No evidence location","Re-check overdue")),IF(N52="Amber",IF(I52="Partly met","Partly met","Re-check due ≤30 days"),""))</f>
        <v/>
      </c>
      <c r="P52" s="21" t="n"/>
    </row>
    <row r="53" ht="28" customHeight="1">
      <c r="A53" s="21" t="inlineStr">
        <is>
          <t>Policies and incidents</t>
        </is>
      </c>
      <c r="B53" s="22" t="n">
        <v>50</v>
      </c>
      <c r="C53" s="23" t="inlineStr">
        <is>
          <t>Records kept for your state's retention period</t>
        </is>
      </c>
      <c r="D53" s="23" t="inlineStr">
        <is>
          <t>Wisconsin: 2 years general, 7 years resident, 3 years employee (DHS 83.13(2))</t>
        </is>
      </c>
      <c r="E53" s="21" t="inlineStr">
        <is>
          <t>Administrator</t>
        </is>
      </c>
      <c r="F53" s="21" t="n"/>
      <c r="G53" s="21" t="n"/>
      <c r="H53" s="24" t="n"/>
      <c r="I53" s="21" t="n"/>
      <c r="J53" s="21" t="n"/>
      <c r="K53" s="22" t="n"/>
      <c r="L53" s="25">
        <f>IF(ISNUMBER(H53),EDATE(H53,IF(ISNUMBER(K53),K53,3)),"")</f>
        <v/>
      </c>
      <c r="M53" s="26">
        <f>IF(L53="","",IF(ISNUMBER(L53),L53-TODAY(),"Check date"))</f>
        <v/>
      </c>
      <c r="N53" s="27">
        <f>IF(LEN(C53)=0,"",IF(I53="N/A","N/A",IF(OR(I53="",NOT(ISNUMBER(H53))),"Not checked",IF(OR(I53="Not met",LEN(J53)=0,M53&lt;0),"Red",IF(OR(I53="Partly met",M53&lt;=30),"Amber","Green")))))</f>
        <v/>
      </c>
      <c r="O53" s="27">
        <f>IF(N53="Red",IF(I53="Not met","Not met",IF(LEN(J53)=0,"No evidence location","Re-check overdue")),IF(N53="Amber",IF(I53="Partly met","Partly met","Re-check due ≤30 days"),""))</f>
        <v/>
      </c>
      <c r="P53" s="21" t="n"/>
    </row>
    <row r="54">
      <c r="A54" s="21" t="n"/>
      <c r="B54" s="22" t="n"/>
      <c r="C54" s="23" t="n"/>
      <c r="D54" s="23" t="n"/>
      <c r="E54" s="21" t="n"/>
      <c r="F54" s="21" t="n"/>
      <c r="G54" s="21" t="n"/>
      <c r="H54" s="24" t="n"/>
      <c r="I54" s="21" t="n"/>
      <c r="J54" s="21" t="n"/>
      <c r="K54" s="22" t="n"/>
      <c r="L54" s="25">
        <f>IF(ISNUMBER(H54),EDATE(H54,IF(ISNUMBER(K54),K54,3)),"")</f>
        <v/>
      </c>
      <c r="M54" s="26">
        <f>IF(L54="","",IF(ISNUMBER(L54),L54-TODAY(),"Check date"))</f>
        <v/>
      </c>
      <c r="N54" s="27">
        <f>IF(LEN(C54)=0,"",IF(I54="N/A","N/A",IF(OR(I54="",NOT(ISNUMBER(H54))),"Not checked",IF(OR(I54="Not met",LEN(J54)=0,M54&lt;0),"Red",IF(OR(I54="Partly met",M54&lt;=30),"Amber","Green")))))</f>
        <v/>
      </c>
      <c r="O54" s="27">
        <f>IF(N54="Red",IF(I54="Not met","Not met",IF(LEN(J54)=0,"No evidence location","Re-check overdue")),IF(N54="Amber",IF(I54="Partly met","Partly met","Re-check due ≤30 days"),""))</f>
        <v/>
      </c>
      <c r="P54" s="21" t="n"/>
    </row>
    <row r="55">
      <c r="A55" s="21" t="n"/>
      <c r="B55" s="22" t="n"/>
      <c r="C55" s="23" t="n"/>
      <c r="D55" s="23" t="n"/>
      <c r="E55" s="21" t="n"/>
      <c r="F55" s="21" t="n"/>
      <c r="G55" s="21" t="n"/>
      <c r="H55" s="24" t="n"/>
      <c r="I55" s="21" t="n"/>
      <c r="J55" s="21" t="n"/>
      <c r="K55" s="22" t="n"/>
      <c r="L55" s="25">
        <f>IF(ISNUMBER(H55),EDATE(H55,IF(ISNUMBER(K55),K55,3)),"")</f>
        <v/>
      </c>
      <c r="M55" s="26">
        <f>IF(L55="","",IF(ISNUMBER(L55),L55-TODAY(),"Check date"))</f>
        <v/>
      </c>
      <c r="N55" s="27">
        <f>IF(LEN(C55)=0,"",IF(I55="N/A","N/A",IF(OR(I55="",NOT(ISNUMBER(H55))),"Not checked",IF(OR(I55="Not met",LEN(J55)=0,M55&lt;0),"Red",IF(OR(I55="Partly met",M55&lt;=30),"Amber","Green")))))</f>
        <v/>
      </c>
      <c r="O55" s="27">
        <f>IF(N55="Red",IF(I55="Not met","Not met",IF(LEN(J55)=0,"No evidence location","Re-check overdue")),IF(N55="Amber",IF(I55="Partly met","Partly met","Re-check due ≤30 days"),""))</f>
        <v/>
      </c>
      <c r="P55" s="21" t="n"/>
    </row>
    <row r="56">
      <c r="A56" s="21" t="n"/>
      <c r="B56" s="22" t="n"/>
      <c r="C56" s="23" t="n"/>
      <c r="D56" s="23" t="n"/>
      <c r="E56" s="21" t="n"/>
      <c r="F56" s="21" t="n"/>
      <c r="G56" s="21" t="n"/>
      <c r="H56" s="24" t="n"/>
      <c r="I56" s="21" t="n"/>
      <c r="J56" s="21" t="n"/>
      <c r="K56" s="22" t="n"/>
      <c r="L56" s="25">
        <f>IF(ISNUMBER(H56),EDATE(H56,IF(ISNUMBER(K56),K56,3)),"")</f>
        <v/>
      </c>
      <c r="M56" s="26">
        <f>IF(L56="","",IF(ISNUMBER(L56),L56-TODAY(),"Check date"))</f>
        <v/>
      </c>
      <c r="N56" s="27">
        <f>IF(LEN(C56)=0,"",IF(I56="N/A","N/A",IF(OR(I56="",NOT(ISNUMBER(H56))),"Not checked",IF(OR(I56="Not met",LEN(J56)=0,M56&lt;0),"Red",IF(OR(I56="Partly met",M56&lt;=30),"Amber","Green")))))</f>
        <v/>
      </c>
      <c r="O56" s="27">
        <f>IF(N56="Red",IF(I56="Not met","Not met",IF(LEN(J56)=0,"No evidence location","Re-check overdue")),IF(N56="Amber",IF(I56="Partly met","Partly met","Re-check due ≤30 days"),""))</f>
        <v/>
      </c>
      <c r="P56" s="21" t="n"/>
    </row>
    <row r="57">
      <c r="A57" s="21" t="n"/>
      <c r="B57" s="22" t="n"/>
      <c r="C57" s="23" t="n"/>
      <c r="D57" s="23" t="n"/>
      <c r="E57" s="21" t="n"/>
      <c r="F57" s="21" t="n"/>
      <c r="G57" s="21" t="n"/>
      <c r="H57" s="24" t="n"/>
      <c r="I57" s="21" t="n"/>
      <c r="J57" s="21" t="n"/>
      <c r="K57" s="22" t="n"/>
      <c r="L57" s="25">
        <f>IF(ISNUMBER(H57),EDATE(H57,IF(ISNUMBER(K57),K57,3)),"")</f>
        <v/>
      </c>
      <c r="M57" s="26">
        <f>IF(L57="","",IF(ISNUMBER(L57),L57-TODAY(),"Check date"))</f>
        <v/>
      </c>
      <c r="N57" s="27">
        <f>IF(LEN(C57)=0,"",IF(I57="N/A","N/A",IF(OR(I57="",NOT(ISNUMBER(H57))),"Not checked",IF(OR(I57="Not met",LEN(J57)=0,M57&lt;0),"Red",IF(OR(I57="Partly met",M57&lt;=30),"Amber","Green")))))</f>
        <v/>
      </c>
      <c r="O57" s="27">
        <f>IF(N57="Red",IF(I57="Not met","Not met",IF(LEN(J57)=0,"No evidence location","Re-check overdue")),IF(N57="Amber",IF(I57="Partly met","Partly met","Re-check due ≤30 days"),""))</f>
        <v/>
      </c>
      <c r="P57" s="21" t="n"/>
    </row>
    <row r="58">
      <c r="A58" s="21" t="n"/>
      <c r="B58" s="22" t="n"/>
      <c r="C58" s="23" t="n"/>
      <c r="D58" s="23" t="n"/>
      <c r="E58" s="21" t="n"/>
      <c r="F58" s="21" t="n"/>
      <c r="G58" s="21" t="n"/>
      <c r="H58" s="24" t="n"/>
      <c r="I58" s="21" t="n"/>
      <c r="J58" s="21" t="n"/>
      <c r="K58" s="22" t="n"/>
      <c r="L58" s="25">
        <f>IF(ISNUMBER(H58),EDATE(H58,IF(ISNUMBER(K58),K58,3)),"")</f>
        <v/>
      </c>
      <c r="M58" s="26">
        <f>IF(L58="","",IF(ISNUMBER(L58),L58-TODAY(),"Check date"))</f>
        <v/>
      </c>
      <c r="N58" s="27">
        <f>IF(LEN(C58)=0,"",IF(I58="N/A","N/A",IF(OR(I58="",NOT(ISNUMBER(H58))),"Not checked",IF(OR(I58="Not met",LEN(J58)=0,M58&lt;0),"Red",IF(OR(I58="Partly met",M58&lt;=30),"Amber","Green")))))</f>
        <v/>
      </c>
      <c r="O58" s="27">
        <f>IF(N58="Red",IF(I58="Not met","Not met",IF(LEN(J58)=0,"No evidence location","Re-check overdue")),IF(N58="Amber",IF(I58="Partly met","Partly met","Re-check due ≤30 days"),""))</f>
        <v/>
      </c>
      <c r="P58" s="21" t="n"/>
    </row>
    <row r="59">
      <c r="A59" s="21" t="n"/>
      <c r="B59" s="22" t="n"/>
      <c r="C59" s="23" t="n"/>
      <c r="D59" s="23" t="n"/>
      <c r="E59" s="21" t="n"/>
      <c r="F59" s="21" t="n"/>
      <c r="G59" s="21" t="n"/>
      <c r="H59" s="24" t="n"/>
      <c r="I59" s="21" t="n"/>
      <c r="J59" s="21" t="n"/>
      <c r="K59" s="22" t="n"/>
      <c r="L59" s="25">
        <f>IF(ISNUMBER(H59),EDATE(H59,IF(ISNUMBER(K59),K59,3)),"")</f>
        <v/>
      </c>
      <c r="M59" s="26">
        <f>IF(L59="","",IF(ISNUMBER(L59),L59-TODAY(),"Check date"))</f>
        <v/>
      </c>
      <c r="N59" s="27">
        <f>IF(LEN(C59)=0,"",IF(I59="N/A","N/A",IF(OR(I59="",NOT(ISNUMBER(H59))),"Not checked",IF(OR(I59="Not met",LEN(J59)=0,M59&lt;0),"Red",IF(OR(I59="Partly met",M59&lt;=30),"Amber","Green")))))</f>
        <v/>
      </c>
      <c r="O59" s="27">
        <f>IF(N59="Red",IF(I59="Not met","Not met",IF(LEN(J59)=0,"No evidence location","Re-check overdue")),IF(N59="Amber",IF(I59="Partly met","Partly met","Re-check due ≤30 days"),""))</f>
        <v/>
      </c>
      <c r="P59" s="21" t="n"/>
    </row>
    <row r="60">
      <c r="A60" s="21" t="n"/>
      <c r="B60" s="22" t="n"/>
      <c r="C60" s="23" t="n"/>
      <c r="D60" s="23" t="n"/>
      <c r="E60" s="21" t="n"/>
      <c r="F60" s="21" t="n"/>
      <c r="G60" s="21" t="n"/>
      <c r="H60" s="24" t="n"/>
      <c r="I60" s="21" t="n"/>
      <c r="J60" s="21" t="n"/>
      <c r="K60" s="22" t="n"/>
      <c r="L60" s="25">
        <f>IF(ISNUMBER(H60),EDATE(H60,IF(ISNUMBER(K60),K60,3)),"")</f>
        <v/>
      </c>
      <c r="M60" s="26">
        <f>IF(L60="","",IF(ISNUMBER(L60),L60-TODAY(),"Check date"))</f>
        <v/>
      </c>
      <c r="N60" s="27">
        <f>IF(LEN(C60)=0,"",IF(I60="N/A","N/A",IF(OR(I60="",NOT(ISNUMBER(H60))),"Not checked",IF(OR(I60="Not met",LEN(J60)=0,M60&lt;0),"Red",IF(OR(I60="Partly met",M60&lt;=30),"Amber","Green")))))</f>
        <v/>
      </c>
      <c r="O60" s="27">
        <f>IF(N60="Red",IF(I60="Not met","Not met",IF(LEN(J60)=0,"No evidence location","Re-check overdue")),IF(N60="Amber",IF(I60="Partly met","Partly met","Re-check due ≤30 days"),""))</f>
        <v/>
      </c>
      <c r="P60" s="21" t="n"/>
    </row>
    <row r="61">
      <c r="A61" s="21" t="n"/>
      <c r="B61" s="22" t="n"/>
      <c r="C61" s="23" t="n"/>
      <c r="D61" s="23" t="n"/>
      <c r="E61" s="21" t="n"/>
      <c r="F61" s="21" t="n"/>
      <c r="G61" s="21" t="n"/>
      <c r="H61" s="24" t="n"/>
      <c r="I61" s="21" t="n"/>
      <c r="J61" s="21" t="n"/>
      <c r="K61" s="22" t="n"/>
      <c r="L61" s="25">
        <f>IF(ISNUMBER(H61),EDATE(H61,IF(ISNUMBER(K61),K61,3)),"")</f>
        <v/>
      </c>
      <c r="M61" s="26">
        <f>IF(L61="","",IF(ISNUMBER(L61),L61-TODAY(),"Check date"))</f>
        <v/>
      </c>
      <c r="N61" s="27">
        <f>IF(LEN(C61)=0,"",IF(I61="N/A","N/A",IF(OR(I61="",NOT(ISNUMBER(H61))),"Not checked",IF(OR(I61="Not met",LEN(J61)=0,M61&lt;0),"Red",IF(OR(I61="Partly met",M61&lt;=30),"Amber","Green")))))</f>
        <v/>
      </c>
      <c r="O61" s="27">
        <f>IF(N61="Red",IF(I61="Not met","Not met",IF(LEN(J61)=0,"No evidence location","Re-check overdue")),IF(N61="Amber",IF(I61="Partly met","Partly met","Re-check due ≤30 days"),""))</f>
        <v/>
      </c>
      <c r="P61" s="21" t="n"/>
    </row>
    <row r="62">
      <c r="A62" s="21" t="n"/>
      <c r="B62" s="22" t="n"/>
      <c r="C62" s="23" t="n"/>
      <c r="D62" s="23" t="n"/>
      <c r="E62" s="21" t="n"/>
      <c r="F62" s="21" t="n"/>
      <c r="G62" s="21" t="n"/>
      <c r="H62" s="24" t="n"/>
      <c r="I62" s="21" t="n"/>
      <c r="J62" s="21" t="n"/>
      <c r="K62" s="22" t="n"/>
      <c r="L62" s="25">
        <f>IF(ISNUMBER(H62),EDATE(H62,IF(ISNUMBER(K62),K62,3)),"")</f>
        <v/>
      </c>
      <c r="M62" s="26">
        <f>IF(L62="","",IF(ISNUMBER(L62),L62-TODAY(),"Check date"))</f>
        <v/>
      </c>
      <c r="N62" s="27">
        <f>IF(LEN(C62)=0,"",IF(I62="N/A","N/A",IF(OR(I62="",NOT(ISNUMBER(H62))),"Not checked",IF(OR(I62="Not met",LEN(J62)=0,M62&lt;0),"Red",IF(OR(I62="Partly met",M62&lt;=30),"Amber","Green")))))</f>
        <v/>
      </c>
      <c r="O62" s="27">
        <f>IF(N62="Red",IF(I62="Not met","Not met",IF(LEN(J62)=0,"No evidence location","Re-check overdue")),IF(N62="Amber",IF(I62="Partly met","Partly met","Re-check due ≤30 days"),""))</f>
        <v/>
      </c>
      <c r="P62" s="21" t="n"/>
    </row>
    <row r="63">
      <c r="A63" s="21" t="n"/>
      <c r="B63" s="22" t="n"/>
      <c r="C63" s="23" t="n"/>
      <c r="D63" s="23" t="n"/>
      <c r="E63" s="21" t="n"/>
      <c r="F63" s="21" t="n"/>
      <c r="G63" s="21" t="n"/>
      <c r="H63" s="24" t="n"/>
      <c r="I63" s="21" t="n"/>
      <c r="J63" s="21" t="n"/>
      <c r="K63" s="22" t="n"/>
      <c r="L63" s="25">
        <f>IF(ISNUMBER(H63),EDATE(H63,IF(ISNUMBER(K63),K63,3)),"")</f>
        <v/>
      </c>
      <c r="M63" s="26">
        <f>IF(L63="","",IF(ISNUMBER(L63),L63-TODAY(),"Check date"))</f>
        <v/>
      </c>
      <c r="N63" s="27">
        <f>IF(LEN(C63)=0,"",IF(I63="N/A","N/A",IF(OR(I63="",NOT(ISNUMBER(H63))),"Not checked",IF(OR(I63="Not met",LEN(J63)=0,M63&lt;0),"Red",IF(OR(I63="Partly met",M63&lt;=30),"Amber","Green")))))</f>
        <v/>
      </c>
      <c r="O63" s="27">
        <f>IF(N63="Red",IF(I63="Not met","Not met",IF(LEN(J63)=0,"No evidence location","Re-check overdue")),IF(N63="Amber",IF(I63="Partly met","Partly met","Re-check due ≤30 days"),""))</f>
        <v/>
      </c>
      <c r="P63" s="21" t="n"/>
    </row>
    <row r="64">
      <c r="A64" s="21" t="n"/>
      <c r="B64" s="22" t="n"/>
      <c r="C64" s="23" t="n"/>
      <c r="D64" s="23" t="n"/>
      <c r="E64" s="21" t="n"/>
      <c r="F64" s="21" t="n"/>
      <c r="G64" s="21" t="n"/>
      <c r="H64" s="24" t="n"/>
      <c r="I64" s="21" t="n"/>
      <c r="J64" s="21" t="n"/>
      <c r="K64" s="22" t="n"/>
      <c r="L64" s="25">
        <f>IF(ISNUMBER(H64),EDATE(H64,IF(ISNUMBER(K64),K64,3)),"")</f>
        <v/>
      </c>
      <c r="M64" s="26">
        <f>IF(L64="","",IF(ISNUMBER(L64),L64-TODAY(),"Check date"))</f>
        <v/>
      </c>
      <c r="N64" s="27">
        <f>IF(LEN(C64)=0,"",IF(I64="N/A","N/A",IF(OR(I64="",NOT(ISNUMBER(H64))),"Not checked",IF(OR(I64="Not met",LEN(J64)=0,M64&lt;0),"Red",IF(OR(I64="Partly met",M64&lt;=30),"Amber","Green")))))</f>
        <v/>
      </c>
      <c r="O64" s="27">
        <f>IF(N64="Red",IF(I64="Not met","Not met",IF(LEN(J64)=0,"No evidence location","Re-check overdue")),IF(N64="Amber",IF(I64="Partly met","Partly met","Re-check due ≤30 days"),""))</f>
        <v/>
      </c>
      <c r="P64" s="21" t="n"/>
    </row>
    <row r="65">
      <c r="A65" s="21" t="n"/>
      <c r="B65" s="22" t="n"/>
      <c r="C65" s="23" t="n"/>
      <c r="D65" s="23" t="n"/>
      <c r="E65" s="21" t="n"/>
      <c r="F65" s="21" t="n"/>
      <c r="G65" s="21" t="n"/>
      <c r="H65" s="24" t="n"/>
      <c r="I65" s="21" t="n"/>
      <c r="J65" s="21" t="n"/>
      <c r="K65" s="22" t="n"/>
      <c r="L65" s="25">
        <f>IF(ISNUMBER(H65),EDATE(H65,IF(ISNUMBER(K65),K65,3)),"")</f>
        <v/>
      </c>
      <c r="M65" s="26">
        <f>IF(L65="","",IF(ISNUMBER(L65),L65-TODAY(),"Check date"))</f>
        <v/>
      </c>
      <c r="N65" s="27">
        <f>IF(LEN(C65)=0,"",IF(I65="N/A","N/A",IF(OR(I65="",NOT(ISNUMBER(H65))),"Not checked",IF(OR(I65="Not met",LEN(J65)=0,M65&lt;0),"Red",IF(OR(I65="Partly met",M65&lt;=30),"Amber","Green")))))</f>
        <v/>
      </c>
      <c r="O65" s="27">
        <f>IF(N65="Red",IF(I65="Not met","Not met",IF(LEN(J65)=0,"No evidence location","Re-check overdue")),IF(N65="Amber",IF(I65="Partly met","Partly met","Re-check due ≤30 days"),""))</f>
        <v/>
      </c>
      <c r="P65" s="21" t="n"/>
    </row>
    <row r="66">
      <c r="A66" s="21" t="n"/>
      <c r="B66" s="22" t="n"/>
      <c r="C66" s="23" t="n"/>
      <c r="D66" s="23" t="n"/>
      <c r="E66" s="21" t="n"/>
      <c r="F66" s="21" t="n"/>
      <c r="G66" s="21" t="n"/>
      <c r="H66" s="24" t="n"/>
      <c r="I66" s="21" t="n"/>
      <c r="J66" s="21" t="n"/>
      <c r="K66" s="22" t="n"/>
      <c r="L66" s="25">
        <f>IF(ISNUMBER(H66),EDATE(H66,IF(ISNUMBER(K66),K66,3)),"")</f>
        <v/>
      </c>
      <c r="M66" s="26">
        <f>IF(L66="","",IF(ISNUMBER(L66),L66-TODAY(),"Check date"))</f>
        <v/>
      </c>
      <c r="N66" s="27">
        <f>IF(LEN(C66)=0,"",IF(I66="N/A","N/A",IF(OR(I66="",NOT(ISNUMBER(H66))),"Not checked",IF(OR(I66="Not met",LEN(J66)=0,M66&lt;0),"Red",IF(OR(I66="Partly met",M66&lt;=30),"Amber","Green")))))</f>
        <v/>
      </c>
      <c r="O66" s="27">
        <f>IF(N66="Red",IF(I66="Not met","Not met",IF(LEN(J66)=0,"No evidence location","Re-check overdue")),IF(N66="Amber",IF(I66="Partly met","Partly met","Re-check due ≤30 days"),""))</f>
        <v/>
      </c>
      <c r="P66" s="21" t="n"/>
    </row>
    <row r="67">
      <c r="A67" s="21" t="n"/>
      <c r="B67" s="22" t="n"/>
      <c r="C67" s="23" t="n"/>
      <c r="D67" s="23" t="n"/>
      <c r="E67" s="21" t="n"/>
      <c r="F67" s="21" t="n"/>
      <c r="G67" s="21" t="n"/>
      <c r="H67" s="24" t="n"/>
      <c r="I67" s="21" t="n"/>
      <c r="J67" s="21" t="n"/>
      <c r="K67" s="22" t="n"/>
      <c r="L67" s="25">
        <f>IF(ISNUMBER(H67),EDATE(H67,IF(ISNUMBER(K67),K67,3)),"")</f>
        <v/>
      </c>
      <c r="M67" s="26">
        <f>IF(L67="","",IF(ISNUMBER(L67),L67-TODAY(),"Check date"))</f>
        <v/>
      </c>
      <c r="N67" s="27">
        <f>IF(LEN(C67)=0,"",IF(I67="N/A","N/A",IF(OR(I67="",NOT(ISNUMBER(H67))),"Not checked",IF(OR(I67="Not met",LEN(J67)=0,M67&lt;0),"Red",IF(OR(I67="Partly met",M67&lt;=30),"Amber","Green")))))</f>
        <v/>
      </c>
      <c r="O67" s="27">
        <f>IF(N67="Red",IF(I67="Not met","Not met",IF(LEN(J67)=0,"No evidence location","Re-check overdue")),IF(N67="Amber",IF(I67="Partly met","Partly met","Re-check due ≤30 days"),""))</f>
        <v/>
      </c>
      <c r="P67" s="21" t="n"/>
    </row>
    <row r="68">
      <c r="A68" s="21" t="n"/>
      <c r="B68" s="22" t="n"/>
      <c r="C68" s="23" t="n"/>
      <c r="D68" s="23" t="n"/>
      <c r="E68" s="21" t="n"/>
      <c r="F68" s="21" t="n"/>
      <c r="G68" s="21" t="n"/>
      <c r="H68" s="24" t="n"/>
      <c r="I68" s="21" t="n"/>
      <c r="J68" s="21" t="n"/>
      <c r="K68" s="22" t="n"/>
      <c r="L68" s="25">
        <f>IF(ISNUMBER(H68),EDATE(H68,IF(ISNUMBER(K68),K68,3)),"")</f>
        <v/>
      </c>
      <c r="M68" s="26">
        <f>IF(L68="","",IF(ISNUMBER(L68),L68-TODAY(),"Check date"))</f>
        <v/>
      </c>
      <c r="N68" s="27">
        <f>IF(LEN(C68)=0,"",IF(I68="N/A","N/A",IF(OR(I68="",NOT(ISNUMBER(H68))),"Not checked",IF(OR(I68="Not met",LEN(J68)=0,M68&lt;0),"Red",IF(OR(I68="Partly met",M68&lt;=30),"Amber","Green")))))</f>
        <v/>
      </c>
      <c r="O68" s="27">
        <f>IF(N68="Red",IF(I68="Not met","Not met",IF(LEN(J68)=0,"No evidence location","Re-check overdue")),IF(N68="Amber",IF(I68="Partly met","Partly met","Re-check due ≤30 days"),""))</f>
        <v/>
      </c>
      <c r="P68" s="21" t="n"/>
    </row>
    <row r="69">
      <c r="A69" s="21" t="n"/>
      <c r="B69" s="22" t="n"/>
      <c r="C69" s="23" t="n"/>
      <c r="D69" s="23" t="n"/>
      <c r="E69" s="21" t="n"/>
      <c r="F69" s="21" t="n"/>
      <c r="G69" s="21" t="n"/>
      <c r="H69" s="24" t="n"/>
      <c r="I69" s="21" t="n"/>
      <c r="J69" s="21" t="n"/>
      <c r="K69" s="22" t="n"/>
      <c r="L69" s="25">
        <f>IF(ISNUMBER(H69),EDATE(H69,IF(ISNUMBER(K69),K69,3)),"")</f>
        <v/>
      </c>
      <c r="M69" s="26">
        <f>IF(L69="","",IF(ISNUMBER(L69),L69-TODAY(),"Check date"))</f>
        <v/>
      </c>
      <c r="N69" s="27">
        <f>IF(LEN(C69)=0,"",IF(I69="N/A","N/A",IF(OR(I69="",NOT(ISNUMBER(H69))),"Not checked",IF(OR(I69="Not met",LEN(J69)=0,M69&lt;0),"Red",IF(OR(I69="Partly met",M69&lt;=30),"Amber","Green")))))</f>
        <v/>
      </c>
      <c r="O69" s="27">
        <f>IF(N69="Red",IF(I69="Not met","Not met",IF(LEN(J69)=0,"No evidence location","Re-check overdue")),IF(N69="Amber",IF(I69="Partly met","Partly met","Re-check due ≤30 days"),""))</f>
        <v/>
      </c>
      <c r="P69" s="21" t="n"/>
    </row>
    <row r="70">
      <c r="A70" s="21" t="n"/>
      <c r="B70" s="22" t="n"/>
      <c r="C70" s="23" t="n"/>
      <c r="D70" s="23" t="n"/>
      <c r="E70" s="21" t="n"/>
      <c r="F70" s="21" t="n"/>
      <c r="G70" s="21" t="n"/>
      <c r="H70" s="24" t="n"/>
      <c r="I70" s="21" t="n"/>
      <c r="J70" s="21" t="n"/>
      <c r="K70" s="22" t="n"/>
      <c r="L70" s="25">
        <f>IF(ISNUMBER(H70),EDATE(H70,IF(ISNUMBER(K70),K70,3)),"")</f>
        <v/>
      </c>
      <c r="M70" s="26">
        <f>IF(L70="","",IF(ISNUMBER(L70),L70-TODAY(),"Check date"))</f>
        <v/>
      </c>
      <c r="N70" s="27">
        <f>IF(LEN(C70)=0,"",IF(I70="N/A","N/A",IF(OR(I70="",NOT(ISNUMBER(H70))),"Not checked",IF(OR(I70="Not met",LEN(J70)=0,M70&lt;0),"Red",IF(OR(I70="Partly met",M70&lt;=30),"Amber","Green")))))</f>
        <v/>
      </c>
      <c r="O70" s="27">
        <f>IF(N70="Red",IF(I70="Not met","Not met",IF(LEN(J70)=0,"No evidence location","Re-check overdue")),IF(N70="Amber",IF(I70="Partly met","Partly met","Re-check due ≤30 days"),""))</f>
        <v/>
      </c>
      <c r="P70" s="21" t="n"/>
    </row>
    <row r="71">
      <c r="A71" s="21" t="n"/>
      <c r="B71" s="22" t="n"/>
      <c r="C71" s="23" t="n"/>
      <c r="D71" s="23" t="n"/>
      <c r="E71" s="21" t="n"/>
      <c r="F71" s="21" t="n"/>
      <c r="G71" s="21" t="n"/>
      <c r="H71" s="24" t="n"/>
      <c r="I71" s="21" t="n"/>
      <c r="J71" s="21" t="n"/>
      <c r="K71" s="22" t="n"/>
      <c r="L71" s="25">
        <f>IF(ISNUMBER(H71),EDATE(H71,IF(ISNUMBER(K71),K71,3)),"")</f>
        <v/>
      </c>
      <c r="M71" s="26">
        <f>IF(L71="","",IF(ISNUMBER(L71),L71-TODAY(),"Check date"))</f>
        <v/>
      </c>
      <c r="N71" s="27">
        <f>IF(LEN(C71)=0,"",IF(I71="N/A","N/A",IF(OR(I71="",NOT(ISNUMBER(H71))),"Not checked",IF(OR(I71="Not met",LEN(J71)=0,M71&lt;0),"Red",IF(OR(I71="Partly met",M71&lt;=30),"Amber","Green")))))</f>
        <v/>
      </c>
      <c r="O71" s="27">
        <f>IF(N71="Red",IF(I71="Not met","Not met",IF(LEN(J71)=0,"No evidence location","Re-check overdue")),IF(N71="Amber",IF(I71="Partly met","Partly met","Re-check due ≤30 days"),""))</f>
        <v/>
      </c>
      <c r="P71" s="21" t="n"/>
    </row>
    <row r="72">
      <c r="A72" s="21" t="n"/>
      <c r="B72" s="22" t="n"/>
      <c r="C72" s="23" t="n"/>
      <c r="D72" s="23" t="n"/>
      <c r="E72" s="21" t="n"/>
      <c r="F72" s="21" t="n"/>
      <c r="G72" s="21" t="n"/>
      <c r="H72" s="24" t="n"/>
      <c r="I72" s="21" t="n"/>
      <c r="J72" s="21" t="n"/>
      <c r="K72" s="22" t="n"/>
      <c r="L72" s="25">
        <f>IF(ISNUMBER(H72),EDATE(H72,IF(ISNUMBER(K72),K72,3)),"")</f>
        <v/>
      </c>
      <c r="M72" s="26">
        <f>IF(L72="","",IF(ISNUMBER(L72),L72-TODAY(),"Check date"))</f>
        <v/>
      </c>
      <c r="N72" s="27">
        <f>IF(LEN(C72)=0,"",IF(I72="N/A","N/A",IF(OR(I72="",NOT(ISNUMBER(H72))),"Not checked",IF(OR(I72="Not met",LEN(J72)=0,M72&lt;0),"Red",IF(OR(I72="Partly met",M72&lt;=30),"Amber","Green")))))</f>
        <v/>
      </c>
      <c r="O72" s="27">
        <f>IF(N72="Red",IF(I72="Not met","Not met",IF(LEN(J72)=0,"No evidence location","Re-check overdue")),IF(N72="Amber",IF(I72="Partly met","Partly met","Re-check due ≤30 days"),""))</f>
        <v/>
      </c>
      <c r="P72" s="21" t="n"/>
    </row>
    <row r="73">
      <c r="A73" s="21" t="n"/>
      <c r="B73" s="22" t="n"/>
      <c r="C73" s="23" t="n"/>
      <c r="D73" s="23" t="n"/>
      <c r="E73" s="21" t="n"/>
      <c r="F73" s="21" t="n"/>
      <c r="G73" s="21" t="n"/>
      <c r="H73" s="24" t="n"/>
      <c r="I73" s="21" t="n"/>
      <c r="J73" s="21" t="n"/>
      <c r="K73" s="22" t="n"/>
      <c r="L73" s="25">
        <f>IF(ISNUMBER(H73),EDATE(H73,IF(ISNUMBER(K73),K73,3)),"")</f>
        <v/>
      </c>
      <c r="M73" s="26">
        <f>IF(L73="","",IF(ISNUMBER(L73),L73-TODAY(),"Check date"))</f>
        <v/>
      </c>
      <c r="N73" s="27">
        <f>IF(LEN(C73)=0,"",IF(I73="N/A","N/A",IF(OR(I73="",NOT(ISNUMBER(H73))),"Not checked",IF(OR(I73="Not met",LEN(J73)=0,M73&lt;0),"Red",IF(OR(I73="Partly met",M73&lt;=30),"Amber","Green")))))</f>
        <v/>
      </c>
      <c r="O73" s="27">
        <f>IF(N73="Red",IF(I73="Not met","Not met",IF(LEN(J73)=0,"No evidence location","Re-check overdue")),IF(N73="Amber",IF(I73="Partly met","Partly met","Re-check due ≤30 days"),""))</f>
        <v/>
      </c>
      <c r="P73" s="21" t="n"/>
    </row>
    <row r="74">
      <c r="A74" s="21" t="n"/>
      <c r="B74" s="22" t="n"/>
      <c r="C74" s="23" t="n"/>
      <c r="D74" s="23" t="n"/>
      <c r="E74" s="21" t="n"/>
      <c r="F74" s="21" t="n"/>
      <c r="G74" s="21" t="n"/>
      <c r="H74" s="24" t="n"/>
      <c r="I74" s="21" t="n"/>
      <c r="J74" s="21" t="n"/>
      <c r="K74" s="22" t="n"/>
      <c r="L74" s="25">
        <f>IF(ISNUMBER(H74),EDATE(H74,IF(ISNUMBER(K74),K74,3)),"")</f>
        <v/>
      </c>
      <c r="M74" s="26">
        <f>IF(L74="","",IF(ISNUMBER(L74),L74-TODAY(),"Check date"))</f>
        <v/>
      </c>
      <c r="N74" s="27">
        <f>IF(LEN(C74)=0,"",IF(I74="N/A","N/A",IF(OR(I74="",NOT(ISNUMBER(H74))),"Not checked",IF(OR(I74="Not met",LEN(J74)=0,M74&lt;0),"Red",IF(OR(I74="Partly met",M74&lt;=30),"Amber","Green")))))</f>
        <v/>
      </c>
      <c r="O74" s="27">
        <f>IF(N74="Red",IF(I74="Not met","Not met",IF(LEN(J74)=0,"No evidence location","Re-check overdue")),IF(N74="Amber",IF(I74="Partly met","Partly met","Re-check due ≤30 days"),""))</f>
        <v/>
      </c>
      <c r="P74" s="21" t="n"/>
    </row>
    <row r="75">
      <c r="A75" s="21" t="n"/>
      <c r="B75" s="22" t="n"/>
      <c r="C75" s="23" t="n"/>
      <c r="D75" s="23" t="n"/>
      <c r="E75" s="21" t="n"/>
      <c r="F75" s="21" t="n"/>
      <c r="G75" s="21" t="n"/>
      <c r="H75" s="24" t="n"/>
      <c r="I75" s="21" t="n"/>
      <c r="J75" s="21" t="n"/>
      <c r="K75" s="22" t="n"/>
      <c r="L75" s="25">
        <f>IF(ISNUMBER(H75),EDATE(H75,IF(ISNUMBER(K75),K75,3)),"")</f>
        <v/>
      </c>
      <c r="M75" s="26">
        <f>IF(L75="","",IF(ISNUMBER(L75),L75-TODAY(),"Check date"))</f>
        <v/>
      </c>
      <c r="N75" s="27">
        <f>IF(LEN(C75)=0,"",IF(I75="N/A","N/A",IF(OR(I75="",NOT(ISNUMBER(H75))),"Not checked",IF(OR(I75="Not met",LEN(J75)=0,M75&lt;0),"Red",IF(OR(I75="Partly met",M75&lt;=30),"Amber","Green")))))</f>
        <v/>
      </c>
      <c r="O75" s="27">
        <f>IF(N75="Red",IF(I75="Not met","Not met",IF(LEN(J75)=0,"No evidence location","Re-check overdue")),IF(N75="Amber",IF(I75="Partly met","Partly met","Re-check due ≤30 days"),""))</f>
        <v/>
      </c>
      <c r="P75" s="21" t="n"/>
    </row>
    <row r="76">
      <c r="A76" s="21" t="n"/>
      <c r="B76" s="22" t="n"/>
      <c r="C76" s="23" t="n"/>
      <c r="D76" s="23" t="n"/>
      <c r="E76" s="21" t="n"/>
      <c r="F76" s="21" t="n"/>
      <c r="G76" s="21" t="n"/>
      <c r="H76" s="24" t="n"/>
      <c r="I76" s="21" t="n"/>
      <c r="J76" s="21" t="n"/>
      <c r="K76" s="22" t="n"/>
      <c r="L76" s="25">
        <f>IF(ISNUMBER(H76),EDATE(H76,IF(ISNUMBER(K76),K76,3)),"")</f>
        <v/>
      </c>
      <c r="M76" s="26">
        <f>IF(L76="","",IF(ISNUMBER(L76),L76-TODAY(),"Check date"))</f>
        <v/>
      </c>
      <c r="N76" s="27">
        <f>IF(LEN(C76)=0,"",IF(I76="N/A","N/A",IF(OR(I76="",NOT(ISNUMBER(H76))),"Not checked",IF(OR(I76="Not met",LEN(J76)=0,M76&lt;0),"Red",IF(OR(I76="Partly met",M76&lt;=30),"Amber","Green")))))</f>
        <v/>
      </c>
      <c r="O76" s="27">
        <f>IF(N76="Red",IF(I76="Not met","Not met",IF(LEN(J76)=0,"No evidence location","Re-check overdue")),IF(N76="Amber",IF(I76="Partly met","Partly met","Re-check due ≤30 days"),""))</f>
        <v/>
      </c>
      <c r="P76" s="21" t="n"/>
    </row>
    <row r="77">
      <c r="A77" s="21" t="n"/>
      <c r="B77" s="22" t="n"/>
      <c r="C77" s="23" t="n"/>
      <c r="D77" s="23" t="n"/>
      <c r="E77" s="21" t="n"/>
      <c r="F77" s="21" t="n"/>
      <c r="G77" s="21" t="n"/>
      <c r="H77" s="24" t="n"/>
      <c r="I77" s="21" t="n"/>
      <c r="J77" s="21" t="n"/>
      <c r="K77" s="22" t="n"/>
      <c r="L77" s="25">
        <f>IF(ISNUMBER(H77),EDATE(H77,IF(ISNUMBER(K77),K77,3)),"")</f>
        <v/>
      </c>
      <c r="M77" s="26">
        <f>IF(L77="","",IF(ISNUMBER(L77),L77-TODAY(),"Check date"))</f>
        <v/>
      </c>
      <c r="N77" s="27">
        <f>IF(LEN(C77)=0,"",IF(I77="N/A","N/A",IF(OR(I77="",NOT(ISNUMBER(H77))),"Not checked",IF(OR(I77="Not met",LEN(J77)=0,M77&lt;0),"Red",IF(OR(I77="Partly met",M77&lt;=30),"Amber","Green")))))</f>
        <v/>
      </c>
      <c r="O77" s="27">
        <f>IF(N77="Red",IF(I77="Not met","Not met",IF(LEN(J77)=0,"No evidence location","Re-check overdue")),IF(N77="Amber",IF(I77="Partly met","Partly met","Re-check due ≤30 days"),""))</f>
        <v/>
      </c>
      <c r="P77" s="21" t="n"/>
    </row>
    <row r="78">
      <c r="A78" s="21" t="n"/>
      <c r="B78" s="22" t="n"/>
      <c r="C78" s="23" t="n"/>
      <c r="D78" s="23" t="n"/>
      <c r="E78" s="21" t="n"/>
      <c r="F78" s="21" t="n"/>
      <c r="G78" s="21" t="n"/>
      <c r="H78" s="24" t="n"/>
      <c r="I78" s="21" t="n"/>
      <c r="J78" s="21" t="n"/>
      <c r="K78" s="22" t="n"/>
      <c r="L78" s="25">
        <f>IF(ISNUMBER(H78),EDATE(H78,IF(ISNUMBER(K78),K78,3)),"")</f>
        <v/>
      </c>
      <c r="M78" s="26">
        <f>IF(L78="","",IF(ISNUMBER(L78),L78-TODAY(),"Check date"))</f>
        <v/>
      </c>
      <c r="N78" s="27">
        <f>IF(LEN(C78)=0,"",IF(I78="N/A","N/A",IF(OR(I78="",NOT(ISNUMBER(H78))),"Not checked",IF(OR(I78="Not met",LEN(J78)=0,M78&lt;0),"Red",IF(OR(I78="Partly met",M78&lt;=30),"Amber","Green")))))</f>
        <v/>
      </c>
      <c r="O78" s="27">
        <f>IF(N78="Red",IF(I78="Not met","Not met",IF(LEN(J78)=0,"No evidence location","Re-check overdue")),IF(N78="Amber",IF(I78="Partly met","Partly met","Re-check due ≤30 days"),""))</f>
        <v/>
      </c>
      <c r="P78" s="21" t="n"/>
    </row>
    <row r="79">
      <c r="A79" s="21" t="n"/>
      <c r="B79" s="22" t="n"/>
      <c r="C79" s="23" t="n"/>
      <c r="D79" s="23" t="n"/>
      <c r="E79" s="21" t="n"/>
      <c r="F79" s="21" t="n"/>
      <c r="G79" s="21" t="n"/>
      <c r="H79" s="24" t="n"/>
      <c r="I79" s="21" t="n"/>
      <c r="J79" s="21" t="n"/>
      <c r="K79" s="22" t="n"/>
      <c r="L79" s="25">
        <f>IF(ISNUMBER(H79),EDATE(H79,IF(ISNUMBER(K79),K79,3)),"")</f>
        <v/>
      </c>
      <c r="M79" s="26">
        <f>IF(L79="","",IF(ISNUMBER(L79),L79-TODAY(),"Check date"))</f>
        <v/>
      </c>
      <c r="N79" s="27">
        <f>IF(LEN(C79)=0,"",IF(I79="N/A","N/A",IF(OR(I79="",NOT(ISNUMBER(H79))),"Not checked",IF(OR(I79="Not met",LEN(J79)=0,M79&lt;0),"Red",IF(OR(I79="Partly met",M79&lt;=30),"Amber","Green")))))</f>
        <v/>
      </c>
      <c r="O79" s="27">
        <f>IF(N79="Red",IF(I79="Not met","Not met",IF(LEN(J79)=0,"No evidence location","Re-check overdue")),IF(N79="Amber",IF(I79="Partly met","Partly met","Re-check due ≤30 days"),""))</f>
        <v/>
      </c>
      <c r="P79" s="21" t="n"/>
    </row>
    <row r="80">
      <c r="A80" s="21" t="n"/>
      <c r="B80" s="22" t="n"/>
      <c r="C80" s="23" t="n"/>
      <c r="D80" s="23" t="n"/>
      <c r="E80" s="21" t="n"/>
      <c r="F80" s="21" t="n"/>
      <c r="G80" s="21" t="n"/>
      <c r="H80" s="24" t="n"/>
      <c r="I80" s="21" t="n"/>
      <c r="J80" s="21" t="n"/>
      <c r="K80" s="22" t="n"/>
      <c r="L80" s="25">
        <f>IF(ISNUMBER(H80),EDATE(H80,IF(ISNUMBER(K80),K80,3)),"")</f>
        <v/>
      </c>
      <c r="M80" s="26">
        <f>IF(L80="","",IF(ISNUMBER(L80),L80-TODAY(),"Check date"))</f>
        <v/>
      </c>
      <c r="N80" s="27">
        <f>IF(LEN(C80)=0,"",IF(I80="N/A","N/A",IF(OR(I80="",NOT(ISNUMBER(H80))),"Not checked",IF(OR(I80="Not met",LEN(J80)=0,M80&lt;0),"Red",IF(OR(I80="Partly met",M80&lt;=30),"Amber","Green")))))</f>
        <v/>
      </c>
      <c r="O80" s="27">
        <f>IF(N80="Red",IF(I80="Not met","Not met",IF(LEN(J80)=0,"No evidence location","Re-check overdue")),IF(N80="Amber",IF(I80="Partly met","Partly met","Re-check due ≤30 days"),""))</f>
        <v/>
      </c>
      <c r="P80" s="21" t="n"/>
    </row>
    <row r="81">
      <c r="A81" s="21" t="n"/>
      <c r="B81" s="22" t="n"/>
      <c r="C81" s="23" t="n"/>
      <c r="D81" s="23" t="n"/>
      <c r="E81" s="21" t="n"/>
      <c r="F81" s="21" t="n"/>
      <c r="G81" s="21" t="n"/>
      <c r="H81" s="24" t="n"/>
      <c r="I81" s="21" t="n"/>
      <c r="J81" s="21" t="n"/>
      <c r="K81" s="22" t="n"/>
      <c r="L81" s="25">
        <f>IF(ISNUMBER(H81),EDATE(H81,IF(ISNUMBER(K81),K81,3)),"")</f>
        <v/>
      </c>
      <c r="M81" s="26">
        <f>IF(L81="","",IF(ISNUMBER(L81),L81-TODAY(),"Check date"))</f>
        <v/>
      </c>
      <c r="N81" s="27">
        <f>IF(LEN(C81)=0,"",IF(I81="N/A","N/A",IF(OR(I81="",NOT(ISNUMBER(H81))),"Not checked",IF(OR(I81="Not met",LEN(J81)=0,M81&lt;0),"Red",IF(OR(I81="Partly met",M81&lt;=30),"Amber","Green")))))</f>
        <v/>
      </c>
      <c r="O81" s="27">
        <f>IF(N81="Red",IF(I81="Not met","Not met",IF(LEN(J81)=0,"No evidence location","Re-check overdue")),IF(N81="Amber",IF(I81="Partly met","Partly met","Re-check due ≤30 days"),""))</f>
        <v/>
      </c>
      <c r="P81" s="21" t="n"/>
    </row>
    <row r="82">
      <c r="A82" s="21" t="n"/>
      <c r="B82" s="22" t="n"/>
      <c r="C82" s="23" t="n"/>
      <c r="D82" s="23" t="n"/>
      <c r="E82" s="21" t="n"/>
      <c r="F82" s="21" t="n"/>
      <c r="G82" s="21" t="n"/>
      <c r="H82" s="24" t="n"/>
      <c r="I82" s="21" t="n"/>
      <c r="J82" s="21" t="n"/>
      <c r="K82" s="22" t="n"/>
      <c r="L82" s="25">
        <f>IF(ISNUMBER(H82),EDATE(H82,IF(ISNUMBER(K82),K82,3)),"")</f>
        <v/>
      </c>
      <c r="M82" s="26">
        <f>IF(L82="","",IF(ISNUMBER(L82),L82-TODAY(),"Check date"))</f>
        <v/>
      </c>
      <c r="N82" s="27">
        <f>IF(LEN(C82)=0,"",IF(I82="N/A","N/A",IF(OR(I82="",NOT(ISNUMBER(H82))),"Not checked",IF(OR(I82="Not met",LEN(J82)=0,M82&lt;0),"Red",IF(OR(I82="Partly met",M82&lt;=30),"Amber","Green")))))</f>
        <v/>
      </c>
      <c r="O82" s="27">
        <f>IF(N82="Red",IF(I82="Not met","Not met",IF(LEN(J82)=0,"No evidence location","Re-check overdue")),IF(N82="Amber",IF(I82="Partly met","Partly met","Re-check due ≤30 days"),""))</f>
        <v/>
      </c>
      <c r="P82" s="21" t="n"/>
    </row>
    <row r="83">
      <c r="A83" s="21" t="n"/>
      <c r="B83" s="22" t="n"/>
      <c r="C83" s="23" t="n"/>
      <c r="D83" s="23" t="n"/>
      <c r="E83" s="21" t="n"/>
      <c r="F83" s="21" t="n"/>
      <c r="G83" s="21" t="n"/>
      <c r="H83" s="24" t="n"/>
      <c r="I83" s="21" t="n"/>
      <c r="J83" s="21" t="n"/>
      <c r="K83" s="22" t="n"/>
      <c r="L83" s="25">
        <f>IF(ISNUMBER(H83),EDATE(H83,IF(ISNUMBER(K83),K83,3)),"")</f>
        <v/>
      </c>
      <c r="M83" s="26">
        <f>IF(L83="","",IF(ISNUMBER(L83),L83-TODAY(),"Check date"))</f>
        <v/>
      </c>
      <c r="N83" s="27">
        <f>IF(LEN(C83)=0,"",IF(I83="N/A","N/A",IF(OR(I83="",NOT(ISNUMBER(H83))),"Not checked",IF(OR(I83="Not met",LEN(J83)=0,M83&lt;0),"Red",IF(OR(I83="Partly met",M83&lt;=30),"Amber","Green")))))</f>
        <v/>
      </c>
      <c r="O83" s="27">
        <f>IF(N83="Red",IF(I83="Not met","Not met",IF(LEN(J83)=0,"No evidence location","Re-check overdue")),IF(N83="Amber",IF(I83="Partly met","Partly met","Re-check due ≤30 days"),""))</f>
        <v/>
      </c>
      <c r="P83" s="21" t="n"/>
    </row>
    <row r="84">
      <c r="A84" s="21" t="n"/>
      <c r="B84" s="22" t="n"/>
      <c r="C84" s="23" t="n"/>
      <c r="D84" s="23" t="n"/>
      <c r="E84" s="21" t="n"/>
      <c r="F84" s="21" t="n"/>
      <c r="G84" s="21" t="n"/>
      <c r="H84" s="24" t="n"/>
      <c r="I84" s="21" t="n"/>
      <c r="J84" s="21" t="n"/>
      <c r="K84" s="22" t="n"/>
      <c r="L84" s="25">
        <f>IF(ISNUMBER(H84),EDATE(H84,IF(ISNUMBER(K84),K84,3)),"")</f>
        <v/>
      </c>
      <c r="M84" s="26">
        <f>IF(L84="","",IF(ISNUMBER(L84),L84-TODAY(),"Check date"))</f>
        <v/>
      </c>
      <c r="N84" s="27">
        <f>IF(LEN(C84)=0,"",IF(I84="N/A","N/A",IF(OR(I84="",NOT(ISNUMBER(H84))),"Not checked",IF(OR(I84="Not met",LEN(J84)=0,M84&lt;0),"Red",IF(OR(I84="Partly met",M84&lt;=30),"Amber","Green")))))</f>
        <v/>
      </c>
      <c r="O84" s="27">
        <f>IF(N84="Red",IF(I84="Not met","Not met",IF(LEN(J84)=0,"No evidence location","Re-check overdue")),IF(N84="Amber",IF(I84="Partly met","Partly met","Re-check due ≤30 days"),""))</f>
        <v/>
      </c>
      <c r="P84" s="21" t="n"/>
    </row>
    <row r="85">
      <c r="A85" s="21" t="n"/>
      <c r="B85" s="22" t="n"/>
      <c r="C85" s="23" t="n"/>
      <c r="D85" s="23" t="n"/>
      <c r="E85" s="21" t="n"/>
      <c r="F85" s="21" t="n"/>
      <c r="G85" s="21" t="n"/>
      <c r="H85" s="24" t="n"/>
      <c r="I85" s="21" t="n"/>
      <c r="J85" s="21" t="n"/>
      <c r="K85" s="22" t="n"/>
      <c r="L85" s="25">
        <f>IF(ISNUMBER(H85),EDATE(H85,IF(ISNUMBER(K85),K85,3)),"")</f>
        <v/>
      </c>
      <c r="M85" s="26">
        <f>IF(L85="","",IF(ISNUMBER(L85),L85-TODAY(),"Check date"))</f>
        <v/>
      </c>
      <c r="N85" s="27">
        <f>IF(LEN(C85)=0,"",IF(I85="N/A","N/A",IF(OR(I85="",NOT(ISNUMBER(H85))),"Not checked",IF(OR(I85="Not met",LEN(J85)=0,M85&lt;0),"Red",IF(OR(I85="Partly met",M85&lt;=30),"Amber","Green")))))</f>
        <v/>
      </c>
      <c r="O85" s="27">
        <f>IF(N85="Red",IF(I85="Not met","Not met",IF(LEN(J85)=0,"No evidence location","Re-check overdue")),IF(N85="Amber",IF(I85="Partly met","Partly met","Re-check due ≤30 days"),""))</f>
        <v/>
      </c>
      <c r="P85" s="21" t="n"/>
    </row>
    <row r="86">
      <c r="A86" s="21" t="n"/>
      <c r="B86" s="22" t="n"/>
      <c r="C86" s="23" t="n"/>
      <c r="D86" s="23" t="n"/>
      <c r="E86" s="21" t="n"/>
      <c r="F86" s="21" t="n"/>
      <c r="G86" s="21" t="n"/>
      <c r="H86" s="24" t="n"/>
      <c r="I86" s="21" t="n"/>
      <c r="J86" s="21" t="n"/>
      <c r="K86" s="22" t="n"/>
      <c r="L86" s="25">
        <f>IF(ISNUMBER(H86),EDATE(H86,IF(ISNUMBER(K86),K86,3)),"")</f>
        <v/>
      </c>
      <c r="M86" s="26">
        <f>IF(L86="","",IF(ISNUMBER(L86),L86-TODAY(),"Check date"))</f>
        <v/>
      </c>
      <c r="N86" s="27">
        <f>IF(LEN(C86)=0,"",IF(I86="N/A","N/A",IF(OR(I86="",NOT(ISNUMBER(H86))),"Not checked",IF(OR(I86="Not met",LEN(J86)=0,M86&lt;0),"Red",IF(OR(I86="Partly met",M86&lt;=30),"Amber","Green")))))</f>
        <v/>
      </c>
      <c r="O86" s="27">
        <f>IF(N86="Red",IF(I86="Not met","Not met",IF(LEN(J86)=0,"No evidence location","Re-check overdue")),IF(N86="Amber",IF(I86="Partly met","Partly met","Re-check due ≤30 days"),""))</f>
        <v/>
      </c>
      <c r="P86" s="21" t="n"/>
    </row>
    <row r="87">
      <c r="A87" s="21" t="n"/>
      <c r="B87" s="22" t="n"/>
      <c r="C87" s="23" t="n"/>
      <c r="D87" s="23" t="n"/>
      <c r="E87" s="21" t="n"/>
      <c r="F87" s="21" t="n"/>
      <c r="G87" s="21" t="n"/>
      <c r="H87" s="24" t="n"/>
      <c r="I87" s="21" t="n"/>
      <c r="J87" s="21" t="n"/>
      <c r="K87" s="22" t="n"/>
      <c r="L87" s="25">
        <f>IF(ISNUMBER(H87),EDATE(H87,IF(ISNUMBER(K87),K87,3)),"")</f>
        <v/>
      </c>
      <c r="M87" s="26">
        <f>IF(L87="","",IF(ISNUMBER(L87),L87-TODAY(),"Check date"))</f>
        <v/>
      </c>
      <c r="N87" s="27">
        <f>IF(LEN(C87)=0,"",IF(I87="N/A","N/A",IF(OR(I87="",NOT(ISNUMBER(H87))),"Not checked",IF(OR(I87="Not met",LEN(J87)=0,M87&lt;0),"Red",IF(OR(I87="Partly met",M87&lt;=30),"Amber","Green")))))</f>
        <v/>
      </c>
      <c r="O87" s="27">
        <f>IF(N87="Red",IF(I87="Not met","Not met",IF(LEN(J87)=0,"No evidence location","Re-check overdue")),IF(N87="Amber",IF(I87="Partly met","Partly met","Re-check due ≤30 days"),""))</f>
        <v/>
      </c>
      <c r="P87" s="21" t="n"/>
    </row>
    <row r="88">
      <c r="A88" s="21" t="n"/>
      <c r="B88" s="22" t="n"/>
      <c r="C88" s="23" t="n"/>
      <c r="D88" s="23" t="n"/>
      <c r="E88" s="21" t="n"/>
      <c r="F88" s="21" t="n"/>
      <c r="G88" s="21" t="n"/>
      <c r="H88" s="24" t="n"/>
      <c r="I88" s="21" t="n"/>
      <c r="J88" s="21" t="n"/>
      <c r="K88" s="22" t="n"/>
      <c r="L88" s="25">
        <f>IF(ISNUMBER(H88),EDATE(H88,IF(ISNUMBER(K88),K88,3)),"")</f>
        <v/>
      </c>
      <c r="M88" s="26">
        <f>IF(L88="","",IF(ISNUMBER(L88),L88-TODAY(),"Check date"))</f>
        <v/>
      </c>
      <c r="N88" s="27">
        <f>IF(LEN(C88)=0,"",IF(I88="N/A","N/A",IF(OR(I88="",NOT(ISNUMBER(H88))),"Not checked",IF(OR(I88="Not met",LEN(J88)=0,M88&lt;0),"Red",IF(OR(I88="Partly met",M88&lt;=30),"Amber","Green")))))</f>
        <v/>
      </c>
      <c r="O88" s="27">
        <f>IF(N88="Red",IF(I88="Not met","Not met",IF(LEN(J88)=0,"No evidence location","Re-check overdue")),IF(N88="Amber",IF(I88="Partly met","Partly met","Re-check due ≤30 days"),""))</f>
        <v/>
      </c>
      <c r="P88" s="21" t="n"/>
    </row>
    <row r="89">
      <c r="A89" s="21" t="n"/>
      <c r="B89" s="22" t="n"/>
      <c r="C89" s="23" t="n"/>
      <c r="D89" s="23" t="n"/>
      <c r="E89" s="21" t="n"/>
      <c r="F89" s="21" t="n"/>
      <c r="G89" s="21" t="n"/>
      <c r="H89" s="24" t="n"/>
      <c r="I89" s="21" t="n"/>
      <c r="J89" s="21" t="n"/>
      <c r="K89" s="22" t="n"/>
      <c r="L89" s="25">
        <f>IF(ISNUMBER(H89),EDATE(H89,IF(ISNUMBER(K89),K89,3)),"")</f>
        <v/>
      </c>
      <c r="M89" s="26">
        <f>IF(L89="","",IF(ISNUMBER(L89),L89-TODAY(),"Check date"))</f>
        <v/>
      </c>
      <c r="N89" s="27">
        <f>IF(LEN(C89)=0,"",IF(I89="N/A","N/A",IF(OR(I89="",NOT(ISNUMBER(H89))),"Not checked",IF(OR(I89="Not met",LEN(J89)=0,M89&lt;0),"Red",IF(OR(I89="Partly met",M89&lt;=30),"Amber","Green")))))</f>
        <v/>
      </c>
      <c r="O89" s="27">
        <f>IF(N89="Red",IF(I89="Not met","Not met",IF(LEN(J89)=0,"No evidence location","Re-check overdue")),IF(N89="Amber",IF(I89="Partly met","Partly met","Re-check due ≤30 days"),""))</f>
        <v/>
      </c>
      <c r="P89" s="21" t="n"/>
    </row>
    <row r="90">
      <c r="A90" s="21" t="n"/>
      <c r="B90" s="22" t="n"/>
      <c r="C90" s="23" t="n"/>
      <c r="D90" s="23" t="n"/>
      <c r="E90" s="21" t="n"/>
      <c r="F90" s="21" t="n"/>
      <c r="G90" s="21" t="n"/>
      <c r="H90" s="24" t="n"/>
      <c r="I90" s="21" t="n"/>
      <c r="J90" s="21" t="n"/>
      <c r="K90" s="22" t="n"/>
      <c r="L90" s="25">
        <f>IF(ISNUMBER(H90),EDATE(H90,IF(ISNUMBER(K90),K90,3)),"")</f>
        <v/>
      </c>
      <c r="M90" s="26">
        <f>IF(L90="","",IF(ISNUMBER(L90),L90-TODAY(),"Check date"))</f>
        <v/>
      </c>
      <c r="N90" s="27">
        <f>IF(LEN(C90)=0,"",IF(I90="N/A","N/A",IF(OR(I90="",NOT(ISNUMBER(H90))),"Not checked",IF(OR(I90="Not met",LEN(J90)=0,M90&lt;0),"Red",IF(OR(I90="Partly met",M90&lt;=30),"Amber","Green")))))</f>
        <v/>
      </c>
      <c r="O90" s="27">
        <f>IF(N90="Red",IF(I90="Not met","Not met",IF(LEN(J90)=0,"No evidence location","Re-check overdue")),IF(N90="Amber",IF(I90="Partly met","Partly met","Re-check due ≤30 days"),""))</f>
        <v/>
      </c>
      <c r="P90" s="21" t="n"/>
    </row>
    <row r="91">
      <c r="A91" s="21" t="n"/>
      <c r="B91" s="22" t="n"/>
      <c r="C91" s="23" t="n"/>
      <c r="D91" s="23" t="n"/>
      <c r="E91" s="21" t="n"/>
      <c r="F91" s="21" t="n"/>
      <c r="G91" s="21" t="n"/>
      <c r="H91" s="24" t="n"/>
      <c r="I91" s="21" t="n"/>
      <c r="J91" s="21" t="n"/>
      <c r="K91" s="22" t="n"/>
      <c r="L91" s="25">
        <f>IF(ISNUMBER(H91),EDATE(H91,IF(ISNUMBER(K91),K91,3)),"")</f>
        <v/>
      </c>
      <c r="M91" s="26">
        <f>IF(L91="","",IF(ISNUMBER(L91),L91-TODAY(),"Check date"))</f>
        <v/>
      </c>
      <c r="N91" s="27">
        <f>IF(LEN(C91)=0,"",IF(I91="N/A","N/A",IF(OR(I91="",NOT(ISNUMBER(H91))),"Not checked",IF(OR(I91="Not met",LEN(J91)=0,M91&lt;0),"Red",IF(OR(I91="Partly met",M91&lt;=30),"Amber","Green")))))</f>
        <v/>
      </c>
      <c r="O91" s="27">
        <f>IF(N91="Red",IF(I91="Not met","Not met",IF(LEN(J91)=0,"No evidence location","Re-check overdue")),IF(N91="Amber",IF(I91="Partly met","Partly met","Re-check due ≤30 days"),""))</f>
        <v/>
      </c>
      <c r="P91" s="21" t="n"/>
    </row>
    <row r="92">
      <c r="A92" s="21" t="n"/>
      <c r="B92" s="22" t="n"/>
      <c r="C92" s="23" t="n"/>
      <c r="D92" s="23" t="n"/>
      <c r="E92" s="21" t="n"/>
      <c r="F92" s="21" t="n"/>
      <c r="G92" s="21" t="n"/>
      <c r="H92" s="24" t="n"/>
      <c r="I92" s="21" t="n"/>
      <c r="J92" s="21" t="n"/>
      <c r="K92" s="22" t="n"/>
      <c r="L92" s="25">
        <f>IF(ISNUMBER(H92),EDATE(H92,IF(ISNUMBER(K92),K92,3)),"")</f>
        <v/>
      </c>
      <c r="M92" s="26">
        <f>IF(L92="","",IF(ISNUMBER(L92),L92-TODAY(),"Check date"))</f>
        <v/>
      </c>
      <c r="N92" s="27">
        <f>IF(LEN(C92)=0,"",IF(I92="N/A","N/A",IF(OR(I92="",NOT(ISNUMBER(H92))),"Not checked",IF(OR(I92="Not met",LEN(J92)=0,M92&lt;0),"Red",IF(OR(I92="Partly met",M92&lt;=30),"Amber","Green")))))</f>
        <v/>
      </c>
      <c r="O92" s="27">
        <f>IF(N92="Red",IF(I92="Not met","Not met",IF(LEN(J92)=0,"No evidence location","Re-check overdue")),IF(N92="Amber",IF(I92="Partly met","Partly met","Re-check due ≤30 days"),""))</f>
        <v/>
      </c>
      <c r="P92" s="21" t="n"/>
    </row>
    <row r="93">
      <c r="A93" s="21" t="n"/>
      <c r="B93" s="22" t="n"/>
      <c r="C93" s="23" t="n"/>
      <c r="D93" s="23" t="n"/>
      <c r="E93" s="21" t="n"/>
      <c r="F93" s="21" t="n"/>
      <c r="G93" s="21" t="n"/>
      <c r="H93" s="24" t="n"/>
      <c r="I93" s="21" t="n"/>
      <c r="J93" s="21" t="n"/>
      <c r="K93" s="22" t="n"/>
      <c r="L93" s="25">
        <f>IF(ISNUMBER(H93),EDATE(H93,IF(ISNUMBER(K93),K93,3)),"")</f>
        <v/>
      </c>
      <c r="M93" s="26">
        <f>IF(L93="","",IF(ISNUMBER(L93),L93-TODAY(),"Check date"))</f>
        <v/>
      </c>
      <c r="N93" s="27">
        <f>IF(LEN(C93)=0,"",IF(I93="N/A","N/A",IF(OR(I93="",NOT(ISNUMBER(H93))),"Not checked",IF(OR(I93="Not met",LEN(J93)=0,M93&lt;0),"Red",IF(OR(I93="Partly met",M93&lt;=30),"Amber","Green")))))</f>
        <v/>
      </c>
      <c r="O93" s="27">
        <f>IF(N93="Red",IF(I93="Not met","Not met",IF(LEN(J93)=0,"No evidence location","Re-check overdue")),IF(N93="Amber",IF(I93="Partly met","Partly met","Re-check due ≤30 days"),""))</f>
        <v/>
      </c>
      <c r="P93" s="21" t="n"/>
    </row>
    <row r="94">
      <c r="A94" s="21" t="n"/>
      <c r="B94" s="22" t="n"/>
      <c r="C94" s="23" t="n"/>
      <c r="D94" s="23" t="n"/>
      <c r="E94" s="21" t="n"/>
      <c r="F94" s="21" t="n"/>
      <c r="G94" s="21" t="n"/>
      <c r="H94" s="24" t="n"/>
      <c r="I94" s="21" t="n"/>
      <c r="J94" s="21" t="n"/>
      <c r="K94" s="22" t="n"/>
      <c r="L94" s="25">
        <f>IF(ISNUMBER(H94),EDATE(H94,IF(ISNUMBER(K94),K94,3)),"")</f>
        <v/>
      </c>
      <c r="M94" s="26">
        <f>IF(L94="","",IF(ISNUMBER(L94),L94-TODAY(),"Check date"))</f>
        <v/>
      </c>
      <c r="N94" s="27">
        <f>IF(LEN(C94)=0,"",IF(I94="N/A","N/A",IF(OR(I94="",NOT(ISNUMBER(H94))),"Not checked",IF(OR(I94="Not met",LEN(J94)=0,M94&lt;0),"Red",IF(OR(I94="Partly met",M94&lt;=30),"Amber","Green")))))</f>
        <v/>
      </c>
      <c r="O94" s="27">
        <f>IF(N94="Red",IF(I94="Not met","Not met",IF(LEN(J94)=0,"No evidence location","Re-check overdue")),IF(N94="Amber",IF(I94="Partly met","Partly met","Re-check due ≤30 days"),""))</f>
        <v/>
      </c>
      <c r="P94" s="21" t="n"/>
    </row>
    <row r="95">
      <c r="A95" s="21" t="n"/>
      <c r="B95" s="22" t="n"/>
      <c r="C95" s="23" t="n"/>
      <c r="D95" s="23" t="n"/>
      <c r="E95" s="21" t="n"/>
      <c r="F95" s="21" t="n"/>
      <c r="G95" s="21" t="n"/>
      <c r="H95" s="24" t="n"/>
      <c r="I95" s="21" t="n"/>
      <c r="J95" s="21" t="n"/>
      <c r="K95" s="22" t="n"/>
      <c r="L95" s="25">
        <f>IF(ISNUMBER(H95),EDATE(H95,IF(ISNUMBER(K95),K95,3)),"")</f>
        <v/>
      </c>
      <c r="M95" s="26">
        <f>IF(L95="","",IF(ISNUMBER(L95),L95-TODAY(),"Check date"))</f>
        <v/>
      </c>
      <c r="N95" s="27">
        <f>IF(LEN(C95)=0,"",IF(I95="N/A","N/A",IF(OR(I95="",NOT(ISNUMBER(H95))),"Not checked",IF(OR(I95="Not met",LEN(J95)=0,M95&lt;0),"Red",IF(OR(I95="Partly met",M95&lt;=30),"Amber","Green")))))</f>
        <v/>
      </c>
      <c r="O95" s="27">
        <f>IF(N95="Red",IF(I95="Not met","Not met",IF(LEN(J95)=0,"No evidence location","Re-check overdue")),IF(N95="Amber",IF(I95="Partly met","Partly met","Re-check due ≤30 days"),""))</f>
        <v/>
      </c>
      <c r="P95" s="21" t="n"/>
    </row>
    <row r="96">
      <c r="A96" s="21" t="n"/>
      <c r="B96" s="22" t="n"/>
      <c r="C96" s="23" t="n"/>
      <c r="D96" s="23" t="n"/>
      <c r="E96" s="21" t="n"/>
      <c r="F96" s="21" t="n"/>
      <c r="G96" s="21" t="n"/>
      <c r="H96" s="24" t="n"/>
      <c r="I96" s="21" t="n"/>
      <c r="J96" s="21" t="n"/>
      <c r="K96" s="22" t="n"/>
      <c r="L96" s="25">
        <f>IF(ISNUMBER(H96),EDATE(H96,IF(ISNUMBER(K96),K96,3)),"")</f>
        <v/>
      </c>
      <c r="M96" s="26">
        <f>IF(L96="","",IF(ISNUMBER(L96),L96-TODAY(),"Check date"))</f>
        <v/>
      </c>
      <c r="N96" s="27">
        <f>IF(LEN(C96)=0,"",IF(I96="N/A","N/A",IF(OR(I96="",NOT(ISNUMBER(H96))),"Not checked",IF(OR(I96="Not met",LEN(J96)=0,M96&lt;0),"Red",IF(OR(I96="Partly met",M96&lt;=30),"Amber","Green")))))</f>
        <v/>
      </c>
      <c r="O96" s="27">
        <f>IF(N96="Red",IF(I96="Not met","Not met",IF(LEN(J96)=0,"No evidence location","Re-check overdue")),IF(N96="Amber",IF(I96="Partly met","Partly met","Re-check due ≤30 days"),""))</f>
        <v/>
      </c>
      <c r="P96" s="21" t="n"/>
    </row>
    <row r="97">
      <c r="A97" s="21" t="n"/>
      <c r="B97" s="22" t="n"/>
      <c r="C97" s="23" t="n"/>
      <c r="D97" s="23" t="n"/>
      <c r="E97" s="21" t="n"/>
      <c r="F97" s="21" t="n"/>
      <c r="G97" s="21" t="n"/>
      <c r="H97" s="24" t="n"/>
      <c r="I97" s="21" t="n"/>
      <c r="J97" s="21" t="n"/>
      <c r="K97" s="22" t="n"/>
      <c r="L97" s="25">
        <f>IF(ISNUMBER(H97),EDATE(H97,IF(ISNUMBER(K97),K97,3)),"")</f>
        <v/>
      </c>
      <c r="M97" s="26">
        <f>IF(L97="","",IF(ISNUMBER(L97),L97-TODAY(),"Check date"))</f>
        <v/>
      </c>
      <c r="N97" s="27">
        <f>IF(LEN(C97)=0,"",IF(I97="N/A","N/A",IF(OR(I97="",NOT(ISNUMBER(H97))),"Not checked",IF(OR(I97="Not met",LEN(J97)=0,M97&lt;0),"Red",IF(OR(I97="Partly met",M97&lt;=30),"Amber","Green")))))</f>
        <v/>
      </c>
      <c r="O97" s="27">
        <f>IF(N97="Red",IF(I97="Not met","Not met",IF(LEN(J97)=0,"No evidence location","Re-check overdue")),IF(N97="Amber",IF(I97="Partly met","Partly met","Re-check due ≤30 days"),""))</f>
        <v/>
      </c>
      <c r="P97" s="21" t="n"/>
    </row>
    <row r="98">
      <c r="A98" s="21" t="n"/>
      <c r="B98" s="22" t="n"/>
      <c r="C98" s="23" t="n"/>
      <c r="D98" s="23" t="n"/>
      <c r="E98" s="21" t="n"/>
      <c r="F98" s="21" t="n"/>
      <c r="G98" s="21" t="n"/>
      <c r="H98" s="24" t="n"/>
      <c r="I98" s="21" t="n"/>
      <c r="J98" s="21" t="n"/>
      <c r="K98" s="22" t="n"/>
      <c r="L98" s="25">
        <f>IF(ISNUMBER(H98),EDATE(H98,IF(ISNUMBER(K98),K98,3)),"")</f>
        <v/>
      </c>
      <c r="M98" s="26">
        <f>IF(L98="","",IF(ISNUMBER(L98),L98-TODAY(),"Check date"))</f>
        <v/>
      </c>
      <c r="N98" s="27">
        <f>IF(LEN(C98)=0,"",IF(I98="N/A","N/A",IF(OR(I98="",NOT(ISNUMBER(H98))),"Not checked",IF(OR(I98="Not met",LEN(J98)=0,M98&lt;0),"Red",IF(OR(I98="Partly met",M98&lt;=30),"Amber","Green")))))</f>
        <v/>
      </c>
      <c r="O98" s="27">
        <f>IF(N98="Red",IF(I98="Not met","Not met",IF(LEN(J98)=0,"No evidence location","Re-check overdue")),IF(N98="Amber",IF(I98="Partly met","Partly met","Re-check due ≤30 days"),""))</f>
        <v/>
      </c>
      <c r="P98" s="21" t="n"/>
    </row>
    <row r="99">
      <c r="A99" s="21" t="n"/>
      <c r="B99" s="22" t="n"/>
      <c r="C99" s="23" t="n"/>
      <c r="D99" s="23" t="n"/>
      <c r="E99" s="21" t="n"/>
      <c r="F99" s="21" t="n"/>
      <c r="G99" s="21" t="n"/>
      <c r="H99" s="24" t="n"/>
      <c r="I99" s="21" t="n"/>
      <c r="J99" s="21" t="n"/>
      <c r="K99" s="22" t="n"/>
      <c r="L99" s="25">
        <f>IF(ISNUMBER(H99),EDATE(H99,IF(ISNUMBER(K99),K99,3)),"")</f>
        <v/>
      </c>
      <c r="M99" s="26">
        <f>IF(L99="","",IF(ISNUMBER(L99),L99-TODAY(),"Check date"))</f>
        <v/>
      </c>
      <c r="N99" s="27">
        <f>IF(LEN(C99)=0,"",IF(I99="N/A","N/A",IF(OR(I99="",NOT(ISNUMBER(H99))),"Not checked",IF(OR(I99="Not met",LEN(J99)=0,M99&lt;0),"Red",IF(OR(I99="Partly met",M99&lt;=30),"Amber","Green")))))</f>
        <v/>
      </c>
      <c r="O99" s="27">
        <f>IF(N99="Red",IF(I99="Not met","Not met",IF(LEN(J99)=0,"No evidence location","Re-check overdue")),IF(N99="Amber",IF(I99="Partly met","Partly met","Re-check due ≤30 days"),""))</f>
        <v/>
      </c>
      <c r="P99" s="21" t="n"/>
    </row>
    <row r="100">
      <c r="A100" s="21" t="n"/>
      <c r="B100" s="22" t="n"/>
      <c r="C100" s="23" t="n"/>
      <c r="D100" s="23" t="n"/>
      <c r="E100" s="21" t="n"/>
      <c r="F100" s="21" t="n"/>
      <c r="G100" s="21" t="n"/>
      <c r="H100" s="24" t="n"/>
      <c r="I100" s="21" t="n"/>
      <c r="J100" s="21" t="n"/>
      <c r="K100" s="22" t="n"/>
      <c r="L100" s="25">
        <f>IF(ISNUMBER(H100),EDATE(H100,IF(ISNUMBER(K100),K100,3)),"")</f>
        <v/>
      </c>
      <c r="M100" s="26">
        <f>IF(L100="","",IF(ISNUMBER(L100),L100-TODAY(),"Check date"))</f>
        <v/>
      </c>
      <c r="N100" s="27">
        <f>IF(LEN(C100)=0,"",IF(I100="N/A","N/A",IF(OR(I100="",NOT(ISNUMBER(H100))),"Not checked",IF(OR(I100="Not met",LEN(J100)=0,M100&lt;0),"Red",IF(OR(I100="Partly met",M100&lt;=30),"Amber","Green")))))</f>
        <v/>
      </c>
      <c r="O100" s="27">
        <f>IF(N100="Red",IF(I100="Not met","Not met",IF(LEN(J100)=0,"No evidence location","Re-check overdue")),IF(N100="Amber",IF(I100="Partly met","Partly met","Re-check due ≤30 days"),""))</f>
        <v/>
      </c>
      <c r="P100" s="21" t="n"/>
    </row>
    <row r="101">
      <c r="A101" s="21" t="n"/>
      <c r="B101" s="22" t="n"/>
      <c r="C101" s="23" t="n"/>
      <c r="D101" s="23" t="n"/>
      <c r="E101" s="21" t="n"/>
      <c r="F101" s="21" t="n"/>
      <c r="G101" s="21" t="n"/>
      <c r="H101" s="24" t="n"/>
      <c r="I101" s="21" t="n"/>
      <c r="J101" s="21" t="n"/>
      <c r="K101" s="22" t="n"/>
      <c r="L101" s="25">
        <f>IF(ISNUMBER(H101),EDATE(H101,IF(ISNUMBER(K101),K101,3)),"")</f>
        <v/>
      </c>
      <c r="M101" s="26">
        <f>IF(L101="","",IF(ISNUMBER(L101),L101-TODAY(),"Check date"))</f>
        <v/>
      </c>
      <c r="N101" s="27">
        <f>IF(LEN(C101)=0,"",IF(I101="N/A","N/A",IF(OR(I101="",NOT(ISNUMBER(H101))),"Not checked",IF(OR(I101="Not met",LEN(J101)=0,M101&lt;0),"Red",IF(OR(I101="Partly met",M101&lt;=30),"Amber","Green")))))</f>
        <v/>
      </c>
      <c r="O101" s="27">
        <f>IF(N101="Red",IF(I101="Not met","Not met",IF(LEN(J101)=0,"No evidence location","Re-check overdue")),IF(N101="Amber",IF(I101="Partly met","Partly met","Re-check due ≤30 days"),""))</f>
        <v/>
      </c>
      <c r="P101" s="21" t="n"/>
    </row>
    <row r="102">
      <c r="A102" s="21" t="n"/>
      <c r="B102" s="22" t="n"/>
      <c r="C102" s="23" t="n"/>
      <c r="D102" s="23" t="n"/>
      <c r="E102" s="21" t="n"/>
      <c r="F102" s="21" t="n"/>
      <c r="G102" s="21" t="n"/>
      <c r="H102" s="24" t="n"/>
      <c r="I102" s="21" t="n"/>
      <c r="J102" s="21" t="n"/>
      <c r="K102" s="22" t="n"/>
      <c r="L102" s="25">
        <f>IF(ISNUMBER(H102),EDATE(H102,IF(ISNUMBER(K102),K102,3)),"")</f>
        <v/>
      </c>
      <c r="M102" s="26">
        <f>IF(L102="","",IF(ISNUMBER(L102),L102-TODAY(),"Check date"))</f>
        <v/>
      </c>
      <c r="N102" s="27">
        <f>IF(LEN(C102)=0,"",IF(I102="N/A","N/A",IF(OR(I102="",NOT(ISNUMBER(H102))),"Not checked",IF(OR(I102="Not met",LEN(J102)=0,M102&lt;0),"Red",IF(OR(I102="Partly met",M102&lt;=30),"Amber","Green")))))</f>
        <v/>
      </c>
      <c r="O102" s="27">
        <f>IF(N102="Red",IF(I102="Not met","Not met",IF(LEN(J102)=0,"No evidence location","Re-check overdue")),IF(N102="Amber",IF(I102="Partly met","Partly met","Re-check due ≤30 days"),""))</f>
        <v/>
      </c>
      <c r="P102" s="21" t="n"/>
    </row>
    <row r="103">
      <c r="A103" s="21" t="n"/>
      <c r="B103" s="22" t="n"/>
      <c r="C103" s="23" t="n"/>
      <c r="D103" s="23" t="n"/>
      <c r="E103" s="21" t="n"/>
      <c r="F103" s="21" t="n"/>
      <c r="G103" s="21" t="n"/>
      <c r="H103" s="24" t="n"/>
      <c r="I103" s="21" t="n"/>
      <c r="J103" s="21" t="n"/>
      <c r="K103" s="22" t="n"/>
      <c r="L103" s="25">
        <f>IF(ISNUMBER(H103),EDATE(H103,IF(ISNUMBER(K103),K103,3)),"")</f>
        <v/>
      </c>
      <c r="M103" s="26">
        <f>IF(L103="","",IF(ISNUMBER(L103),L103-TODAY(),"Check date"))</f>
        <v/>
      </c>
      <c r="N103" s="27">
        <f>IF(LEN(C103)=0,"",IF(I103="N/A","N/A",IF(OR(I103="",NOT(ISNUMBER(H103))),"Not checked",IF(OR(I103="Not met",LEN(J103)=0,M103&lt;0),"Red",IF(OR(I103="Partly met",M103&lt;=30),"Amber","Green")))))</f>
        <v/>
      </c>
      <c r="O103" s="27">
        <f>IF(N103="Red",IF(I103="Not met","Not met",IF(LEN(J103)=0,"No evidence location","Re-check overdue")),IF(N103="Amber",IF(I103="Partly met","Partly met","Re-check due ≤30 days"),""))</f>
        <v/>
      </c>
      <c r="P103" s="21" t="n"/>
    </row>
    <row r="104">
      <c r="A104" s="21" t="n"/>
      <c r="B104" s="22" t="n"/>
      <c r="C104" s="23" t="n"/>
      <c r="D104" s="23" t="n"/>
      <c r="E104" s="21" t="n"/>
      <c r="F104" s="21" t="n"/>
      <c r="G104" s="21" t="n"/>
      <c r="H104" s="24" t="n"/>
      <c r="I104" s="21" t="n"/>
      <c r="J104" s="21" t="n"/>
      <c r="K104" s="22" t="n"/>
      <c r="L104" s="25">
        <f>IF(ISNUMBER(H104),EDATE(H104,IF(ISNUMBER(K104),K104,3)),"")</f>
        <v/>
      </c>
      <c r="M104" s="26">
        <f>IF(L104="","",IF(ISNUMBER(L104),L104-TODAY(),"Check date"))</f>
        <v/>
      </c>
      <c r="N104" s="27">
        <f>IF(LEN(C104)=0,"",IF(I104="N/A","N/A",IF(OR(I104="",NOT(ISNUMBER(H104))),"Not checked",IF(OR(I104="Not met",LEN(J104)=0,M104&lt;0),"Red",IF(OR(I104="Partly met",M104&lt;=30),"Amber","Green")))))</f>
        <v/>
      </c>
      <c r="O104" s="27">
        <f>IF(N104="Red",IF(I104="Not met","Not met",IF(LEN(J104)=0,"No evidence location","Re-check overdue")),IF(N104="Amber",IF(I104="Partly met","Partly met","Re-check due ≤30 days"),""))</f>
        <v/>
      </c>
      <c r="P104" s="21" t="n"/>
    </row>
    <row r="105">
      <c r="A105" s="21" t="n"/>
      <c r="B105" s="22" t="n"/>
      <c r="C105" s="23" t="n"/>
      <c r="D105" s="23" t="n"/>
      <c r="E105" s="21" t="n"/>
      <c r="F105" s="21" t="n"/>
      <c r="G105" s="21" t="n"/>
      <c r="H105" s="24" t="n"/>
      <c r="I105" s="21" t="n"/>
      <c r="J105" s="21" t="n"/>
      <c r="K105" s="22" t="n"/>
      <c r="L105" s="25">
        <f>IF(ISNUMBER(H105),EDATE(H105,IF(ISNUMBER(K105),K105,3)),"")</f>
        <v/>
      </c>
      <c r="M105" s="26">
        <f>IF(L105="","",IF(ISNUMBER(L105),L105-TODAY(),"Check date"))</f>
        <v/>
      </c>
      <c r="N105" s="27">
        <f>IF(LEN(C105)=0,"",IF(I105="N/A","N/A",IF(OR(I105="",NOT(ISNUMBER(H105))),"Not checked",IF(OR(I105="Not met",LEN(J105)=0,M105&lt;0),"Red",IF(OR(I105="Partly met",M105&lt;=30),"Amber","Green")))))</f>
        <v/>
      </c>
      <c r="O105" s="27">
        <f>IF(N105="Red",IF(I105="Not met","Not met",IF(LEN(J105)=0,"No evidence location","Re-check overdue")),IF(N105="Amber",IF(I105="Partly met","Partly met","Re-check due ≤30 days"),""))</f>
        <v/>
      </c>
      <c r="P105" s="21" t="n"/>
    </row>
    <row r="106">
      <c r="A106" s="21" t="n"/>
      <c r="B106" s="22" t="n"/>
      <c r="C106" s="23" t="n"/>
      <c r="D106" s="23" t="n"/>
      <c r="E106" s="21" t="n"/>
      <c r="F106" s="21" t="n"/>
      <c r="G106" s="21" t="n"/>
      <c r="H106" s="24" t="n"/>
      <c r="I106" s="21" t="n"/>
      <c r="J106" s="21" t="n"/>
      <c r="K106" s="22" t="n"/>
      <c r="L106" s="25">
        <f>IF(ISNUMBER(H106),EDATE(H106,IF(ISNUMBER(K106),K106,3)),"")</f>
        <v/>
      </c>
      <c r="M106" s="26">
        <f>IF(L106="","",IF(ISNUMBER(L106),L106-TODAY(),"Check date"))</f>
        <v/>
      </c>
      <c r="N106" s="27">
        <f>IF(LEN(C106)=0,"",IF(I106="N/A","N/A",IF(OR(I106="",NOT(ISNUMBER(H106))),"Not checked",IF(OR(I106="Not met",LEN(J106)=0,M106&lt;0),"Red",IF(OR(I106="Partly met",M106&lt;=30),"Amber","Green")))))</f>
        <v/>
      </c>
      <c r="O106" s="27">
        <f>IF(N106="Red",IF(I106="Not met","Not met",IF(LEN(J106)=0,"No evidence location","Re-check overdue")),IF(N106="Amber",IF(I106="Partly met","Partly met","Re-check due ≤30 days"),""))</f>
        <v/>
      </c>
      <c r="P106" s="21" t="n"/>
    </row>
    <row r="107">
      <c r="A107" s="21" t="n"/>
      <c r="B107" s="22" t="n"/>
      <c r="C107" s="23" t="n"/>
      <c r="D107" s="23" t="n"/>
      <c r="E107" s="21" t="n"/>
      <c r="F107" s="21" t="n"/>
      <c r="G107" s="21" t="n"/>
      <c r="H107" s="24" t="n"/>
      <c r="I107" s="21" t="n"/>
      <c r="J107" s="21" t="n"/>
      <c r="K107" s="22" t="n"/>
      <c r="L107" s="25">
        <f>IF(ISNUMBER(H107),EDATE(H107,IF(ISNUMBER(K107),K107,3)),"")</f>
        <v/>
      </c>
      <c r="M107" s="26">
        <f>IF(L107="","",IF(ISNUMBER(L107),L107-TODAY(),"Check date"))</f>
        <v/>
      </c>
      <c r="N107" s="27">
        <f>IF(LEN(C107)=0,"",IF(I107="N/A","N/A",IF(OR(I107="",NOT(ISNUMBER(H107))),"Not checked",IF(OR(I107="Not met",LEN(J107)=0,M107&lt;0),"Red",IF(OR(I107="Partly met",M107&lt;=30),"Amber","Green")))))</f>
        <v/>
      </c>
      <c r="O107" s="27">
        <f>IF(N107="Red",IF(I107="Not met","Not met",IF(LEN(J107)=0,"No evidence location","Re-check overdue")),IF(N107="Amber",IF(I107="Partly met","Partly met","Re-check due ≤30 days"),""))</f>
        <v/>
      </c>
      <c r="P107" s="21" t="n"/>
    </row>
    <row r="108">
      <c r="A108" s="21" t="n"/>
      <c r="B108" s="22" t="n"/>
      <c r="C108" s="23" t="n"/>
      <c r="D108" s="23" t="n"/>
      <c r="E108" s="21" t="n"/>
      <c r="F108" s="21" t="n"/>
      <c r="G108" s="21" t="n"/>
      <c r="H108" s="24" t="n"/>
      <c r="I108" s="21" t="n"/>
      <c r="J108" s="21" t="n"/>
      <c r="K108" s="22" t="n"/>
      <c r="L108" s="25">
        <f>IF(ISNUMBER(H108),EDATE(H108,IF(ISNUMBER(K108),K108,3)),"")</f>
        <v/>
      </c>
      <c r="M108" s="26">
        <f>IF(L108="","",IF(ISNUMBER(L108),L108-TODAY(),"Check date"))</f>
        <v/>
      </c>
      <c r="N108" s="27">
        <f>IF(LEN(C108)=0,"",IF(I108="N/A","N/A",IF(OR(I108="",NOT(ISNUMBER(H108))),"Not checked",IF(OR(I108="Not met",LEN(J108)=0,M108&lt;0),"Red",IF(OR(I108="Partly met",M108&lt;=30),"Amber","Green")))))</f>
        <v/>
      </c>
      <c r="O108" s="27">
        <f>IF(N108="Red",IF(I108="Not met","Not met",IF(LEN(J108)=0,"No evidence location","Re-check overdue")),IF(N108="Amber",IF(I108="Partly met","Partly met","Re-check due ≤30 days"),""))</f>
        <v/>
      </c>
      <c r="P108" s="21" t="n"/>
    </row>
    <row r="109">
      <c r="A109" s="21" t="n"/>
      <c r="B109" s="22" t="n"/>
      <c r="C109" s="23" t="n"/>
      <c r="D109" s="23" t="n"/>
      <c r="E109" s="21" t="n"/>
      <c r="F109" s="21" t="n"/>
      <c r="G109" s="21" t="n"/>
      <c r="H109" s="24" t="n"/>
      <c r="I109" s="21" t="n"/>
      <c r="J109" s="21" t="n"/>
      <c r="K109" s="22" t="n"/>
      <c r="L109" s="25">
        <f>IF(ISNUMBER(H109),EDATE(H109,IF(ISNUMBER(K109),K109,3)),"")</f>
        <v/>
      </c>
      <c r="M109" s="26">
        <f>IF(L109="","",IF(ISNUMBER(L109),L109-TODAY(),"Check date"))</f>
        <v/>
      </c>
      <c r="N109" s="27">
        <f>IF(LEN(C109)=0,"",IF(I109="N/A","N/A",IF(OR(I109="",NOT(ISNUMBER(H109))),"Not checked",IF(OR(I109="Not met",LEN(J109)=0,M109&lt;0),"Red",IF(OR(I109="Partly met",M109&lt;=30),"Amber","Green")))))</f>
        <v/>
      </c>
      <c r="O109" s="27">
        <f>IF(N109="Red",IF(I109="Not met","Not met",IF(LEN(J109)=0,"No evidence location","Re-check overdue")),IF(N109="Amber",IF(I109="Partly met","Partly met","Re-check due ≤30 days"),""))</f>
        <v/>
      </c>
      <c r="P109" s="21" t="n"/>
    </row>
    <row r="110">
      <c r="A110" s="21" t="n"/>
      <c r="B110" s="22" t="n"/>
      <c r="C110" s="23" t="n"/>
      <c r="D110" s="23" t="n"/>
      <c r="E110" s="21" t="n"/>
      <c r="F110" s="21" t="n"/>
      <c r="G110" s="21" t="n"/>
      <c r="H110" s="24" t="n"/>
      <c r="I110" s="21" t="n"/>
      <c r="J110" s="21" t="n"/>
      <c r="K110" s="22" t="n"/>
      <c r="L110" s="25">
        <f>IF(ISNUMBER(H110),EDATE(H110,IF(ISNUMBER(K110),K110,3)),"")</f>
        <v/>
      </c>
      <c r="M110" s="26">
        <f>IF(L110="","",IF(ISNUMBER(L110),L110-TODAY(),"Check date"))</f>
        <v/>
      </c>
      <c r="N110" s="27">
        <f>IF(LEN(C110)=0,"",IF(I110="N/A","N/A",IF(OR(I110="",NOT(ISNUMBER(H110))),"Not checked",IF(OR(I110="Not met",LEN(J110)=0,M110&lt;0),"Red",IF(OR(I110="Partly met",M110&lt;=30),"Amber","Green")))))</f>
        <v/>
      </c>
      <c r="O110" s="27">
        <f>IF(N110="Red",IF(I110="Not met","Not met",IF(LEN(J110)=0,"No evidence location","Re-check overdue")),IF(N110="Amber",IF(I110="Partly met","Partly met","Re-check due ≤30 days"),""))</f>
        <v/>
      </c>
      <c r="P110" s="21" t="n"/>
    </row>
    <row r="111">
      <c r="A111" s="21" t="n"/>
      <c r="B111" s="22" t="n"/>
      <c r="C111" s="23" t="n"/>
      <c r="D111" s="23" t="n"/>
      <c r="E111" s="21" t="n"/>
      <c r="F111" s="21" t="n"/>
      <c r="G111" s="21" t="n"/>
      <c r="H111" s="24" t="n"/>
      <c r="I111" s="21" t="n"/>
      <c r="J111" s="21" t="n"/>
      <c r="K111" s="22" t="n"/>
      <c r="L111" s="25">
        <f>IF(ISNUMBER(H111),EDATE(H111,IF(ISNUMBER(K111),K111,3)),"")</f>
        <v/>
      </c>
      <c r="M111" s="26">
        <f>IF(L111="","",IF(ISNUMBER(L111),L111-TODAY(),"Check date"))</f>
        <v/>
      </c>
      <c r="N111" s="27">
        <f>IF(LEN(C111)=0,"",IF(I111="N/A","N/A",IF(OR(I111="",NOT(ISNUMBER(H111))),"Not checked",IF(OR(I111="Not met",LEN(J111)=0,M111&lt;0),"Red",IF(OR(I111="Partly met",M111&lt;=30),"Amber","Green")))))</f>
        <v/>
      </c>
      <c r="O111" s="27">
        <f>IF(N111="Red",IF(I111="Not met","Not met",IF(LEN(J111)=0,"No evidence location","Re-check overdue")),IF(N111="Amber",IF(I111="Partly met","Partly met","Re-check due ≤30 days"),""))</f>
        <v/>
      </c>
      <c r="P111" s="21" t="n"/>
    </row>
    <row r="112">
      <c r="A112" s="21" t="n"/>
      <c r="B112" s="22" t="n"/>
      <c r="C112" s="23" t="n"/>
      <c r="D112" s="23" t="n"/>
      <c r="E112" s="21" t="n"/>
      <c r="F112" s="21" t="n"/>
      <c r="G112" s="21" t="n"/>
      <c r="H112" s="24" t="n"/>
      <c r="I112" s="21" t="n"/>
      <c r="J112" s="21" t="n"/>
      <c r="K112" s="22" t="n"/>
      <c r="L112" s="25">
        <f>IF(ISNUMBER(H112),EDATE(H112,IF(ISNUMBER(K112),K112,3)),"")</f>
        <v/>
      </c>
      <c r="M112" s="26">
        <f>IF(L112="","",IF(ISNUMBER(L112),L112-TODAY(),"Check date"))</f>
        <v/>
      </c>
      <c r="N112" s="27">
        <f>IF(LEN(C112)=0,"",IF(I112="N/A","N/A",IF(OR(I112="",NOT(ISNUMBER(H112))),"Not checked",IF(OR(I112="Not met",LEN(J112)=0,M112&lt;0),"Red",IF(OR(I112="Partly met",M112&lt;=30),"Amber","Green")))))</f>
        <v/>
      </c>
      <c r="O112" s="27">
        <f>IF(N112="Red",IF(I112="Not met","Not met",IF(LEN(J112)=0,"No evidence location","Re-check overdue")),IF(N112="Amber",IF(I112="Partly met","Partly met","Re-check due ≤30 days"),""))</f>
        <v/>
      </c>
      <c r="P112" s="21" t="n"/>
    </row>
    <row r="113">
      <c r="A113" s="21" t="n"/>
      <c r="B113" s="22" t="n"/>
      <c r="C113" s="23" t="n"/>
      <c r="D113" s="23" t="n"/>
      <c r="E113" s="21" t="n"/>
      <c r="F113" s="21" t="n"/>
      <c r="G113" s="21" t="n"/>
      <c r="H113" s="24" t="n"/>
      <c r="I113" s="21" t="n"/>
      <c r="J113" s="21" t="n"/>
      <c r="K113" s="22" t="n"/>
      <c r="L113" s="25">
        <f>IF(ISNUMBER(H113),EDATE(H113,IF(ISNUMBER(K113),K113,3)),"")</f>
        <v/>
      </c>
      <c r="M113" s="26">
        <f>IF(L113="","",IF(ISNUMBER(L113),L113-TODAY(),"Check date"))</f>
        <v/>
      </c>
      <c r="N113" s="27">
        <f>IF(LEN(C113)=0,"",IF(I113="N/A","N/A",IF(OR(I113="",NOT(ISNUMBER(H113))),"Not checked",IF(OR(I113="Not met",LEN(J113)=0,M113&lt;0),"Red",IF(OR(I113="Partly met",M113&lt;=30),"Amber","Green")))))</f>
        <v/>
      </c>
      <c r="O113" s="27">
        <f>IF(N113="Red",IF(I113="Not met","Not met",IF(LEN(J113)=0,"No evidence location","Re-check overdue")),IF(N113="Amber",IF(I113="Partly met","Partly met","Re-check due ≤30 days"),""))</f>
        <v/>
      </c>
      <c r="P113" s="21" t="n"/>
    </row>
    <row r="114">
      <c r="A114" s="21" t="n"/>
      <c r="B114" s="22" t="n"/>
      <c r="C114" s="23" t="n"/>
      <c r="D114" s="23" t="n"/>
      <c r="E114" s="21" t="n"/>
      <c r="F114" s="21" t="n"/>
      <c r="G114" s="21" t="n"/>
      <c r="H114" s="24" t="n"/>
      <c r="I114" s="21" t="n"/>
      <c r="J114" s="21" t="n"/>
      <c r="K114" s="22" t="n"/>
      <c r="L114" s="25">
        <f>IF(ISNUMBER(H114),EDATE(H114,IF(ISNUMBER(K114),K114,3)),"")</f>
        <v/>
      </c>
      <c r="M114" s="26">
        <f>IF(L114="","",IF(ISNUMBER(L114),L114-TODAY(),"Check date"))</f>
        <v/>
      </c>
      <c r="N114" s="27">
        <f>IF(LEN(C114)=0,"",IF(I114="N/A","N/A",IF(OR(I114="",NOT(ISNUMBER(H114))),"Not checked",IF(OR(I114="Not met",LEN(J114)=0,M114&lt;0),"Red",IF(OR(I114="Partly met",M114&lt;=30),"Amber","Green")))))</f>
        <v/>
      </c>
      <c r="O114" s="27">
        <f>IF(N114="Red",IF(I114="Not met","Not met",IF(LEN(J114)=0,"No evidence location","Re-check overdue")),IF(N114="Amber",IF(I114="Partly met","Partly met","Re-check due ≤30 days"),""))</f>
        <v/>
      </c>
      <c r="P114" s="21" t="n"/>
    </row>
    <row r="115">
      <c r="A115" s="21" t="n"/>
      <c r="B115" s="22" t="n"/>
      <c r="C115" s="23" t="n"/>
      <c r="D115" s="23" t="n"/>
      <c r="E115" s="21" t="n"/>
      <c r="F115" s="21" t="n"/>
      <c r="G115" s="21" t="n"/>
      <c r="H115" s="24" t="n"/>
      <c r="I115" s="21" t="n"/>
      <c r="J115" s="21" t="n"/>
      <c r="K115" s="22" t="n"/>
      <c r="L115" s="25">
        <f>IF(ISNUMBER(H115),EDATE(H115,IF(ISNUMBER(K115),K115,3)),"")</f>
        <v/>
      </c>
      <c r="M115" s="26">
        <f>IF(L115="","",IF(ISNUMBER(L115),L115-TODAY(),"Check date"))</f>
        <v/>
      </c>
      <c r="N115" s="27">
        <f>IF(LEN(C115)=0,"",IF(I115="N/A","N/A",IF(OR(I115="",NOT(ISNUMBER(H115))),"Not checked",IF(OR(I115="Not met",LEN(J115)=0,M115&lt;0),"Red",IF(OR(I115="Partly met",M115&lt;=30),"Amber","Green")))))</f>
        <v/>
      </c>
      <c r="O115" s="27">
        <f>IF(N115="Red",IF(I115="Not met","Not met",IF(LEN(J115)=0,"No evidence location","Re-check overdue")),IF(N115="Amber",IF(I115="Partly met","Partly met","Re-check due ≤30 days"),""))</f>
        <v/>
      </c>
      <c r="P115" s="21" t="n"/>
    </row>
    <row r="116">
      <c r="A116" s="21" t="n"/>
      <c r="B116" s="22" t="n"/>
      <c r="C116" s="23" t="n"/>
      <c r="D116" s="23" t="n"/>
      <c r="E116" s="21" t="n"/>
      <c r="F116" s="21" t="n"/>
      <c r="G116" s="21" t="n"/>
      <c r="H116" s="24" t="n"/>
      <c r="I116" s="21" t="n"/>
      <c r="J116" s="21" t="n"/>
      <c r="K116" s="22" t="n"/>
      <c r="L116" s="25">
        <f>IF(ISNUMBER(H116),EDATE(H116,IF(ISNUMBER(K116),K116,3)),"")</f>
        <v/>
      </c>
      <c r="M116" s="26">
        <f>IF(L116="","",IF(ISNUMBER(L116),L116-TODAY(),"Check date"))</f>
        <v/>
      </c>
      <c r="N116" s="27">
        <f>IF(LEN(C116)=0,"",IF(I116="N/A","N/A",IF(OR(I116="",NOT(ISNUMBER(H116))),"Not checked",IF(OR(I116="Not met",LEN(J116)=0,M116&lt;0),"Red",IF(OR(I116="Partly met",M116&lt;=30),"Amber","Green")))))</f>
        <v/>
      </c>
      <c r="O116" s="27">
        <f>IF(N116="Red",IF(I116="Not met","Not met",IF(LEN(J116)=0,"No evidence location","Re-check overdue")),IF(N116="Amber",IF(I116="Partly met","Partly met","Re-check due ≤30 days"),""))</f>
        <v/>
      </c>
      <c r="P116" s="21" t="n"/>
    </row>
    <row r="117">
      <c r="A117" s="21" t="n"/>
      <c r="B117" s="22" t="n"/>
      <c r="C117" s="23" t="n"/>
      <c r="D117" s="23" t="n"/>
      <c r="E117" s="21" t="n"/>
      <c r="F117" s="21" t="n"/>
      <c r="G117" s="21" t="n"/>
      <c r="H117" s="24" t="n"/>
      <c r="I117" s="21" t="n"/>
      <c r="J117" s="21" t="n"/>
      <c r="K117" s="22" t="n"/>
      <c r="L117" s="25">
        <f>IF(ISNUMBER(H117),EDATE(H117,IF(ISNUMBER(K117),K117,3)),"")</f>
        <v/>
      </c>
      <c r="M117" s="26">
        <f>IF(L117="","",IF(ISNUMBER(L117),L117-TODAY(),"Check date"))</f>
        <v/>
      </c>
      <c r="N117" s="27">
        <f>IF(LEN(C117)=0,"",IF(I117="N/A","N/A",IF(OR(I117="",NOT(ISNUMBER(H117))),"Not checked",IF(OR(I117="Not met",LEN(J117)=0,M117&lt;0),"Red",IF(OR(I117="Partly met",M117&lt;=30),"Amber","Green")))))</f>
        <v/>
      </c>
      <c r="O117" s="27">
        <f>IF(N117="Red",IF(I117="Not met","Not met",IF(LEN(J117)=0,"No evidence location","Re-check overdue")),IF(N117="Amber",IF(I117="Partly met","Partly met","Re-check due ≤30 days"),""))</f>
        <v/>
      </c>
      <c r="P117" s="21" t="n"/>
    </row>
    <row r="118">
      <c r="A118" s="21" t="n"/>
      <c r="B118" s="22" t="n"/>
      <c r="C118" s="23" t="n"/>
      <c r="D118" s="23" t="n"/>
      <c r="E118" s="21" t="n"/>
      <c r="F118" s="21" t="n"/>
      <c r="G118" s="21" t="n"/>
      <c r="H118" s="24" t="n"/>
      <c r="I118" s="21" t="n"/>
      <c r="J118" s="21" t="n"/>
      <c r="K118" s="22" t="n"/>
      <c r="L118" s="25">
        <f>IF(ISNUMBER(H118),EDATE(H118,IF(ISNUMBER(K118),K118,3)),"")</f>
        <v/>
      </c>
      <c r="M118" s="26">
        <f>IF(L118="","",IF(ISNUMBER(L118),L118-TODAY(),"Check date"))</f>
        <v/>
      </c>
      <c r="N118" s="27">
        <f>IF(LEN(C118)=0,"",IF(I118="N/A","N/A",IF(OR(I118="",NOT(ISNUMBER(H118))),"Not checked",IF(OR(I118="Not met",LEN(J118)=0,M118&lt;0),"Red",IF(OR(I118="Partly met",M118&lt;=30),"Amber","Green")))))</f>
        <v/>
      </c>
      <c r="O118" s="27">
        <f>IF(N118="Red",IF(I118="Not met","Not met",IF(LEN(J118)=0,"No evidence location","Re-check overdue")),IF(N118="Amber",IF(I118="Partly met","Partly met","Re-check due ≤30 days"),""))</f>
        <v/>
      </c>
      <c r="P118" s="21" t="n"/>
    </row>
    <row r="119">
      <c r="A119" s="21" t="n"/>
      <c r="B119" s="22" t="n"/>
      <c r="C119" s="23" t="n"/>
      <c r="D119" s="23" t="n"/>
      <c r="E119" s="21" t="n"/>
      <c r="F119" s="21" t="n"/>
      <c r="G119" s="21" t="n"/>
      <c r="H119" s="24" t="n"/>
      <c r="I119" s="21" t="n"/>
      <c r="J119" s="21" t="n"/>
      <c r="K119" s="22" t="n"/>
      <c r="L119" s="25">
        <f>IF(ISNUMBER(H119),EDATE(H119,IF(ISNUMBER(K119),K119,3)),"")</f>
        <v/>
      </c>
      <c r="M119" s="26">
        <f>IF(L119="","",IF(ISNUMBER(L119),L119-TODAY(),"Check date"))</f>
        <v/>
      </c>
      <c r="N119" s="27">
        <f>IF(LEN(C119)=0,"",IF(I119="N/A","N/A",IF(OR(I119="",NOT(ISNUMBER(H119))),"Not checked",IF(OR(I119="Not met",LEN(J119)=0,M119&lt;0),"Red",IF(OR(I119="Partly met",M119&lt;=30),"Amber","Green")))))</f>
        <v/>
      </c>
      <c r="O119" s="27">
        <f>IF(N119="Red",IF(I119="Not met","Not met",IF(LEN(J119)=0,"No evidence location","Re-check overdue")),IF(N119="Amber",IF(I119="Partly met","Partly met","Re-check due ≤30 days"),""))</f>
        <v/>
      </c>
      <c r="P119" s="21" t="n"/>
    </row>
    <row r="120">
      <c r="A120" s="21" t="n"/>
      <c r="B120" s="22" t="n"/>
      <c r="C120" s="23" t="n"/>
      <c r="D120" s="23" t="n"/>
      <c r="E120" s="21" t="n"/>
      <c r="F120" s="21" t="n"/>
      <c r="G120" s="21" t="n"/>
      <c r="H120" s="24" t="n"/>
      <c r="I120" s="21" t="n"/>
      <c r="J120" s="21" t="n"/>
      <c r="K120" s="22" t="n"/>
      <c r="L120" s="25">
        <f>IF(ISNUMBER(H120),EDATE(H120,IF(ISNUMBER(K120),K120,3)),"")</f>
        <v/>
      </c>
      <c r="M120" s="26">
        <f>IF(L120="","",IF(ISNUMBER(L120),L120-TODAY(),"Check date"))</f>
        <v/>
      </c>
      <c r="N120" s="27">
        <f>IF(LEN(C120)=0,"",IF(I120="N/A","N/A",IF(OR(I120="",NOT(ISNUMBER(H120))),"Not checked",IF(OR(I120="Not met",LEN(J120)=0,M120&lt;0),"Red",IF(OR(I120="Partly met",M120&lt;=30),"Amber","Green")))))</f>
        <v/>
      </c>
      <c r="O120" s="27">
        <f>IF(N120="Red",IF(I120="Not met","Not met",IF(LEN(J120)=0,"No evidence location","Re-check overdue")),IF(N120="Amber",IF(I120="Partly met","Partly met","Re-check due ≤30 days"),""))</f>
        <v/>
      </c>
      <c r="P120" s="21" t="n"/>
    </row>
    <row r="121">
      <c r="A121" s="21" t="n"/>
      <c r="B121" s="22" t="n"/>
      <c r="C121" s="23" t="n"/>
      <c r="D121" s="23" t="n"/>
      <c r="E121" s="21" t="n"/>
      <c r="F121" s="21" t="n"/>
      <c r="G121" s="21" t="n"/>
      <c r="H121" s="24" t="n"/>
      <c r="I121" s="21" t="n"/>
      <c r="J121" s="21" t="n"/>
      <c r="K121" s="22" t="n"/>
      <c r="L121" s="25">
        <f>IF(ISNUMBER(H121),EDATE(H121,IF(ISNUMBER(K121),K121,3)),"")</f>
        <v/>
      </c>
      <c r="M121" s="26">
        <f>IF(L121="","",IF(ISNUMBER(L121),L121-TODAY(),"Check date"))</f>
        <v/>
      </c>
      <c r="N121" s="27">
        <f>IF(LEN(C121)=0,"",IF(I121="N/A","N/A",IF(OR(I121="",NOT(ISNUMBER(H121))),"Not checked",IF(OR(I121="Not met",LEN(J121)=0,M121&lt;0),"Red",IF(OR(I121="Partly met",M121&lt;=30),"Amber","Green")))))</f>
        <v/>
      </c>
      <c r="O121" s="27">
        <f>IF(N121="Red",IF(I121="Not met","Not met",IF(LEN(J121)=0,"No evidence location","Re-check overdue")),IF(N121="Amber",IF(I121="Partly met","Partly met","Re-check due ≤30 days"),""))</f>
        <v/>
      </c>
      <c r="P121" s="21" t="n"/>
    </row>
    <row r="122">
      <c r="A122" s="21" t="n"/>
      <c r="B122" s="22" t="n"/>
      <c r="C122" s="23" t="n"/>
      <c r="D122" s="23" t="n"/>
      <c r="E122" s="21" t="n"/>
      <c r="F122" s="21" t="n"/>
      <c r="G122" s="21" t="n"/>
      <c r="H122" s="24" t="n"/>
      <c r="I122" s="21" t="n"/>
      <c r="J122" s="21" t="n"/>
      <c r="K122" s="22" t="n"/>
      <c r="L122" s="25">
        <f>IF(ISNUMBER(H122),EDATE(H122,IF(ISNUMBER(K122),K122,3)),"")</f>
        <v/>
      </c>
      <c r="M122" s="26">
        <f>IF(L122="","",IF(ISNUMBER(L122),L122-TODAY(),"Check date"))</f>
        <v/>
      </c>
      <c r="N122" s="27">
        <f>IF(LEN(C122)=0,"",IF(I122="N/A","N/A",IF(OR(I122="",NOT(ISNUMBER(H122))),"Not checked",IF(OR(I122="Not met",LEN(J122)=0,M122&lt;0),"Red",IF(OR(I122="Partly met",M122&lt;=30),"Amber","Green")))))</f>
        <v/>
      </c>
      <c r="O122" s="27">
        <f>IF(N122="Red",IF(I122="Not met","Not met",IF(LEN(J122)=0,"No evidence location","Re-check overdue")),IF(N122="Amber",IF(I122="Partly met","Partly met","Re-check due ≤30 days"),""))</f>
        <v/>
      </c>
      <c r="P122" s="21" t="n"/>
    </row>
    <row r="123">
      <c r="A123" s="21" t="n"/>
      <c r="B123" s="22" t="n"/>
      <c r="C123" s="23" t="n"/>
      <c r="D123" s="23" t="n"/>
      <c r="E123" s="21" t="n"/>
      <c r="F123" s="21" t="n"/>
      <c r="G123" s="21" t="n"/>
      <c r="H123" s="24" t="n"/>
      <c r="I123" s="21" t="n"/>
      <c r="J123" s="21" t="n"/>
      <c r="K123" s="22" t="n"/>
      <c r="L123" s="25">
        <f>IF(ISNUMBER(H123),EDATE(H123,IF(ISNUMBER(K123),K123,3)),"")</f>
        <v/>
      </c>
      <c r="M123" s="26">
        <f>IF(L123="","",IF(ISNUMBER(L123),L123-TODAY(),"Check date"))</f>
        <v/>
      </c>
      <c r="N123" s="27">
        <f>IF(LEN(C123)=0,"",IF(I123="N/A","N/A",IF(OR(I123="",NOT(ISNUMBER(H123))),"Not checked",IF(OR(I123="Not met",LEN(J123)=0,M123&lt;0),"Red",IF(OR(I123="Partly met",M123&lt;=30),"Amber","Green")))))</f>
        <v/>
      </c>
      <c r="O123" s="27">
        <f>IF(N123="Red",IF(I123="Not met","Not met",IF(LEN(J123)=0,"No evidence location","Re-check overdue")),IF(N123="Amber",IF(I123="Partly met","Partly met","Re-check due ≤30 days"),""))</f>
        <v/>
      </c>
      <c r="P123" s="21" t="n"/>
    </row>
    <row r="124">
      <c r="A124" s="21" t="n"/>
      <c r="B124" s="22" t="n"/>
      <c r="C124" s="23" t="n"/>
      <c r="D124" s="23" t="n"/>
      <c r="E124" s="21" t="n"/>
      <c r="F124" s="21" t="n"/>
      <c r="G124" s="21" t="n"/>
      <c r="H124" s="24" t="n"/>
      <c r="I124" s="21" t="n"/>
      <c r="J124" s="21" t="n"/>
      <c r="K124" s="22" t="n"/>
      <c r="L124" s="25">
        <f>IF(ISNUMBER(H124),EDATE(H124,IF(ISNUMBER(K124),K124,3)),"")</f>
        <v/>
      </c>
      <c r="M124" s="26">
        <f>IF(L124="","",IF(ISNUMBER(L124),L124-TODAY(),"Check date"))</f>
        <v/>
      </c>
      <c r="N124" s="27">
        <f>IF(LEN(C124)=0,"",IF(I124="N/A","N/A",IF(OR(I124="",NOT(ISNUMBER(H124))),"Not checked",IF(OR(I124="Not met",LEN(J124)=0,M124&lt;0),"Red",IF(OR(I124="Partly met",M124&lt;=30),"Amber","Green")))))</f>
        <v/>
      </c>
      <c r="O124" s="27">
        <f>IF(N124="Red",IF(I124="Not met","Not met",IF(LEN(J124)=0,"No evidence location","Re-check overdue")),IF(N124="Amber",IF(I124="Partly met","Partly met","Re-check due ≤30 days"),""))</f>
        <v/>
      </c>
      <c r="P124" s="21" t="n"/>
    </row>
    <row r="125">
      <c r="A125" s="21" t="n"/>
      <c r="B125" s="22" t="n"/>
      <c r="C125" s="23" t="n"/>
      <c r="D125" s="23" t="n"/>
      <c r="E125" s="21" t="n"/>
      <c r="F125" s="21" t="n"/>
      <c r="G125" s="21" t="n"/>
      <c r="H125" s="24" t="n"/>
      <c r="I125" s="21" t="n"/>
      <c r="J125" s="21" t="n"/>
      <c r="K125" s="22" t="n"/>
      <c r="L125" s="25">
        <f>IF(ISNUMBER(H125),EDATE(H125,IF(ISNUMBER(K125),K125,3)),"")</f>
        <v/>
      </c>
      <c r="M125" s="26">
        <f>IF(L125="","",IF(ISNUMBER(L125),L125-TODAY(),"Check date"))</f>
        <v/>
      </c>
      <c r="N125" s="27">
        <f>IF(LEN(C125)=0,"",IF(I125="N/A","N/A",IF(OR(I125="",NOT(ISNUMBER(H125))),"Not checked",IF(OR(I125="Not met",LEN(J125)=0,M125&lt;0),"Red",IF(OR(I125="Partly met",M125&lt;=30),"Amber","Green")))))</f>
        <v/>
      </c>
      <c r="O125" s="27">
        <f>IF(N125="Red",IF(I125="Not met","Not met",IF(LEN(J125)=0,"No evidence location","Re-check overdue")),IF(N125="Amber",IF(I125="Partly met","Partly met","Re-check due ≤30 days"),""))</f>
        <v/>
      </c>
      <c r="P125" s="21" t="n"/>
    </row>
    <row r="126">
      <c r="A126" s="21" t="n"/>
      <c r="B126" s="22" t="n"/>
      <c r="C126" s="23" t="n"/>
      <c r="D126" s="23" t="n"/>
      <c r="E126" s="21" t="n"/>
      <c r="F126" s="21" t="n"/>
      <c r="G126" s="21" t="n"/>
      <c r="H126" s="24" t="n"/>
      <c r="I126" s="21" t="n"/>
      <c r="J126" s="21" t="n"/>
      <c r="K126" s="22" t="n"/>
      <c r="L126" s="25">
        <f>IF(ISNUMBER(H126),EDATE(H126,IF(ISNUMBER(K126),K126,3)),"")</f>
        <v/>
      </c>
      <c r="M126" s="26">
        <f>IF(L126="","",IF(ISNUMBER(L126),L126-TODAY(),"Check date"))</f>
        <v/>
      </c>
      <c r="N126" s="27">
        <f>IF(LEN(C126)=0,"",IF(I126="N/A","N/A",IF(OR(I126="",NOT(ISNUMBER(H126))),"Not checked",IF(OR(I126="Not met",LEN(J126)=0,M126&lt;0),"Red",IF(OR(I126="Partly met",M126&lt;=30),"Amber","Green")))))</f>
        <v/>
      </c>
      <c r="O126" s="27">
        <f>IF(N126="Red",IF(I126="Not met","Not met",IF(LEN(J126)=0,"No evidence location","Re-check overdue")),IF(N126="Amber",IF(I126="Partly met","Partly met","Re-check due ≤30 days"),""))</f>
        <v/>
      </c>
      <c r="P126" s="21" t="n"/>
    </row>
    <row r="127">
      <c r="A127" s="21" t="n"/>
      <c r="B127" s="22" t="n"/>
      <c r="C127" s="23" t="n"/>
      <c r="D127" s="23" t="n"/>
      <c r="E127" s="21" t="n"/>
      <c r="F127" s="21" t="n"/>
      <c r="G127" s="21" t="n"/>
      <c r="H127" s="24" t="n"/>
      <c r="I127" s="21" t="n"/>
      <c r="J127" s="21" t="n"/>
      <c r="K127" s="22" t="n"/>
      <c r="L127" s="25">
        <f>IF(ISNUMBER(H127),EDATE(H127,IF(ISNUMBER(K127),K127,3)),"")</f>
        <v/>
      </c>
      <c r="M127" s="26">
        <f>IF(L127="","",IF(ISNUMBER(L127),L127-TODAY(),"Check date"))</f>
        <v/>
      </c>
      <c r="N127" s="27">
        <f>IF(LEN(C127)=0,"",IF(I127="N/A","N/A",IF(OR(I127="",NOT(ISNUMBER(H127))),"Not checked",IF(OR(I127="Not met",LEN(J127)=0,M127&lt;0),"Red",IF(OR(I127="Partly met",M127&lt;=30),"Amber","Green")))))</f>
        <v/>
      </c>
      <c r="O127" s="27">
        <f>IF(N127="Red",IF(I127="Not met","Not met",IF(LEN(J127)=0,"No evidence location","Re-check overdue")),IF(N127="Amber",IF(I127="Partly met","Partly met","Re-check due ≤30 days"),""))</f>
        <v/>
      </c>
      <c r="P127" s="21" t="n"/>
    </row>
    <row r="128">
      <c r="A128" s="21" t="n"/>
      <c r="B128" s="22" t="n"/>
      <c r="C128" s="23" t="n"/>
      <c r="D128" s="23" t="n"/>
      <c r="E128" s="21" t="n"/>
      <c r="F128" s="21" t="n"/>
      <c r="G128" s="21" t="n"/>
      <c r="H128" s="24" t="n"/>
      <c r="I128" s="21" t="n"/>
      <c r="J128" s="21" t="n"/>
      <c r="K128" s="22" t="n"/>
      <c r="L128" s="25">
        <f>IF(ISNUMBER(H128),EDATE(H128,IF(ISNUMBER(K128),K128,3)),"")</f>
        <v/>
      </c>
      <c r="M128" s="26">
        <f>IF(L128="","",IF(ISNUMBER(L128),L128-TODAY(),"Check date"))</f>
        <v/>
      </c>
      <c r="N128" s="27">
        <f>IF(LEN(C128)=0,"",IF(I128="N/A","N/A",IF(OR(I128="",NOT(ISNUMBER(H128))),"Not checked",IF(OR(I128="Not met",LEN(J128)=0,M128&lt;0),"Red",IF(OR(I128="Partly met",M128&lt;=30),"Amber","Green")))))</f>
        <v/>
      </c>
      <c r="O128" s="27">
        <f>IF(N128="Red",IF(I128="Not met","Not met",IF(LEN(J128)=0,"No evidence location","Re-check overdue")),IF(N128="Amber",IF(I128="Partly met","Partly met","Re-check due ≤30 days"),""))</f>
        <v/>
      </c>
      <c r="P128" s="21" t="n"/>
    </row>
    <row r="129">
      <c r="A129" s="21" t="n"/>
      <c r="B129" s="22" t="n"/>
      <c r="C129" s="23" t="n"/>
      <c r="D129" s="23" t="n"/>
      <c r="E129" s="21" t="n"/>
      <c r="F129" s="21" t="n"/>
      <c r="G129" s="21" t="n"/>
      <c r="H129" s="24" t="n"/>
      <c r="I129" s="21" t="n"/>
      <c r="J129" s="21" t="n"/>
      <c r="K129" s="22" t="n"/>
      <c r="L129" s="25">
        <f>IF(ISNUMBER(H129),EDATE(H129,IF(ISNUMBER(K129),K129,3)),"")</f>
        <v/>
      </c>
      <c r="M129" s="26">
        <f>IF(L129="","",IF(ISNUMBER(L129),L129-TODAY(),"Check date"))</f>
        <v/>
      </c>
      <c r="N129" s="27">
        <f>IF(LEN(C129)=0,"",IF(I129="N/A","N/A",IF(OR(I129="",NOT(ISNUMBER(H129))),"Not checked",IF(OR(I129="Not met",LEN(J129)=0,M129&lt;0),"Red",IF(OR(I129="Partly met",M129&lt;=30),"Amber","Green")))))</f>
        <v/>
      </c>
      <c r="O129" s="27">
        <f>IF(N129="Red",IF(I129="Not met","Not met",IF(LEN(J129)=0,"No evidence location","Re-check overdue")),IF(N129="Amber",IF(I129="Partly met","Partly met","Re-check due ≤30 days"),""))</f>
        <v/>
      </c>
      <c r="P129" s="21" t="n"/>
    </row>
    <row r="130">
      <c r="A130" s="21" t="n"/>
      <c r="B130" s="22" t="n"/>
      <c r="C130" s="23" t="n"/>
      <c r="D130" s="23" t="n"/>
      <c r="E130" s="21" t="n"/>
      <c r="F130" s="21" t="n"/>
      <c r="G130" s="21" t="n"/>
      <c r="H130" s="24" t="n"/>
      <c r="I130" s="21" t="n"/>
      <c r="J130" s="21" t="n"/>
      <c r="K130" s="22" t="n"/>
      <c r="L130" s="25">
        <f>IF(ISNUMBER(H130),EDATE(H130,IF(ISNUMBER(K130),K130,3)),"")</f>
        <v/>
      </c>
      <c r="M130" s="26">
        <f>IF(L130="","",IF(ISNUMBER(L130),L130-TODAY(),"Check date"))</f>
        <v/>
      </c>
      <c r="N130" s="27">
        <f>IF(LEN(C130)=0,"",IF(I130="N/A","N/A",IF(OR(I130="",NOT(ISNUMBER(H130))),"Not checked",IF(OR(I130="Not met",LEN(J130)=0,M130&lt;0),"Red",IF(OR(I130="Partly met",M130&lt;=30),"Amber","Green")))))</f>
        <v/>
      </c>
      <c r="O130" s="27">
        <f>IF(N130="Red",IF(I130="Not met","Not met",IF(LEN(J130)=0,"No evidence location","Re-check overdue")),IF(N130="Amber",IF(I130="Partly met","Partly met","Re-check due ≤30 days"),""))</f>
        <v/>
      </c>
      <c r="P130" s="21" t="n"/>
    </row>
    <row r="131">
      <c r="A131" s="21" t="n"/>
      <c r="B131" s="22" t="n"/>
      <c r="C131" s="23" t="n"/>
      <c r="D131" s="23" t="n"/>
      <c r="E131" s="21" t="n"/>
      <c r="F131" s="21" t="n"/>
      <c r="G131" s="21" t="n"/>
      <c r="H131" s="24" t="n"/>
      <c r="I131" s="21" t="n"/>
      <c r="J131" s="21" t="n"/>
      <c r="K131" s="22" t="n"/>
      <c r="L131" s="25">
        <f>IF(ISNUMBER(H131),EDATE(H131,IF(ISNUMBER(K131),K131,3)),"")</f>
        <v/>
      </c>
      <c r="M131" s="26">
        <f>IF(L131="","",IF(ISNUMBER(L131),L131-TODAY(),"Check date"))</f>
        <v/>
      </c>
      <c r="N131" s="27">
        <f>IF(LEN(C131)=0,"",IF(I131="N/A","N/A",IF(OR(I131="",NOT(ISNUMBER(H131))),"Not checked",IF(OR(I131="Not met",LEN(J131)=0,M131&lt;0),"Red",IF(OR(I131="Partly met",M131&lt;=30),"Amber","Green")))))</f>
        <v/>
      </c>
      <c r="O131" s="27">
        <f>IF(N131="Red",IF(I131="Not met","Not met",IF(LEN(J131)=0,"No evidence location","Re-check overdue")),IF(N131="Amber",IF(I131="Partly met","Partly met","Re-check due ≤30 days"),""))</f>
        <v/>
      </c>
      <c r="P131" s="21" t="n"/>
    </row>
    <row r="132">
      <c r="A132" s="21" t="n"/>
      <c r="B132" s="22" t="n"/>
      <c r="C132" s="23" t="n"/>
      <c r="D132" s="23" t="n"/>
      <c r="E132" s="21" t="n"/>
      <c r="F132" s="21" t="n"/>
      <c r="G132" s="21" t="n"/>
      <c r="H132" s="24" t="n"/>
      <c r="I132" s="21" t="n"/>
      <c r="J132" s="21" t="n"/>
      <c r="K132" s="22" t="n"/>
      <c r="L132" s="25">
        <f>IF(ISNUMBER(H132),EDATE(H132,IF(ISNUMBER(K132),K132,3)),"")</f>
        <v/>
      </c>
      <c r="M132" s="26">
        <f>IF(L132="","",IF(ISNUMBER(L132),L132-TODAY(),"Check date"))</f>
        <v/>
      </c>
      <c r="N132" s="27">
        <f>IF(LEN(C132)=0,"",IF(I132="N/A","N/A",IF(OR(I132="",NOT(ISNUMBER(H132))),"Not checked",IF(OR(I132="Not met",LEN(J132)=0,M132&lt;0),"Red",IF(OR(I132="Partly met",M132&lt;=30),"Amber","Green")))))</f>
        <v/>
      </c>
      <c r="O132" s="27">
        <f>IF(N132="Red",IF(I132="Not met","Not met",IF(LEN(J132)=0,"No evidence location","Re-check overdue")),IF(N132="Amber",IF(I132="Partly met","Partly met","Re-check due ≤30 days"),""))</f>
        <v/>
      </c>
      <c r="P132" s="21" t="n"/>
    </row>
    <row r="133">
      <c r="A133" s="21" t="n"/>
      <c r="B133" s="22" t="n"/>
      <c r="C133" s="23" t="n"/>
      <c r="D133" s="23" t="n"/>
      <c r="E133" s="21" t="n"/>
      <c r="F133" s="21" t="n"/>
      <c r="G133" s="21" t="n"/>
      <c r="H133" s="24" t="n"/>
      <c r="I133" s="21" t="n"/>
      <c r="J133" s="21" t="n"/>
      <c r="K133" s="22" t="n"/>
      <c r="L133" s="25">
        <f>IF(ISNUMBER(H133),EDATE(H133,IF(ISNUMBER(K133),K133,3)),"")</f>
        <v/>
      </c>
      <c r="M133" s="26">
        <f>IF(L133="","",IF(ISNUMBER(L133),L133-TODAY(),"Check date"))</f>
        <v/>
      </c>
      <c r="N133" s="27">
        <f>IF(LEN(C133)=0,"",IF(I133="N/A","N/A",IF(OR(I133="",NOT(ISNUMBER(H133))),"Not checked",IF(OR(I133="Not met",LEN(J133)=0,M133&lt;0),"Red",IF(OR(I133="Partly met",M133&lt;=30),"Amber","Green")))))</f>
        <v/>
      </c>
      <c r="O133" s="27">
        <f>IF(N133="Red",IF(I133="Not met","Not met",IF(LEN(J133)=0,"No evidence location","Re-check overdue")),IF(N133="Amber",IF(I133="Partly met","Partly met","Re-check due ≤30 days"),""))</f>
        <v/>
      </c>
      <c r="P133" s="21" t="n"/>
    </row>
    <row r="134">
      <c r="A134" s="21" t="n"/>
      <c r="B134" s="22" t="n"/>
      <c r="C134" s="23" t="n"/>
      <c r="D134" s="23" t="n"/>
      <c r="E134" s="21" t="n"/>
      <c r="F134" s="21" t="n"/>
      <c r="G134" s="21" t="n"/>
      <c r="H134" s="24" t="n"/>
      <c r="I134" s="21" t="n"/>
      <c r="J134" s="21" t="n"/>
      <c r="K134" s="22" t="n"/>
      <c r="L134" s="25">
        <f>IF(ISNUMBER(H134),EDATE(H134,IF(ISNUMBER(K134),K134,3)),"")</f>
        <v/>
      </c>
      <c r="M134" s="26">
        <f>IF(L134="","",IF(ISNUMBER(L134),L134-TODAY(),"Check date"))</f>
        <v/>
      </c>
      <c r="N134" s="27">
        <f>IF(LEN(C134)=0,"",IF(I134="N/A","N/A",IF(OR(I134="",NOT(ISNUMBER(H134))),"Not checked",IF(OR(I134="Not met",LEN(J134)=0,M134&lt;0),"Red",IF(OR(I134="Partly met",M134&lt;=30),"Amber","Green")))))</f>
        <v/>
      </c>
      <c r="O134" s="27">
        <f>IF(N134="Red",IF(I134="Not met","Not met",IF(LEN(J134)=0,"No evidence location","Re-check overdue")),IF(N134="Amber",IF(I134="Partly met","Partly met","Re-check due ≤30 days"),""))</f>
        <v/>
      </c>
      <c r="P134" s="21" t="n"/>
    </row>
    <row r="135">
      <c r="A135" s="21" t="n"/>
      <c r="B135" s="22" t="n"/>
      <c r="C135" s="23" t="n"/>
      <c r="D135" s="23" t="n"/>
      <c r="E135" s="21" t="n"/>
      <c r="F135" s="21" t="n"/>
      <c r="G135" s="21" t="n"/>
      <c r="H135" s="24" t="n"/>
      <c r="I135" s="21" t="n"/>
      <c r="J135" s="21" t="n"/>
      <c r="K135" s="22" t="n"/>
      <c r="L135" s="25">
        <f>IF(ISNUMBER(H135),EDATE(H135,IF(ISNUMBER(K135),K135,3)),"")</f>
        <v/>
      </c>
      <c r="M135" s="26">
        <f>IF(L135="","",IF(ISNUMBER(L135),L135-TODAY(),"Check date"))</f>
        <v/>
      </c>
      <c r="N135" s="27">
        <f>IF(LEN(C135)=0,"",IF(I135="N/A","N/A",IF(OR(I135="",NOT(ISNUMBER(H135))),"Not checked",IF(OR(I135="Not met",LEN(J135)=0,M135&lt;0),"Red",IF(OR(I135="Partly met",M135&lt;=30),"Amber","Green")))))</f>
        <v/>
      </c>
      <c r="O135" s="27">
        <f>IF(N135="Red",IF(I135="Not met","Not met",IF(LEN(J135)=0,"No evidence location","Re-check overdue")),IF(N135="Amber",IF(I135="Partly met","Partly met","Re-check due ≤30 days"),""))</f>
        <v/>
      </c>
      <c r="P135" s="21" t="n"/>
    </row>
    <row r="136">
      <c r="A136" s="21" t="n"/>
      <c r="B136" s="22" t="n"/>
      <c r="C136" s="23" t="n"/>
      <c r="D136" s="23" t="n"/>
      <c r="E136" s="21" t="n"/>
      <c r="F136" s="21" t="n"/>
      <c r="G136" s="21" t="n"/>
      <c r="H136" s="24" t="n"/>
      <c r="I136" s="21" t="n"/>
      <c r="J136" s="21" t="n"/>
      <c r="K136" s="22" t="n"/>
      <c r="L136" s="25">
        <f>IF(ISNUMBER(H136),EDATE(H136,IF(ISNUMBER(K136),K136,3)),"")</f>
        <v/>
      </c>
      <c r="M136" s="26">
        <f>IF(L136="","",IF(ISNUMBER(L136),L136-TODAY(),"Check date"))</f>
        <v/>
      </c>
      <c r="N136" s="27">
        <f>IF(LEN(C136)=0,"",IF(I136="N/A","N/A",IF(OR(I136="",NOT(ISNUMBER(H136))),"Not checked",IF(OR(I136="Not met",LEN(J136)=0,M136&lt;0),"Red",IF(OR(I136="Partly met",M136&lt;=30),"Amber","Green")))))</f>
        <v/>
      </c>
      <c r="O136" s="27">
        <f>IF(N136="Red",IF(I136="Not met","Not met",IF(LEN(J136)=0,"No evidence location","Re-check overdue")),IF(N136="Amber",IF(I136="Partly met","Partly met","Re-check due ≤30 days"),""))</f>
        <v/>
      </c>
      <c r="P136" s="21" t="n"/>
    </row>
    <row r="137">
      <c r="A137" s="21" t="n"/>
      <c r="B137" s="22" t="n"/>
      <c r="C137" s="23" t="n"/>
      <c r="D137" s="23" t="n"/>
      <c r="E137" s="21" t="n"/>
      <c r="F137" s="21" t="n"/>
      <c r="G137" s="21" t="n"/>
      <c r="H137" s="24" t="n"/>
      <c r="I137" s="21" t="n"/>
      <c r="J137" s="21" t="n"/>
      <c r="K137" s="22" t="n"/>
      <c r="L137" s="25">
        <f>IF(ISNUMBER(H137),EDATE(H137,IF(ISNUMBER(K137),K137,3)),"")</f>
        <v/>
      </c>
      <c r="M137" s="26">
        <f>IF(L137="","",IF(ISNUMBER(L137),L137-TODAY(),"Check date"))</f>
        <v/>
      </c>
      <c r="N137" s="27">
        <f>IF(LEN(C137)=0,"",IF(I137="N/A","N/A",IF(OR(I137="",NOT(ISNUMBER(H137))),"Not checked",IF(OR(I137="Not met",LEN(J137)=0,M137&lt;0),"Red",IF(OR(I137="Partly met",M137&lt;=30),"Amber","Green")))))</f>
        <v/>
      </c>
      <c r="O137" s="27">
        <f>IF(N137="Red",IF(I137="Not met","Not met",IF(LEN(J137)=0,"No evidence location","Re-check overdue")),IF(N137="Amber",IF(I137="Partly met","Partly met","Re-check due ≤30 days"),""))</f>
        <v/>
      </c>
      <c r="P137" s="21" t="n"/>
    </row>
    <row r="138">
      <c r="A138" s="21" t="n"/>
      <c r="B138" s="22" t="n"/>
      <c r="C138" s="23" t="n"/>
      <c r="D138" s="23" t="n"/>
      <c r="E138" s="21" t="n"/>
      <c r="F138" s="21" t="n"/>
      <c r="G138" s="21" t="n"/>
      <c r="H138" s="24" t="n"/>
      <c r="I138" s="21" t="n"/>
      <c r="J138" s="21" t="n"/>
      <c r="K138" s="22" t="n"/>
      <c r="L138" s="25">
        <f>IF(ISNUMBER(H138),EDATE(H138,IF(ISNUMBER(K138),K138,3)),"")</f>
        <v/>
      </c>
      <c r="M138" s="26">
        <f>IF(L138="","",IF(ISNUMBER(L138),L138-TODAY(),"Check date"))</f>
        <v/>
      </c>
      <c r="N138" s="27">
        <f>IF(LEN(C138)=0,"",IF(I138="N/A","N/A",IF(OR(I138="",NOT(ISNUMBER(H138))),"Not checked",IF(OR(I138="Not met",LEN(J138)=0,M138&lt;0),"Red",IF(OR(I138="Partly met",M138&lt;=30),"Amber","Green")))))</f>
        <v/>
      </c>
      <c r="O138" s="27">
        <f>IF(N138="Red",IF(I138="Not met","Not met",IF(LEN(J138)=0,"No evidence location","Re-check overdue")),IF(N138="Amber",IF(I138="Partly met","Partly met","Re-check due ≤30 days"),""))</f>
        <v/>
      </c>
      <c r="P138" s="21" t="n"/>
    </row>
    <row r="139">
      <c r="A139" s="21" t="n"/>
      <c r="B139" s="22" t="n"/>
      <c r="C139" s="23" t="n"/>
      <c r="D139" s="23" t="n"/>
      <c r="E139" s="21" t="n"/>
      <c r="F139" s="21" t="n"/>
      <c r="G139" s="21" t="n"/>
      <c r="H139" s="24" t="n"/>
      <c r="I139" s="21" t="n"/>
      <c r="J139" s="21" t="n"/>
      <c r="K139" s="22" t="n"/>
      <c r="L139" s="25">
        <f>IF(ISNUMBER(H139),EDATE(H139,IF(ISNUMBER(K139),K139,3)),"")</f>
        <v/>
      </c>
      <c r="M139" s="26">
        <f>IF(L139="","",IF(ISNUMBER(L139),L139-TODAY(),"Check date"))</f>
        <v/>
      </c>
      <c r="N139" s="27">
        <f>IF(LEN(C139)=0,"",IF(I139="N/A","N/A",IF(OR(I139="",NOT(ISNUMBER(H139))),"Not checked",IF(OR(I139="Not met",LEN(J139)=0,M139&lt;0),"Red",IF(OR(I139="Partly met",M139&lt;=30),"Amber","Green")))))</f>
        <v/>
      </c>
      <c r="O139" s="27">
        <f>IF(N139="Red",IF(I139="Not met","Not met",IF(LEN(J139)=0,"No evidence location","Re-check overdue")),IF(N139="Amber",IF(I139="Partly met","Partly met","Re-check due ≤30 days"),""))</f>
        <v/>
      </c>
      <c r="P139" s="21" t="n"/>
    </row>
    <row r="140">
      <c r="A140" s="21" t="n"/>
      <c r="B140" s="22" t="n"/>
      <c r="C140" s="23" t="n"/>
      <c r="D140" s="23" t="n"/>
      <c r="E140" s="21" t="n"/>
      <c r="F140" s="21" t="n"/>
      <c r="G140" s="21" t="n"/>
      <c r="H140" s="24" t="n"/>
      <c r="I140" s="21" t="n"/>
      <c r="J140" s="21" t="n"/>
      <c r="K140" s="22" t="n"/>
      <c r="L140" s="25">
        <f>IF(ISNUMBER(H140),EDATE(H140,IF(ISNUMBER(K140),K140,3)),"")</f>
        <v/>
      </c>
      <c r="M140" s="26">
        <f>IF(L140="","",IF(ISNUMBER(L140),L140-TODAY(),"Check date"))</f>
        <v/>
      </c>
      <c r="N140" s="27">
        <f>IF(LEN(C140)=0,"",IF(I140="N/A","N/A",IF(OR(I140="",NOT(ISNUMBER(H140))),"Not checked",IF(OR(I140="Not met",LEN(J140)=0,M140&lt;0),"Red",IF(OR(I140="Partly met",M140&lt;=30),"Amber","Green")))))</f>
        <v/>
      </c>
      <c r="O140" s="27">
        <f>IF(N140="Red",IF(I140="Not met","Not met",IF(LEN(J140)=0,"No evidence location","Re-check overdue")),IF(N140="Amber",IF(I140="Partly met","Partly met","Re-check due ≤30 days"),""))</f>
        <v/>
      </c>
      <c r="P140" s="21" t="n"/>
    </row>
    <row r="141">
      <c r="A141" s="21" t="n"/>
      <c r="B141" s="22" t="n"/>
      <c r="C141" s="23" t="n"/>
      <c r="D141" s="23" t="n"/>
      <c r="E141" s="21" t="n"/>
      <c r="F141" s="21" t="n"/>
      <c r="G141" s="21" t="n"/>
      <c r="H141" s="24" t="n"/>
      <c r="I141" s="21" t="n"/>
      <c r="J141" s="21" t="n"/>
      <c r="K141" s="22" t="n"/>
      <c r="L141" s="25">
        <f>IF(ISNUMBER(H141),EDATE(H141,IF(ISNUMBER(K141),K141,3)),"")</f>
        <v/>
      </c>
      <c r="M141" s="26">
        <f>IF(L141="","",IF(ISNUMBER(L141),L141-TODAY(),"Check date"))</f>
        <v/>
      </c>
      <c r="N141" s="27">
        <f>IF(LEN(C141)=0,"",IF(I141="N/A","N/A",IF(OR(I141="",NOT(ISNUMBER(H141))),"Not checked",IF(OR(I141="Not met",LEN(J141)=0,M141&lt;0),"Red",IF(OR(I141="Partly met",M141&lt;=30),"Amber","Green")))))</f>
        <v/>
      </c>
      <c r="O141" s="27">
        <f>IF(N141="Red",IF(I141="Not met","Not met",IF(LEN(J141)=0,"No evidence location","Re-check overdue")),IF(N141="Amber",IF(I141="Partly met","Partly met","Re-check due ≤30 days"),""))</f>
        <v/>
      </c>
      <c r="P141" s="21" t="n"/>
    </row>
    <row r="142">
      <c r="A142" s="21" t="n"/>
      <c r="B142" s="22" t="n"/>
      <c r="C142" s="23" t="n"/>
      <c r="D142" s="23" t="n"/>
      <c r="E142" s="21" t="n"/>
      <c r="F142" s="21" t="n"/>
      <c r="G142" s="21" t="n"/>
      <c r="H142" s="24" t="n"/>
      <c r="I142" s="21" t="n"/>
      <c r="J142" s="21" t="n"/>
      <c r="K142" s="22" t="n"/>
      <c r="L142" s="25">
        <f>IF(ISNUMBER(H142),EDATE(H142,IF(ISNUMBER(K142),K142,3)),"")</f>
        <v/>
      </c>
      <c r="M142" s="26">
        <f>IF(L142="","",IF(ISNUMBER(L142),L142-TODAY(),"Check date"))</f>
        <v/>
      </c>
      <c r="N142" s="27">
        <f>IF(LEN(C142)=0,"",IF(I142="N/A","N/A",IF(OR(I142="",NOT(ISNUMBER(H142))),"Not checked",IF(OR(I142="Not met",LEN(J142)=0,M142&lt;0),"Red",IF(OR(I142="Partly met",M142&lt;=30),"Amber","Green")))))</f>
        <v/>
      </c>
      <c r="O142" s="27">
        <f>IF(N142="Red",IF(I142="Not met","Not met",IF(LEN(J142)=0,"No evidence location","Re-check overdue")),IF(N142="Amber",IF(I142="Partly met","Partly met","Re-check due ≤30 days"),""))</f>
        <v/>
      </c>
      <c r="P142" s="21" t="n"/>
    </row>
    <row r="143">
      <c r="A143" s="21" t="n"/>
      <c r="B143" s="22" t="n"/>
      <c r="C143" s="23" t="n"/>
      <c r="D143" s="23" t="n"/>
      <c r="E143" s="21" t="n"/>
      <c r="F143" s="21" t="n"/>
      <c r="G143" s="21" t="n"/>
      <c r="H143" s="24" t="n"/>
      <c r="I143" s="21" t="n"/>
      <c r="J143" s="21" t="n"/>
      <c r="K143" s="22" t="n"/>
      <c r="L143" s="25">
        <f>IF(ISNUMBER(H143),EDATE(H143,IF(ISNUMBER(K143),K143,3)),"")</f>
        <v/>
      </c>
      <c r="M143" s="26">
        <f>IF(L143="","",IF(ISNUMBER(L143),L143-TODAY(),"Check date"))</f>
        <v/>
      </c>
      <c r="N143" s="27">
        <f>IF(LEN(C143)=0,"",IF(I143="N/A","N/A",IF(OR(I143="",NOT(ISNUMBER(H143))),"Not checked",IF(OR(I143="Not met",LEN(J143)=0,M143&lt;0),"Red",IF(OR(I143="Partly met",M143&lt;=30),"Amber","Green")))))</f>
        <v/>
      </c>
      <c r="O143" s="27">
        <f>IF(N143="Red",IF(I143="Not met","Not met",IF(LEN(J143)=0,"No evidence location","Re-check overdue")),IF(N143="Amber",IF(I143="Partly met","Partly met","Re-check due ≤30 days"),""))</f>
        <v/>
      </c>
      <c r="P143" s="21" t="n"/>
    </row>
    <row r="144">
      <c r="A144" s="21" t="n"/>
      <c r="B144" s="22" t="n"/>
      <c r="C144" s="23" t="n"/>
      <c r="D144" s="23" t="n"/>
      <c r="E144" s="21" t="n"/>
      <c r="F144" s="21" t="n"/>
      <c r="G144" s="21" t="n"/>
      <c r="H144" s="24" t="n"/>
      <c r="I144" s="21" t="n"/>
      <c r="J144" s="21" t="n"/>
      <c r="K144" s="22" t="n"/>
      <c r="L144" s="25">
        <f>IF(ISNUMBER(H144),EDATE(H144,IF(ISNUMBER(K144),K144,3)),"")</f>
        <v/>
      </c>
      <c r="M144" s="26">
        <f>IF(L144="","",IF(ISNUMBER(L144),L144-TODAY(),"Check date"))</f>
        <v/>
      </c>
      <c r="N144" s="27">
        <f>IF(LEN(C144)=0,"",IF(I144="N/A","N/A",IF(OR(I144="",NOT(ISNUMBER(H144))),"Not checked",IF(OR(I144="Not met",LEN(J144)=0,M144&lt;0),"Red",IF(OR(I144="Partly met",M144&lt;=30),"Amber","Green")))))</f>
        <v/>
      </c>
      <c r="O144" s="27">
        <f>IF(N144="Red",IF(I144="Not met","Not met",IF(LEN(J144)=0,"No evidence location","Re-check overdue")),IF(N144="Amber",IF(I144="Partly met","Partly met","Re-check due ≤30 days"),""))</f>
        <v/>
      </c>
      <c r="P144" s="21" t="n"/>
    </row>
    <row r="145">
      <c r="A145" s="21" t="n"/>
      <c r="B145" s="22" t="n"/>
      <c r="C145" s="23" t="n"/>
      <c r="D145" s="23" t="n"/>
      <c r="E145" s="21" t="n"/>
      <c r="F145" s="21" t="n"/>
      <c r="G145" s="21" t="n"/>
      <c r="H145" s="24" t="n"/>
      <c r="I145" s="21" t="n"/>
      <c r="J145" s="21" t="n"/>
      <c r="K145" s="22" t="n"/>
      <c r="L145" s="25">
        <f>IF(ISNUMBER(H145),EDATE(H145,IF(ISNUMBER(K145),K145,3)),"")</f>
        <v/>
      </c>
      <c r="M145" s="26">
        <f>IF(L145="","",IF(ISNUMBER(L145),L145-TODAY(),"Check date"))</f>
        <v/>
      </c>
      <c r="N145" s="27">
        <f>IF(LEN(C145)=0,"",IF(I145="N/A","N/A",IF(OR(I145="",NOT(ISNUMBER(H145))),"Not checked",IF(OR(I145="Not met",LEN(J145)=0,M145&lt;0),"Red",IF(OR(I145="Partly met",M145&lt;=30),"Amber","Green")))))</f>
        <v/>
      </c>
      <c r="O145" s="27">
        <f>IF(N145="Red",IF(I145="Not met","Not met",IF(LEN(J145)=0,"No evidence location","Re-check overdue")),IF(N145="Amber",IF(I145="Partly met","Partly met","Re-check due ≤30 days"),""))</f>
        <v/>
      </c>
      <c r="P145" s="21" t="n"/>
    </row>
    <row r="146">
      <c r="A146" s="21" t="n"/>
      <c r="B146" s="22" t="n"/>
      <c r="C146" s="23" t="n"/>
      <c r="D146" s="23" t="n"/>
      <c r="E146" s="21" t="n"/>
      <c r="F146" s="21" t="n"/>
      <c r="G146" s="21" t="n"/>
      <c r="H146" s="24" t="n"/>
      <c r="I146" s="21" t="n"/>
      <c r="J146" s="21" t="n"/>
      <c r="K146" s="22" t="n"/>
      <c r="L146" s="25">
        <f>IF(ISNUMBER(H146),EDATE(H146,IF(ISNUMBER(K146),K146,3)),"")</f>
        <v/>
      </c>
      <c r="M146" s="26">
        <f>IF(L146="","",IF(ISNUMBER(L146),L146-TODAY(),"Check date"))</f>
        <v/>
      </c>
      <c r="N146" s="27">
        <f>IF(LEN(C146)=0,"",IF(I146="N/A","N/A",IF(OR(I146="",NOT(ISNUMBER(H146))),"Not checked",IF(OR(I146="Not met",LEN(J146)=0,M146&lt;0),"Red",IF(OR(I146="Partly met",M146&lt;=30),"Amber","Green")))))</f>
        <v/>
      </c>
      <c r="O146" s="27">
        <f>IF(N146="Red",IF(I146="Not met","Not met",IF(LEN(J146)=0,"No evidence location","Re-check overdue")),IF(N146="Amber",IF(I146="Partly met","Partly met","Re-check due ≤30 days"),""))</f>
        <v/>
      </c>
      <c r="P146" s="21" t="n"/>
    </row>
    <row r="147">
      <c r="A147" s="21" t="n"/>
      <c r="B147" s="22" t="n"/>
      <c r="C147" s="23" t="n"/>
      <c r="D147" s="23" t="n"/>
      <c r="E147" s="21" t="n"/>
      <c r="F147" s="21" t="n"/>
      <c r="G147" s="21" t="n"/>
      <c r="H147" s="24" t="n"/>
      <c r="I147" s="21" t="n"/>
      <c r="J147" s="21" t="n"/>
      <c r="K147" s="22" t="n"/>
      <c r="L147" s="25">
        <f>IF(ISNUMBER(H147),EDATE(H147,IF(ISNUMBER(K147),K147,3)),"")</f>
        <v/>
      </c>
      <c r="M147" s="26">
        <f>IF(L147="","",IF(ISNUMBER(L147),L147-TODAY(),"Check date"))</f>
        <v/>
      </c>
      <c r="N147" s="27">
        <f>IF(LEN(C147)=0,"",IF(I147="N/A","N/A",IF(OR(I147="",NOT(ISNUMBER(H147))),"Not checked",IF(OR(I147="Not met",LEN(J147)=0,M147&lt;0),"Red",IF(OR(I147="Partly met",M147&lt;=30),"Amber","Green")))))</f>
        <v/>
      </c>
      <c r="O147" s="27">
        <f>IF(N147="Red",IF(I147="Not met","Not met",IF(LEN(J147)=0,"No evidence location","Re-check overdue")),IF(N147="Amber",IF(I147="Partly met","Partly met","Re-check due ≤30 days"),""))</f>
        <v/>
      </c>
      <c r="P147" s="21" t="n"/>
    </row>
    <row r="148">
      <c r="A148" s="21" t="n"/>
      <c r="B148" s="22" t="n"/>
      <c r="C148" s="23" t="n"/>
      <c r="D148" s="23" t="n"/>
      <c r="E148" s="21" t="n"/>
      <c r="F148" s="21" t="n"/>
      <c r="G148" s="21" t="n"/>
      <c r="H148" s="24" t="n"/>
      <c r="I148" s="21" t="n"/>
      <c r="J148" s="21" t="n"/>
      <c r="K148" s="22" t="n"/>
      <c r="L148" s="25">
        <f>IF(ISNUMBER(H148),EDATE(H148,IF(ISNUMBER(K148),K148,3)),"")</f>
        <v/>
      </c>
      <c r="M148" s="26">
        <f>IF(L148="","",IF(ISNUMBER(L148),L148-TODAY(),"Check date"))</f>
        <v/>
      </c>
      <c r="N148" s="27">
        <f>IF(LEN(C148)=0,"",IF(I148="N/A","N/A",IF(OR(I148="",NOT(ISNUMBER(H148))),"Not checked",IF(OR(I148="Not met",LEN(J148)=0,M148&lt;0),"Red",IF(OR(I148="Partly met",M148&lt;=30),"Amber","Green")))))</f>
        <v/>
      </c>
      <c r="O148" s="27">
        <f>IF(N148="Red",IF(I148="Not met","Not met",IF(LEN(J148)=0,"No evidence location","Re-check overdue")),IF(N148="Amber",IF(I148="Partly met","Partly met","Re-check due ≤30 days"),""))</f>
        <v/>
      </c>
      <c r="P148" s="21" t="n"/>
    </row>
    <row r="149">
      <c r="A149" s="21" t="n"/>
      <c r="B149" s="22" t="n"/>
      <c r="C149" s="23" t="n"/>
      <c r="D149" s="23" t="n"/>
      <c r="E149" s="21" t="n"/>
      <c r="F149" s="21" t="n"/>
      <c r="G149" s="21" t="n"/>
      <c r="H149" s="24" t="n"/>
      <c r="I149" s="21" t="n"/>
      <c r="J149" s="21" t="n"/>
      <c r="K149" s="22" t="n"/>
      <c r="L149" s="25">
        <f>IF(ISNUMBER(H149),EDATE(H149,IF(ISNUMBER(K149),K149,3)),"")</f>
        <v/>
      </c>
      <c r="M149" s="26">
        <f>IF(L149="","",IF(ISNUMBER(L149),L149-TODAY(),"Check date"))</f>
        <v/>
      </c>
      <c r="N149" s="27">
        <f>IF(LEN(C149)=0,"",IF(I149="N/A","N/A",IF(OR(I149="",NOT(ISNUMBER(H149))),"Not checked",IF(OR(I149="Not met",LEN(J149)=0,M149&lt;0),"Red",IF(OR(I149="Partly met",M149&lt;=30),"Amber","Green")))))</f>
        <v/>
      </c>
      <c r="O149" s="27">
        <f>IF(N149="Red",IF(I149="Not met","Not met",IF(LEN(J149)=0,"No evidence location","Re-check overdue")),IF(N149="Amber",IF(I149="Partly met","Partly met","Re-check due ≤30 days"),""))</f>
        <v/>
      </c>
      <c r="P149" s="21" t="n"/>
    </row>
    <row r="150">
      <c r="A150" s="21" t="n"/>
      <c r="B150" s="22" t="n"/>
      <c r="C150" s="23" t="n"/>
      <c r="D150" s="23" t="n"/>
      <c r="E150" s="21" t="n"/>
      <c r="F150" s="21" t="n"/>
      <c r="G150" s="21" t="n"/>
      <c r="H150" s="24" t="n"/>
      <c r="I150" s="21" t="n"/>
      <c r="J150" s="21" t="n"/>
      <c r="K150" s="22" t="n"/>
      <c r="L150" s="25">
        <f>IF(ISNUMBER(H150),EDATE(H150,IF(ISNUMBER(K150),K150,3)),"")</f>
        <v/>
      </c>
      <c r="M150" s="26">
        <f>IF(L150="","",IF(ISNUMBER(L150),L150-TODAY(),"Check date"))</f>
        <v/>
      </c>
      <c r="N150" s="27">
        <f>IF(LEN(C150)=0,"",IF(I150="N/A","N/A",IF(OR(I150="",NOT(ISNUMBER(H150))),"Not checked",IF(OR(I150="Not met",LEN(J150)=0,M150&lt;0),"Red",IF(OR(I150="Partly met",M150&lt;=30),"Amber","Green")))))</f>
        <v/>
      </c>
      <c r="O150" s="27">
        <f>IF(N150="Red",IF(I150="Not met","Not met",IF(LEN(J150)=0,"No evidence location","Re-check overdue")),IF(N150="Amber",IF(I150="Partly met","Partly met","Re-check due ≤30 days"),""))</f>
        <v/>
      </c>
      <c r="P150" s="21" t="n"/>
    </row>
    <row r="151">
      <c r="A151" s="21" t="n"/>
      <c r="B151" s="22" t="n"/>
      <c r="C151" s="23" t="n"/>
      <c r="D151" s="23" t="n"/>
      <c r="E151" s="21" t="n"/>
      <c r="F151" s="21" t="n"/>
      <c r="G151" s="21" t="n"/>
      <c r="H151" s="24" t="n"/>
      <c r="I151" s="21" t="n"/>
      <c r="J151" s="21" t="n"/>
      <c r="K151" s="22" t="n"/>
      <c r="L151" s="25">
        <f>IF(ISNUMBER(H151),EDATE(H151,IF(ISNUMBER(K151),K151,3)),"")</f>
        <v/>
      </c>
      <c r="M151" s="26">
        <f>IF(L151="","",IF(ISNUMBER(L151),L151-TODAY(),"Check date"))</f>
        <v/>
      </c>
      <c r="N151" s="27">
        <f>IF(LEN(C151)=0,"",IF(I151="N/A","N/A",IF(OR(I151="",NOT(ISNUMBER(H151))),"Not checked",IF(OR(I151="Not met",LEN(J151)=0,M151&lt;0),"Red",IF(OR(I151="Partly met",M151&lt;=30),"Amber","Green")))))</f>
        <v/>
      </c>
      <c r="O151" s="27">
        <f>IF(N151="Red",IF(I151="Not met","Not met",IF(LEN(J151)=0,"No evidence location","Re-check overdue")),IF(N151="Amber",IF(I151="Partly met","Partly met","Re-check due ≤30 days"),""))</f>
        <v/>
      </c>
      <c r="P151" s="21" t="n"/>
    </row>
    <row r="152">
      <c r="A152" s="21" t="n"/>
      <c r="B152" s="22" t="n"/>
      <c r="C152" s="23" t="n"/>
      <c r="D152" s="23" t="n"/>
      <c r="E152" s="21" t="n"/>
      <c r="F152" s="21" t="n"/>
      <c r="G152" s="21" t="n"/>
      <c r="H152" s="24" t="n"/>
      <c r="I152" s="21" t="n"/>
      <c r="J152" s="21" t="n"/>
      <c r="K152" s="22" t="n"/>
      <c r="L152" s="25">
        <f>IF(ISNUMBER(H152),EDATE(H152,IF(ISNUMBER(K152),K152,3)),"")</f>
        <v/>
      </c>
      <c r="M152" s="26">
        <f>IF(L152="","",IF(ISNUMBER(L152),L152-TODAY(),"Check date"))</f>
        <v/>
      </c>
      <c r="N152" s="27">
        <f>IF(LEN(C152)=0,"",IF(I152="N/A","N/A",IF(OR(I152="",NOT(ISNUMBER(H152))),"Not checked",IF(OR(I152="Not met",LEN(J152)=0,M152&lt;0),"Red",IF(OR(I152="Partly met",M152&lt;=30),"Amber","Green")))))</f>
        <v/>
      </c>
      <c r="O152" s="27">
        <f>IF(N152="Red",IF(I152="Not met","Not met",IF(LEN(J152)=0,"No evidence location","Re-check overdue")),IF(N152="Amber",IF(I152="Partly met","Partly met","Re-check due ≤30 days"),""))</f>
        <v/>
      </c>
      <c r="P152" s="21" t="n"/>
    </row>
    <row r="153">
      <c r="A153" s="21" t="n"/>
      <c r="B153" s="22" t="n"/>
      <c r="C153" s="23" t="n"/>
      <c r="D153" s="23" t="n"/>
      <c r="E153" s="21" t="n"/>
      <c r="F153" s="21" t="n"/>
      <c r="G153" s="21" t="n"/>
      <c r="H153" s="24" t="n"/>
      <c r="I153" s="21" t="n"/>
      <c r="J153" s="21" t="n"/>
      <c r="K153" s="22" t="n"/>
      <c r="L153" s="25">
        <f>IF(ISNUMBER(H153),EDATE(H153,IF(ISNUMBER(K153),K153,3)),"")</f>
        <v/>
      </c>
      <c r="M153" s="26">
        <f>IF(L153="","",IF(ISNUMBER(L153),L153-TODAY(),"Check date"))</f>
        <v/>
      </c>
      <c r="N153" s="27">
        <f>IF(LEN(C153)=0,"",IF(I153="N/A","N/A",IF(OR(I153="",NOT(ISNUMBER(H153))),"Not checked",IF(OR(I153="Not met",LEN(J153)=0,M153&lt;0),"Red",IF(OR(I153="Partly met",M153&lt;=30),"Amber","Green")))))</f>
        <v/>
      </c>
      <c r="O153" s="27">
        <f>IF(N153="Red",IF(I153="Not met","Not met",IF(LEN(J153)=0,"No evidence location","Re-check overdue")),IF(N153="Amber",IF(I153="Partly met","Partly met","Re-check due ≤30 days"),""))</f>
        <v/>
      </c>
      <c r="P153" s="21" t="n"/>
    </row>
    <row r="154">
      <c r="A154" s="21" t="n"/>
      <c r="B154" s="22" t="n"/>
      <c r="C154" s="23" t="n"/>
      <c r="D154" s="23" t="n"/>
      <c r="E154" s="21" t="n"/>
      <c r="F154" s="21" t="n"/>
      <c r="G154" s="21" t="n"/>
      <c r="H154" s="24" t="n"/>
      <c r="I154" s="21" t="n"/>
      <c r="J154" s="21" t="n"/>
      <c r="K154" s="22" t="n"/>
      <c r="L154" s="25">
        <f>IF(ISNUMBER(H154),EDATE(H154,IF(ISNUMBER(K154),K154,3)),"")</f>
        <v/>
      </c>
      <c r="M154" s="26">
        <f>IF(L154="","",IF(ISNUMBER(L154),L154-TODAY(),"Check date"))</f>
        <v/>
      </c>
      <c r="N154" s="27">
        <f>IF(LEN(C154)=0,"",IF(I154="N/A","N/A",IF(OR(I154="",NOT(ISNUMBER(H154))),"Not checked",IF(OR(I154="Not met",LEN(J154)=0,M154&lt;0),"Red",IF(OR(I154="Partly met",M154&lt;=30),"Amber","Green")))))</f>
        <v/>
      </c>
      <c r="O154" s="27">
        <f>IF(N154="Red",IF(I154="Not met","Not met",IF(LEN(J154)=0,"No evidence location","Re-check overdue")),IF(N154="Amber",IF(I154="Partly met","Partly met","Re-check due ≤30 days"),""))</f>
        <v/>
      </c>
      <c r="P154" s="21" t="n"/>
    </row>
    <row r="155">
      <c r="A155" s="21" t="n"/>
      <c r="B155" s="22" t="n"/>
      <c r="C155" s="23" t="n"/>
      <c r="D155" s="23" t="n"/>
      <c r="E155" s="21" t="n"/>
      <c r="F155" s="21" t="n"/>
      <c r="G155" s="21" t="n"/>
      <c r="H155" s="24" t="n"/>
      <c r="I155" s="21" t="n"/>
      <c r="J155" s="21" t="n"/>
      <c r="K155" s="22" t="n"/>
      <c r="L155" s="25">
        <f>IF(ISNUMBER(H155),EDATE(H155,IF(ISNUMBER(K155),K155,3)),"")</f>
        <v/>
      </c>
      <c r="M155" s="26">
        <f>IF(L155="","",IF(ISNUMBER(L155),L155-TODAY(),"Check date"))</f>
        <v/>
      </c>
      <c r="N155" s="27">
        <f>IF(LEN(C155)=0,"",IF(I155="N/A","N/A",IF(OR(I155="",NOT(ISNUMBER(H155))),"Not checked",IF(OR(I155="Not met",LEN(J155)=0,M155&lt;0),"Red",IF(OR(I155="Partly met",M155&lt;=30),"Amber","Green")))))</f>
        <v/>
      </c>
      <c r="O155" s="27">
        <f>IF(N155="Red",IF(I155="Not met","Not met",IF(LEN(J155)=0,"No evidence location","Re-check overdue")),IF(N155="Amber",IF(I155="Partly met","Partly met","Re-check due ≤30 days"),""))</f>
        <v/>
      </c>
      <c r="P155" s="21" t="n"/>
    </row>
    <row r="156">
      <c r="A156" s="21" t="n"/>
      <c r="B156" s="22" t="n"/>
      <c r="C156" s="23" t="n"/>
      <c r="D156" s="23" t="n"/>
      <c r="E156" s="21" t="n"/>
      <c r="F156" s="21" t="n"/>
      <c r="G156" s="21" t="n"/>
      <c r="H156" s="24" t="n"/>
      <c r="I156" s="21" t="n"/>
      <c r="J156" s="21" t="n"/>
      <c r="K156" s="22" t="n"/>
      <c r="L156" s="25">
        <f>IF(ISNUMBER(H156),EDATE(H156,IF(ISNUMBER(K156),K156,3)),"")</f>
        <v/>
      </c>
      <c r="M156" s="26">
        <f>IF(L156="","",IF(ISNUMBER(L156),L156-TODAY(),"Check date"))</f>
        <v/>
      </c>
      <c r="N156" s="27">
        <f>IF(LEN(C156)=0,"",IF(I156="N/A","N/A",IF(OR(I156="",NOT(ISNUMBER(H156))),"Not checked",IF(OR(I156="Not met",LEN(J156)=0,M156&lt;0),"Red",IF(OR(I156="Partly met",M156&lt;=30),"Amber","Green")))))</f>
        <v/>
      </c>
      <c r="O156" s="27">
        <f>IF(N156="Red",IF(I156="Not met","Not met",IF(LEN(J156)=0,"No evidence location","Re-check overdue")),IF(N156="Amber",IF(I156="Partly met","Partly met","Re-check due ≤30 days"),""))</f>
        <v/>
      </c>
      <c r="P156" s="21" t="n"/>
    </row>
    <row r="157">
      <c r="A157" s="21" t="n"/>
      <c r="B157" s="22" t="n"/>
      <c r="C157" s="23" t="n"/>
      <c r="D157" s="23" t="n"/>
      <c r="E157" s="21" t="n"/>
      <c r="F157" s="21" t="n"/>
      <c r="G157" s="21" t="n"/>
      <c r="H157" s="24" t="n"/>
      <c r="I157" s="21" t="n"/>
      <c r="J157" s="21" t="n"/>
      <c r="K157" s="22" t="n"/>
      <c r="L157" s="25">
        <f>IF(ISNUMBER(H157),EDATE(H157,IF(ISNUMBER(K157),K157,3)),"")</f>
        <v/>
      </c>
      <c r="M157" s="26">
        <f>IF(L157="","",IF(ISNUMBER(L157),L157-TODAY(),"Check date"))</f>
        <v/>
      </c>
      <c r="N157" s="27">
        <f>IF(LEN(C157)=0,"",IF(I157="N/A","N/A",IF(OR(I157="",NOT(ISNUMBER(H157))),"Not checked",IF(OR(I157="Not met",LEN(J157)=0,M157&lt;0),"Red",IF(OR(I157="Partly met",M157&lt;=30),"Amber","Green")))))</f>
        <v/>
      </c>
      <c r="O157" s="27">
        <f>IF(N157="Red",IF(I157="Not met","Not met",IF(LEN(J157)=0,"No evidence location","Re-check overdue")),IF(N157="Amber",IF(I157="Partly met","Partly met","Re-check due ≤30 days"),""))</f>
        <v/>
      </c>
      <c r="P157" s="21" t="n"/>
    </row>
    <row r="158">
      <c r="A158" s="21" t="n"/>
      <c r="B158" s="22" t="n"/>
      <c r="C158" s="23" t="n"/>
      <c r="D158" s="23" t="n"/>
      <c r="E158" s="21" t="n"/>
      <c r="F158" s="21" t="n"/>
      <c r="G158" s="21" t="n"/>
      <c r="H158" s="24" t="n"/>
      <c r="I158" s="21" t="n"/>
      <c r="J158" s="21" t="n"/>
      <c r="K158" s="22" t="n"/>
      <c r="L158" s="25">
        <f>IF(ISNUMBER(H158),EDATE(H158,IF(ISNUMBER(K158),K158,3)),"")</f>
        <v/>
      </c>
      <c r="M158" s="26">
        <f>IF(L158="","",IF(ISNUMBER(L158),L158-TODAY(),"Check date"))</f>
        <v/>
      </c>
      <c r="N158" s="27">
        <f>IF(LEN(C158)=0,"",IF(I158="N/A","N/A",IF(OR(I158="",NOT(ISNUMBER(H158))),"Not checked",IF(OR(I158="Not met",LEN(J158)=0,M158&lt;0),"Red",IF(OR(I158="Partly met",M158&lt;=30),"Amber","Green")))))</f>
        <v/>
      </c>
      <c r="O158" s="27">
        <f>IF(N158="Red",IF(I158="Not met","Not met",IF(LEN(J158)=0,"No evidence location","Re-check overdue")),IF(N158="Amber",IF(I158="Partly met","Partly met","Re-check due ≤30 days"),""))</f>
        <v/>
      </c>
      <c r="P158" s="21" t="n"/>
    </row>
    <row r="159">
      <c r="A159" s="21" t="n"/>
      <c r="B159" s="22" t="n"/>
      <c r="C159" s="23" t="n"/>
      <c r="D159" s="23" t="n"/>
      <c r="E159" s="21" t="n"/>
      <c r="F159" s="21" t="n"/>
      <c r="G159" s="21" t="n"/>
      <c r="H159" s="24" t="n"/>
      <c r="I159" s="21" t="n"/>
      <c r="J159" s="21" t="n"/>
      <c r="K159" s="22" t="n"/>
      <c r="L159" s="25">
        <f>IF(ISNUMBER(H159),EDATE(H159,IF(ISNUMBER(K159),K159,3)),"")</f>
        <v/>
      </c>
      <c r="M159" s="26">
        <f>IF(L159="","",IF(ISNUMBER(L159),L159-TODAY(),"Check date"))</f>
        <v/>
      </c>
      <c r="N159" s="27">
        <f>IF(LEN(C159)=0,"",IF(I159="N/A","N/A",IF(OR(I159="",NOT(ISNUMBER(H159))),"Not checked",IF(OR(I159="Not met",LEN(J159)=0,M159&lt;0),"Red",IF(OR(I159="Partly met",M159&lt;=30),"Amber","Green")))))</f>
        <v/>
      </c>
      <c r="O159" s="27">
        <f>IF(N159="Red",IF(I159="Not met","Not met",IF(LEN(J159)=0,"No evidence location","Re-check overdue")),IF(N159="Amber",IF(I159="Partly met","Partly met","Re-check due ≤30 days"),""))</f>
        <v/>
      </c>
      <c r="P159" s="21" t="n"/>
    </row>
    <row r="160">
      <c r="A160" s="21" t="n"/>
      <c r="B160" s="22" t="n"/>
      <c r="C160" s="23" t="n"/>
      <c r="D160" s="23" t="n"/>
      <c r="E160" s="21" t="n"/>
      <c r="F160" s="21" t="n"/>
      <c r="G160" s="21" t="n"/>
      <c r="H160" s="24" t="n"/>
      <c r="I160" s="21" t="n"/>
      <c r="J160" s="21" t="n"/>
      <c r="K160" s="22" t="n"/>
      <c r="L160" s="25">
        <f>IF(ISNUMBER(H160),EDATE(H160,IF(ISNUMBER(K160),K160,3)),"")</f>
        <v/>
      </c>
      <c r="M160" s="26">
        <f>IF(L160="","",IF(ISNUMBER(L160),L160-TODAY(),"Check date"))</f>
        <v/>
      </c>
      <c r="N160" s="27">
        <f>IF(LEN(C160)=0,"",IF(I160="N/A","N/A",IF(OR(I160="",NOT(ISNUMBER(H160))),"Not checked",IF(OR(I160="Not met",LEN(J160)=0,M160&lt;0),"Red",IF(OR(I160="Partly met",M160&lt;=30),"Amber","Green")))))</f>
        <v/>
      </c>
      <c r="O160" s="27">
        <f>IF(N160="Red",IF(I160="Not met","Not met",IF(LEN(J160)=0,"No evidence location","Re-check overdue")),IF(N160="Amber",IF(I160="Partly met","Partly met","Re-check due ≤30 days"),""))</f>
        <v/>
      </c>
      <c r="P160" s="21" t="n"/>
    </row>
    <row r="161">
      <c r="A161" s="21" t="n"/>
      <c r="B161" s="22" t="n"/>
      <c r="C161" s="23" t="n"/>
      <c r="D161" s="23" t="n"/>
      <c r="E161" s="21" t="n"/>
      <c r="F161" s="21" t="n"/>
      <c r="G161" s="21" t="n"/>
      <c r="H161" s="24" t="n"/>
      <c r="I161" s="21" t="n"/>
      <c r="J161" s="21" t="n"/>
      <c r="K161" s="22" t="n"/>
      <c r="L161" s="25">
        <f>IF(ISNUMBER(H161),EDATE(H161,IF(ISNUMBER(K161),K161,3)),"")</f>
        <v/>
      </c>
      <c r="M161" s="26">
        <f>IF(L161="","",IF(ISNUMBER(L161),L161-TODAY(),"Check date"))</f>
        <v/>
      </c>
      <c r="N161" s="27">
        <f>IF(LEN(C161)=0,"",IF(I161="N/A","N/A",IF(OR(I161="",NOT(ISNUMBER(H161))),"Not checked",IF(OR(I161="Not met",LEN(J161)=0,M161&lt;0),"Red",IF(OR(I161="Partly met",M161&lt;=30),"Amber","Green")))))</f>
        <v/>
      </c>
      <c r="O161" s="27">
        <f>IF(N161="Red",IF(I161="Not met","Not met",IF(LEN(J161)=0,"No evidence location","Re-check overdue")),IF(N161="Amber",IF(I161="Partly met","Partly met","Re-check due ≤30 days"),""))</f>
        <v/>
      </c>
      <c r="P161" s="21" t="n"/>
    </row>
    <row r="162">
      <c r="A162" s="21" t="n"/>
      <c r="B162" s="22" t="n"/>
      <c r="C162" s="23" t="n"/>
      <c r="D162" s="23" t="n"/>
      <c r="E162" s="21" t="n"/>
      <c r="F162" s="21" t="n"/>
      <c r="G162" s="21" t="n"/>
      <c r="H162" s="24" t="n"/>
      <c r="I162" s="21" t="n"/>
      <c r="J162" s="21" t="n"/>
      <c r="K162" s="22" t="n"/>
      <c r="L162" s="25">
        <f>IF(ISNUMBER(H162),EDATE(H162,IF(ISNUMBER(K162),K162,3)),"")</f>
        <v/>
      </c>
      <c r="M162" s="26">
        <f>IF(L162="","",IF(ISNUMBER(L162),L162-TODAY(),"Check date"))</f>
        <v/>
      </c>
      <c r="N162" s="27">
        <f>IF(LEN(C162)=0,"",IF(I162="N/A","N/A",IF(OR(I162="",NOT(ISNUMBER(H162))),"Not checked",IF(OR(I162="Not met",LEN(J162)=0,M162&lt;0),"Red",IF(OR(I162="Partly met",M162&lt;=30),"Amber","Green")))))</f>
        <v/>
      </c>
      <c r="O162" s="27">
        <f>IF(N162="Red",IF(I162="Not met","Not met",IF(LEN(J162)=0,"No evidence location","Re-check overdue")),IF(N162="Amber",IF(I162="Partly met","Partly met","Re-check due ≤30 days"),""))</f>
        <v/>
      </c>
      <c r="P162" s="21" t="n"/>
    </row>
    <row r="163">
      <c r="A163" s="21" t="n"/>
      <c r="B163" s="22" t="n"/>
      <c r="C163" s="23" t="n"/>
      <c r="D163" s="23" t="n"/>
      <c r="E163" s="21" t="n"/>
      <c r="F163" s="21" t="n"/>
      <c r="G163" s="21" t="n"/>
      <c r="H163" s="24" t="n"/>
      <c r="I163" s="21" t="n"/>
      <c r="J163" s="21" t="n"/>
      <c r="K163" s="22" t="n"/>
      <c r="L163" s="25">
        <f>IF(ISNUMBER(H163),EDATE(H163,IF(ISNUMBER(K163),K163,3)),"")</f>
        <v/>
      </c>
      <c r="M163" s="26">
        <f>IF(L163="","",IF(ISNUMBER(L163),L163-TODAY(),"Check date"))</f>
        <v/>
      </c>
      <c r="N163" s="27">
        <f>IF(LEN(C163)=0,"",IF(I163="N/A","N/A",IF(OR(I163="",NOT(ISNUMBER(H163))),"Not checked",IF(OR(I163="Not met",LEN(J163)=0,M163&lt;0),"Red",IF(OR(I163="Partly met",M163&lt;=30),"Amber","Green")))))</f>
        <v/>
      </c>
      <c r="O163" s="27">
        <f>IF(N163="Red",IF(I163="Not met","Not met",IF(LEN(J163)=0,"No evidence location","Re-check overdue")),IF(N163="Amber",IF(I163="Partly met","Partly met","Re-check due ≤30 days"),""))</f>
        <v/>
      </c>
      <c r="P163" s="21" t="n"/>
    </row>
    <row r="164">
      <c r="A164" s="21" t="n"/>
      <c r="B164" s="22" t="n"/>
      <c r="C164" s="23" t="n"/>
      <c r="D164" s="23" t="n"/>
      <c r="E164" s="21" t="n"/>
      <c r="F164" s="21" t="n"/>
      <c r="G164" s="21" t="n"/>
      <c r="H164" s="24" t="n"/>
      <c r="I164" s="21" t="n"/>
      <c r="J164" s="21" t="n"/>
      <c r="K164" s="22" t="n"/>
      <c r="L164" s="25">
        <f>IF(ISNUMBER(H164),EDATE(H164,IF(ISNUMBER(K164),K164,3)),"")</f>
        <v/>
      </c>
      <c r="M164" s="26">
        <f>IF(L164="","",IF(ISNUMBER(L164),L164-TODAY(),"Check date"))</f>
        <v/>
      </c>
      <c r="N164" s="27">
        <f>IF(LEN(C164)=0,"",IF(I164="N/A","N/A",IF(OR(I164="",NOT(ISNUMBER(H164))),"Not checked",IF(OR(I164="Not met",LEN(J164)=0,M164&lt;0),"Red",IF(OR(I164="Partly met",M164&lt;=30),"Amber","Green")))))</f>
        <v/>
      </c>
      <c r="O164" s="27">
        <f>IF(N164="Red",IF(I164="Not met","Not met",IF(LEN(J164)=0,"No evidence location","Re-check overdue")),IF(N164="Amber",IF(I164="Partly met","Partly met","Re-check due ≤30 days"),""))</f>
        <v/>
      </c>
      <c r="P164" s="21" t="n"/>
    </row>
    <row r="165">
      <c r="A165" s="21" t="n"/>
      <c r="B165" s="22" t="n"/>
      <c r="C165" s="23" t="n"/>
      <c r="D165" s="23" t="n"/>
      <c r="E165" s="21" t="n"/>
      <c r="F165" s="21" t="n"/>
      <c r="G165" s="21" t="n"/>
      <c r="H165" s="24" t="n"/>
      <c r="I165" s="21" t="n"/>
      <c r="J165" s="21" t="n"/>
      <c r="K165" s="22" t="n"/>
      <c r="L165" s="25">
        <f>IF(ISNUMBER(H165),EDATE(H165,IF(ISNUMBER(K165),K165,3)),"")</f>
        <v/>
      </c>
      <c r="M165" s="26">
        <f>IF(L165="","",IF(ISNUMBER(L165),L165-TODAY(),"Check date"))</f>
        <v/>
      </c>
      <c r="N165" s="27">
        <f>IF(LEN(C165)=0,"",IF(I165="N/A","N/A",IF(OR(I165="",NOT(ISNUMBER(H165))),"Not checked",IF(OR(I165="Not met",LEN(J165)=0,M165&lt;0),"Red",IF(OR(I165="Partly met",M165&lt;=30),"Amber","Green")))))</f>
        <v/>
      </c>
      <c r="O165" s="27">
        <f>IF(N165="Red",IF(I165="Not met","Not met",IF(LEN(J165)=0,"No evidence location","Re-check overdue")),IF(N165="Amber",IF(I165="Partly met","Partly met","Re-check due ≤30 days"),""))</f>
        <v/>
      </c>
      <c r="P165" s="21" t="n"/>
    </row>
    <row r="166">
      <c r="A166" s="21" t="n"/>
      <c r="B166" s="22" t="n"/>
      <c r="C166" s="23" t="n"/>
      <c r="D166" s="23" t="n"/>
      <c r="E166" s="21" t="n"/>
      <c r="F166" s="21" t="n"/>
      <c r="G166" s="21" t="n"/>
      <c r="H166" s="24" t="n"/>
      <c r="I166" s="21" t="n"/>
      <c r="J166" s="21" t="n"/>
      <c r="K166" s="22" t="n"/>
      <c r="L166" s="25">
        <f>IF(ISNUMBER(H166),EDATE(H166,IF(ISNUMBER(K166),K166,3)),"")</f>
        <v/>
      </c>
      <c r="M166" s="26">
        <f>IF(L166="","",IF(ISNUMBER(L166),L166-TODAY(),"Check date"))</f>
        <v/>
      </c>
      <c r="N166" s="27">
        <f>IF(LEN(C166)=0,"",IF(I166="N/A","N/A",IF(OR(I166="",NOT(ISNUMBER(H166))),"Not checked",IF(OR(I166="Not met",LEN(J166)=0,M166&lt;0),"Red",IF(OR(I166="Partly met",M166&lt;=30),"Amber","Green")))))</f>
        <v/>
      </c>
      <c r="O166" s="27">
        <f>IF(N166="Red",IF(I166="Not met","Not met",IF(LEN(J166)=0,"No evidence location","Re-check overdue")),IF(N166="Amber",IF(I166="Partly met","Partly met","Re-check due ≤30 days"),""))</f>
        <v/>
      </c>
      <c r="P166" s="21" t="n"/>
    </row>
    <row r="167">
      <c r="A167" s="21" t="n"/>
      <c r="B167" s="22" t="n"/>
      <c r="C167" s="23" t="n"/>
      <c r="D167" s="23" t="n"/>
      <c r="E167" s="21" t="n"/>
      <c r="F167" s="21" t="n"/>
      <c r="G167" s="21" t="n"/>
      <c r="H167" s="24" t="n"/>
      <c r="I167" s="21" t="n"/>
      <c r="J167" s="21" t="n"/>
      <c r="K167" s="22" t="n"/>
      <c r="L167" s="25">
        <f>IF(ISNUMBER(H167),EDATE(H167,IF(ISNUMBER(K167),K167,3)),"")</f>
        <v/>
      </c>
      <c r="M167" s="26">
        <f>IF(L167="","",IF(ISNUMBER(L167),L167-TODAY(),"Check date"))</f>
        <v/>
      </c>
      <c r="N167" s="27">
        <f>IF(LEN(C167)=0,"",IF(I167="N/A","N/A",IF(OR(I167="",NOT(ISNUMBER(H167))),"Not checked",IF(OR(I167="Not met",LEN(J167)=0,M167&lt;0),"Red",IF(OR(I167="Partly met",M167&lt;=30),"Amber","Green")))))</f>
        <v/>
      </c>
      <c r="O167" s="27">
        <f>IF(N167="Red",IF(I167="Not met","Not met",IF(LEN(J167)=0,"No evidence location","Re-check overdue")),IF(N167="Amber",IF(I167="Partly met","Partly met","Re-check due ≤30 days"),""))</f>
        <v/>
      </c>
      <c r="P167" s="21" t="n"/>
    </row>
    <row r="168">
      <c r="A168" s="21" t="n"/>
      <c r="B168" s="22" t="n"/>
      <c r="C168" s="23" t="n"/>
      <c r="D168" s="23" t="n"/>
      <c r="E168" s="21" t="n"/>
      <c r="F168" s="21" t="n"/>
      <c r="G168" s="21" t="n"/>
      <c r="H168" s="24" t="n"/>
      <c r="I168" s="21" t="n"/>
      <c r="J168" s="21" t="n"/>
      <c r="K168" s="22" t="n"/>
      <c r="L168" s="25">
        <f>IF(ISNUMBER(H168),EDATE(H168,IF(ISNUMBER(K168),K168,3)),"")</f>
        <v/>
      </c>
      <c r="M168" s="26">
        <f>IF(L168="","",IF(ISNUMBER(L168),L168-TODAY(),"Check date"))</f>
        <v/>
      </c>
      <c r="N168" s="27">
        <f>IF(LEN(C168)=0,"",IF(I168="N/A","N/A",IF(OR(I168="",NOT(ISNUMBER(H168))),"Not checked",IF(OR(I168="Not met",LEN(J168)=0,M168&lt;0),"Red",IF(OR(I168="Partly met",M168&lt;=30),"Amber","Green")))))</f>
        <v/>
      </c>
      <c r="O168" s="27">
        <f>IF(N168="Red",IF(I168="Not met","Not met",IF(LEN(J168)=0,"No evidence location","Re-check overdue")),IF(N168="Amber",IF(I168="Partly met","Partly met","Re-check due ≤30 days"),""))</f>
        <v/>
      </c>
      <c r="P168" s="21" t="n"/>
    </row>
    <row r="169">
      <c r="A169" s="21" t="n"/>
      <c r="B169" s="22" t="n"/>
      <c r="C169" s="23" t="n"/>
      <c r="D169" s="23" t="n"/>
      <c r="E169" s="21" t="n"/>
      <c r="F169" s="21" t="n"/>
      <c r="G169" s="21" t="n"/>
      <c r="H169" s="24" t="n"/>
      <c r="I169" s="21" t="n"/>
      <c r="J169" s="21" t="n"/>
      <c r="K169" s="22" t="n"/>
      <c r="L169" s="25">
        <f>IF(ISNUMBER(H169),EDATE(H169,IF(ISNUMBER(K169),K169,3)),"")</f>
        <v/>
      </c>
      <c r="M169" s="26">
        <f>IF(L169="","",IF(ISNUMBER(L169),L169-TODAY(),"Check date"))</f>
        <v/>
      </c>
      <c r="N169" s="27">
        <f>IF(LEN(C169)=0,"",IF(I169="N/A","N/A",IF(OR(I169="",NOT(ISNUMBER(H169))),"Not checked",IF(OR(I169="Not met",LEN(J169)=0,M169&lt;0),"Red",IF(OR(I169="Partly met",M169&lt;=30),"Amber","Green")))))</f>
        <v/>
      </c>
      <c r="O169" s="27">
        <f>IF(N169="Red",IF(I169="Not met","Not met",IF(LEN(J169)=0,"No evidence location","Re-check overdue")),IF(N169="Amber",IF(I169="Partly met","Partly met","Re-check due ≤30 days"),""))</f>
        <v/>
      </c>
      <c r="P169" s="21" t="n"/>
    </row>
    <row r="170">
      <c r="A170" s="21" t="n"/>
      <c r="B170" s="22" t="n"/>
      <c r="C170" s="23" t="n"/>
      <c r="D170" s="23" t="n"/>
      <c r="E170" s="21" t="n"/>
      <c r="F170" s="21" t="n"/>
      <c r="G170" s="21" t="n"/>
      <c r="H170" s="24" t="n"/>
      <c r="I170" s="21" t="n"/>
      <c r="J170" s="21" t="n"/>
      <c r="K170" s="22" t="n"/>
      <c r="L170" s="25">
        <f>IF(ISNUMBER(H170),EDATE(H170,IF(ISNUMBER(K170),K170,3)),"")</f>
        <v/>
      </c>
      <c r="M170" s="26">
        <f>IF(L170="","",IF(ISNUMBER(L170),L170-TODAY(),"Check date"))</f>
        <v/>
      </c>
      <c r="N170" s="27">
        <f>IF(LEN(C170)=0,"",IF(I170="N/A","N/A",IF(OR(I170="",NOT(ISNUMBER(H170))),"Not checked",IF(OR(I170="Not met",LEN(J170)=0,M170&lt;0),"Red",IF(OR(I170="Partly met",M170&lt;=30),"Amber","Green")))))</f>
        <v/>
      </c>
      <c r="O170" s="27">
        <f>IF(N170="Red",IF(I170="Not met","Not met",IF(LEN(J170)=0,"No evidence location","Re-check overdue")),IF(N170="Amber",IF(I170="Partly met","Partly met","Re-check due ≤30 days"),""))</f>
        <v/>
      </c>
      <c r="P170" s="21" t="n"/>
    </row>
    <row r="171">
      <c r="A171" s="21" t="n"/>
      <c r="B171" s="22" t="n"/>
      <c r="C171" s="23" t="n"/>
      <c r="D171" s="23" t="n"/>
      <c r="E171" s="21" t="n"/>
      <c r="F171" s="21" t="n"/>
      <c r="G171" s="21" t="n"/>
      <c r="H171" s="24" t="n"/>
      <c r="I171" s="21" t="n"/>
      <c r="J171" s="21" t="n"/>
      <c r="K171" s="22" t="n"/>
      <c r="L171" s="25">
        <f>IF(ISNUMBER(H171),EDATE(H171,IF(ISNUMBER(K171),K171,3)),"")</f>
        <v/>
      </c>
      <c r="M171" s="26">
        <f>IF(L171="","",IF(ISNUMBER(L171),L171-TODAY(),"Check date"))</f>
        <v/>
      </c>
      <c r="N171" s="27">
        <f>IF(LEN(C171)=0,"",IF(I171="N/A","N/A",IF(OR(I171="",NOT(ISNUMBER(H171))),"Not checked",IF(OR(I171="Not met",LEN(J171)=0,M171&lt;0),"Red",IF(OR(I171="Partly met",M171&lt;=30),"Amber","Green")))))</f>
        <v/>
      </c>
      <c r="O171" s="27">
        <f>IF(N171="Red",IF(I171="Not met","Not met",IF(LEN(J171)=0,"No evidence location","Re-check overdue")),IF(N171="Amber",IF(I171="Partly met","Partly met","Re-check due ≤30 days"),""))</f>
        <v/>
      </c>
      <c r="P171" s="21" t="n"/>
    </row>
    <row r="172">
      <c r="A172" s="21" t="n"/>
      <c r="B172" s="22" t="n"/>
      <c r="C172" s="23" t="n"/>
      <c r="D172" s="23" t="n"/>
      <c r="E172" s="21" t="n"/>
      <c r="F172" s="21" t="n"/>
      <c r="G172" s="21" t="n"/>
      <c r="H172" s="24" t="n"/>
      <c r="I172" s="21" t="n"/>
      <c r="J172" s="21" t="n"/>
      <c r="K172" s="22" t="n"/>
      <c r="L172" s="25">
        <f>IF(ISNUMBER(H172),EDATE(H172,IF(ISNUMBER(K172),K172,3)),"")</f>
        <v/>
      </c>
      <c r="M172" s="26">
        <f>IF(L172="","",IF(ISNUMBER(L172),L172-TODAY(),"Check date"))</f>
        <v/>
      </c>
      <c r="N172" s="27">
        <f>IF(LEN(C172)=0,"",IF(I172="N/A","N/A",IF(OR(I172="",NOT(ISNUMBER(H172))),"Not checked",IF(OR(I172="Not met",LEN(J172)=0,M172&lt;0),"Red",IF(OR(I172="Partly met",M172&lt;=30),"Amber","Green")))))</f>
        <v/>
      </c>
      <c r="O172" s="27">
        <f>IF(N172="Red",IF(I172="Not met","Not met",IF(LEN(J172)=0,"No evidence location","Re-check overdue")),IF(N172="Amber",IF(I172="Partly met","Partly met","Re-check due ≤30 days"),""))</f>
        <v/>
      </c>
      <c r="P172" s="21" t="n"/>
    </row>
    <row r="173">
      <c r="A173" s="21" t="n"/>
      <c r="B173" s="22" t="n"/>
      <c r="C173" s="23" t="n"/>
      <c r="D173" s="23" t="n"/>
      <c r="E173" s="21" t="n"/>
      <c r="F173" s="21" t="n"/>
      <c r="G173" s="21" t="n"/>
      <c r="H173" s="24" t="n"/>
      <c r="I173" s="21" t="n"/>
      <c r="J173" s="21" t="n"/>
      <c r="K173" s="22" t="n"/>
      <c r="L173" s="25">
        <f>IF(ISNUMBER(H173),EDATE(H173,IF(ISNUMBER(K173),K173,3)),"")</f>
        <v/>
      </c>
      <c r="M173" s="26">
        <f>IF(L173="","",IF(ISNUMBER(L173),L173-TODAY(),"Check date"))</f>
        <v/>
      </c>
      <c r="N173" s="27">
        <f>IF(LEN(C173)=0,"",IF(I173="N/A","N/A",IF(OR(I173="",NOT(ISNUMBER(H173))),"Not checked",IF(OR(I173="Not met",LEN(J173)=0,M173&lt;0),"Red",IF(OR(I173="Partly met",M173&lt;=30),"Amber","Green")))))</f>
        <v/>
      </c>
      <c r="O173" s="27">
        <f>IF(N173="Red",IF(I173="Not met","Not met",IF(LEN(J173)=0,"No evidence location","Re-check overdue")),IF(N173="Amber",IF(I173="Partly met","Partly met","Re-check due ≤30 days"),""))</f>
        <v/>
      </c>
      <c r="P173" s="21" t="n"/>
    </row>
    <row r="174">
      <c r="A174" s="21" t="n"/>
      <c r="B174" s="22" t="n"/>
      <c r="C174" s="23" t="n"/>
      <c r="D174" s="23" t="n"/>
      <c r="E174" s="21" t="n"/>
      <c r="F174" s="21" t="n"/>
      <c r="G174" s="21" t="n"/>
      <c r="H174" s="24" t="n"/>
      <c r="I174" s="21" t="n"/>
      <c r="J174" s="21" t="n"/>
      <c r="K174" s="22" t="n"/>
      <c r="L174" s="25">
        <f>IF(ISNUMBER(H174),EDATE(H174,IF(ISNUMBER(K174),K174,3)),"")</f>
        <v/>
      </c>
      <c r="M174" s="26">
        <f>IF(L174="","",IF(ISNUMBER(L174),L174-TODAY(),"Check date"))</f>
        <v/>
      </c>
      <c r="N174" s="27">
        <f>IF(LEN(C174)=0,"",IF(I174="N/A","N/A",IF(OR(I174="",NOT(ISNUMBER(H174))),"Not checked",IF(OR(I174="Not met",LEN(J174)=0,M174&lt;0),"Red",IF(OR(I174="Partly met",M174&lt;=30),"Amber","Green")))))</f>
        <v/>
      </c>
      <c r="O174" s="27">
        <f>IF(N174="Red",IF(I174="Not met","Not met",IF(LEN(J174)=0,"No evidence location","Re-check overdue")),IF(N174="Amber",IF(I174="Partly met","Partly met","Re-check due ≤30 days"),""))</f>
        <v/>
      </c>
      <c r="P174" s="21" t="n"/>
    </row>
    <row r="175">
      <c r="A175" s="21" t="n"/>
      <c r="B175" s="22" t="n"/>
      <c r="C175" s="23" t="n"/>
      <c r="D175" s="23" t="n"/>
      <c r="E175" s="21" t="n"/>
      <c r="F175" s="21" t="n"/>
      <c r="G175" s="21" t="n"/>
      <c r="H175" s="24" t="n"/>
      <c r="I175" s="21" t="n"/>
      <c r="J175" s="21" t="n"/>
      <c r="K175" s="22" t="n"/>
      <c r="L175" s="25">
        <f>IF(ISNUMBER(H175),EDATE(H175,IF(ISNUMBER(K175),K175,3)),"")</f>
        <v/>
      </c>
      <c r="M175" s="26">
        <f>IF(L175="","",IF(ISNUMBER(L175),L175-TODAY(),"Check date"))</f>
        <v/>
      </c>
      <c r="N175" s="27">
        <f>IF(LEN(C175)=0,"",IF(I175="N/A","N/A",IF(OR(I175="",NOT(ISNUMBER(H175))),"Not checked",IF(OR(I175="Not met",LEN(J175)=0,M175&lt;0),"Red",IF(OR(I175="Partly met",M175&lt;=30),"Amber","Green")))))</f>
        <v/>
      </c>
      <c r="O175" s="27">
        <f>IF(N175="Red",IF(I175="Not met","Not met",IF(LEN(J175)=0,"No evidence location","Re-check overdue")),IF(N175="Amber",IF(I175="Partly met","Partly met","Re-check due ≤30 days"),""))</f>
        <v/>
      </c>
      <c r="P175" s="21" t="n"/>
    </row>
    <row r="176">
      <c r="A176" s="21" t="n"/>
      <c r="B176" s="22" t="n"/>
      <c r="C176" s="23" t="n"/>
      <c r="D176" s="23" t="n"/>
      <c r="E176" s="21" t="n"/>
      <c r="F176" s="21" t="n"/>
      <c r="G176" s="21" t="n"/>
      <c r="H176" s="24" t="n"/>
      <c r="I176" s="21" t="n"/>
      <c r="J176" s="21" t="n"/>
      <c r="K176" s="22" t="n"/>
      <c r="L176" s="25">
        <f>IF(ISNUMBER(H176),EDATE(H176,IF(ISNUMBER(K176),K176,3)),"")</f>
        <v/>
      </c>
      <c r="M176" s="26">
        <f>IF(L176="","",IF(ISNUMBER(L176),L176-TODAY(),"Check date"))</f>
        <v/>
      </c>
      <c r="N176" s="27">
        <f>IF(LEN(C176)=0,"",IF(I176="N/A","N/A",IF(OR(I176="",NOT(ISNUMBER(H176))),"Not checked",IF(OR(I176="Not met",LEN(J176)=0,M176&lt;0),"Red",IF(OR(I176="Partly met",M176&lt;=30),"Amber","Green")))))</f>
        <v/>
      </c>
      <c r="O176" s="27">
        <f>IF(N176="Red",IF(I176="Not met","Not met",IF(LEN(J176)=0,"No evidence location","Re-check overdue")),IF(N176="Amber",IF(I176="Partly met","Partly met","Re-check due ≤30 days"),""))</f>
        <v/>
      </c>
      <c r="P176" s="21" t="n"/>
    </row>
    <row r="177">
      <c r="A177" s="21" t="n"/>
      <c r="B177" s="22" t="n"/>
      <c r="C177" s="23" t="n"/>
      <c r="D177" s="23" t="n"/>
      <c r="E177" s="21" t="n"/>
      <c r="F177" s="21" t="n"/>
      <c r="G177" s="21" t="n"/>
      <c r="H177" s="24" t="n"/>
      <c r="I177" s="21" t="n"/>
      <c r="J177" s="21" t="n"/>
      <c r="K177" s="22" t="n"/>
      <c r="L177" s="25">
        <f>IF(ISNUMBER(H177),EDATE(H177,IF(ISNUMBER(K177),K177,3)),"")</f>
        <v/>
      </c>
      <c r="M177" s="26">
        <f>IF(L177="","",IF(ISNUMBER(L177),L177-TODAY(),"Check date"))</f>
        <v/>
      </c>
      <c r="N177" s="27">
        <f>IF(LEN(C177)=0,"",IF(I177="N/A","N/A",IF(OR(I177="",NOT(ISNUMBER(H177))),"Not checked",IF(OR(I177="Not met",LEN(J177)=0,M177&lt;0),"Red",IF(OR(I177="Partly met",M177&lt;=30),"Amber","Green")))))</f>
        <v/>
      </c>
      <c r="O177" s="27">
        <f>IF(N177="Red",IF(I177="Not met","Not met",IF(LEN(J177)=0,"No evidence location","Re-check overdue")),IF(N177="Amber",IF(I177="Partly met","Partly met","Re-check due ≤30 days"),""))</f>
        <v/>
      </c>
      <c r="P177" s="21" t="n"/>
    </row>
    <row r="178">
      <c r="A178" s="21" t="n"/>
      <c r="B178" s="22" t="n"/>
      <c r="C178" s="23" t="n"/>
      <c r="D178" s="23" t="n"/>
      <c r="E178" s="21" t="n"/>
      <c r="F178" s="21" t="n"/>
      <c r="G178" s="21" t="n"/>
      <c r="H178" s="24" t="n"/>
      <c r="I178" s="21" t="n"/>
      <c r="J178" s="21" t="n"/>
      <c r="K178" s="22" t="n"/>
      <c r="L178" s="25">
        <f>IF(ISNUMBER(H178),EDATE(H178,IF(ISNUMBER(K178),K178,3)),"")</f>
        <v/>
      </c>
      <c r="M178" s="26">
        <f>IF(L178="","",IF(ISNUMBER(L178),L178-TODAY(),"Check date"))</f>
        <v/>
      </c>
      <c r="N178" s="27">
        <f>IF(LEN(C178)=0,"",IF(I178="N/A","N/A",IF(OR(I178="",NOT(ISNUMBER(H178))),"Not checked",IF(OR(I178="Not met",LEN(J178)=0,M178&lt;0),"Red",IF(OR(I178="Partly met",M178&lt;=30),"Amber","Green")))))</f>
        <v/>
      </c>
      <c r="O178" s="27">
        <f>IF(N178="Red",IF(I178="Not met","Not met",IF(LEN(J178)=0,"No evidence location","Re-check overdue")),IF(N178="Amber",IF(I178="Partly met","Partly met","Re-check due ≤30 days"),""))</f>
        <v/>
      </c>
      <c r="P178" s="21" t="n"/>
    </row>
    <row r="179">
      <c r="A179" s="21" t="n"/>
      <c r="B179" s="22" t="n"/>
      <c r="C179" s="23" t="n"/>
      <c r="D179" s="23" t="n"/>
      <c r="E179" s="21" t="n"/>
      <c r="F179" s="21" t="n"/>
      <c r="G179" s="21" t="n"/>
      <c r="H179" s="24" t="n"/>
      <c r="I179" s="21" t="n"/>
      <c r="J179" s="21" t="n"/>
      <c r="K179" s="22" t="n"/>
      <c r="L179" s="25">
        <f>IF(ISNUMBER(H179),EDATE(H179,IF(ISNUMBER(K179),K179,3)),"")</f>
        <v/>
      </c>
      <c r="M179" s="26">
        <f>IF(L179="","",IF(ISNUMBER(L179),L179-TODAY(),"Check date"))</f>
        <v/>
      </c>
      <c r="N179" s="27">
        <f>IF(LEN(C179)=0,"",IF(I179="N/A","N/A",IF(OR(I179="",NOT(ISNUMBER(H179))),"Not checked",IF(OR(I179="Not met",LEN(J179)=0,M179&lt;0),"Red",IF(OR(I179="Partly met",M179&lt;=30),"Amber","Green")))))</f>
        <v/>
      </c>
      <c r="O179" s="27">
        <f>IF(N179="Red",IF(I179="Not met","Not met",IF(LEN(J179)=0,"No evidence location","Re-check overdue")),IF(N179="Amber",IF(I179="Partly met","Partly met","Re-check due ≤30 days"),""))</f>
        <v/>
      </c>
      <c r="P179" s="21" t="n"/>
    </row>
    <row r="180">
      <c r="A180" s="21" t="n"/>
      <c r="B180" s="22" t="n"/>
      <c r="C180" s="23" t="n"/>
      <c r="D180" s="23" t="n"/>
      <c r="E180" s="21" t="n"/>
      <c r="F180" s="21" t="n"/>
      <c r="G180" s="21" t="n"/>
      <c r="H180" s="24" t="n"/>
      <c r="I180" s="21" t="n"/>
      <c r="J180" s="21" t="n"/>
      <c r="K180" s="22" t="n"/>
      <c r="L180" s="25">
        <f>IF(ISNUMBER(H180),EDATE(H180,IF(ISNUMBER(K180),K180,3)),"")</f>
        <v/>
      </c>
      <c r="M180" s="26">
        <f>IF(L180="","",IF(ISNUMBER(L180),L180-TODAY(),"Check date"))</f>
        <v/>
      </c>
      <c r="N180" s="27">
        <f>IF(LEN(C180)=0,"",IF(I180="N/A","N/A",IF(OR(I180="",NOT(ISNUMBER(H180))),"Not checked",IF(OR(I180="Not met",LEN(J180)=0,M180&lt;0),"Red",IF(OR(I180="Partly met",M180&lt;=30),"Amber","Green")))))</f>
        <v/>
      </c>
      <c r="O180" s="27">
        <f>IF(N180="Red",IF(I180="Not met","Not met",IF(LEN(J180)=0,"No evidence location","Re-check overdue")),IF(N180="Amber",IF(I180="Partly met","Partly met","Re-check due ≤30 days"),""))</f>
        <v/>
      </c>
      <c r="P180" s="21" t="n"/>
    </row>
    <row r="181">
      <c r="A181" s="21" t="n"/>
      <c r="B181" s="22" t="n"/>
      <c r="C181" s="23" t="n"/>
      <c r="D181" s="23" t="n"/>
      <c r="E181" s="21" t="n"/>
      <c r="F181" s="21" t="n"/>
      <c r="G181" s="21" t="n"/>
      <c r="H181" s="24" t="n"/>
      <c r="I181" s="21" t="n"/>
      <c r="J181" s="21" t="n"/>
      <c r="K181" s="22" t="n"/>
      <c r="L181" s="25">
        <f>IF(ISNUMBER(H181),EDATE(H181,IF(ISNUMBER(K181),K181,3)),"")</f>
        <v/>
      </c>
      <c r="M181" s="26">
        <f>IF(L181="","",IF(ISNUMBER(L181),L181-TODAY(),"Check date"))</f>
        <v/>
      </c>
      <c r="N181" s="27">
        <f>IF(LEN(C181)=0,"",IF(I181="N/A","N/A",IF(OR(I181="",NOT(ISNUMBER(H181))),"Not checked",IF(OR(I181="Not met",LEN(J181)=0,M181&lt;0),"Red",IF(OR(I181="Partly met",M181&lt;=30),"Amber","Green")))))</f>
        <v/>
      </c>
      <c r="O181" s="27">
        <f>IF(N181="Red",IF(I181="Not met","Not met",IF(LEN(J181)=0,"No evidence location","Re-check overdue")),IF(N181="Amber",IF(I181="Partly met","Partly met","Re-check due ≤30 days"),""))</f>
        <v/>
      </c>
      <c r="P181" s="21" t="n"/>
    </row>
    <row r="182">
      <c r="A182" s="21" t="n"/>
      <c r="B182" s="22" t="n"/>
      <c r="C182" s="23" t="n"/>
      <c r="D182" s="23" t="n"/>
      <c r="E182" s="21" t="n"/>
      <c r="F182" s="21" t="n"/>
      <c r="G182" s="21" t="n"/>
      <c r="H182" s="24" t="n"/>
      <c r="I182" s="21" t="n"/>
      <c r="J182" s="21" t="n"/>
      <c r="K182" s="22" t="n"/>
      <c r="L182" s="25">
        <f>IF(ISNUMBER(H182),EDATE(H182,IF(ISNUMBER(K182),K182,3)),"")</f>
        <v/>
      </c>
      <c r="M182" s="26">
        <f>IF(L182="","",IF(ISNUMBER(L182),L182-TODAY(),"Check date"))</f>
        <v/>
      </c>
      <c r="N182" s="27">
        <f>IF(LEN(C182)=0,"",IF(I182="N/A","N/A",IF(OR(I182="",NOT(ISNUMBER(H182))),"Not checked",IF(OR(I182="Not met",LEN(J182)=0,M182&lt;0),"Red",IF(OR(I182="Partly met",M182&lt;=30),"Amber","Green")))))</f>
        <v/>
      </c>
      <c r="O182" s="27">
        <f>IF(N182="Red",IF(I182="Not met","Not met",IF(LEN(J182)=0,"No evidence location","Re-check overdue")),IF(N182="Amber",IF(I182="Partly met","Partly met","Re-check due ≤30 days"),""))</f>
        <v/>
      </c>
      <c r="P182" s="21" t="n"/>
    </row>
    <row r="183">
      <c r="A183" s="21" t="n"/>
      <c r="B183" s="22" t="n"/>
      <c r="C183" s="23" t="n"/>
      <c r="D183" s="23" t="n"/>
      <c r="E183" s="21" t="n"/>
      <c r="F183" s="21" t="n"/>
      <c r="G183" s="21" t="n"/>
      <c r="H183" s="24" t="n"/>
      <c r="I183" s="21" t="n"/>
      <c r="J183" s="21" t="n"/>
      <c r="K183" s="22" t="n"/>
      <c r="L183" s="25">
        <f>IF(ISNUMBER(H183),EDATE(H183,IF(ISNUMBER(K183),K183,3)),"")</f>
        <v/>
      </c>
      <c r="M183" s="26">
        <f>IF(L183="","",IF(ISNUMBER(L183),L183-TODAY(),"Check date"))</f>
        <v/>
      </c>
      <c r="N183" s="27">
        <f>IF(LEN(C183)=0,"",IF(I183="N/A","N/A",IF(OR(I183="",NOT(ISNUMBER(H183))),"Not checked",IF(OR(I183="Not met",LEN(J183)=0,M183&lt;0),"Red",IF(OR(I183="Partly met",M183&lt;=30),"Amber","Green")))))</f>
        <v/>
      </c>
      <c r="O183" s="27">
        <f>IF(N183="Red",IF(I183="Not met","Not met",IF(LEN(J183)=0,"No evidence location","Re-check overdue")),IF(N183="Amber",IF(I183="Partly met","Partly met","Re-check due ≤30 days"),""))</f>
        <v/>
      </c>
      <c r="P183" s="21" t="n"/>
    </row>
    <row r="184">
      <c r="A184" s="21" t="n"/>
      <c r="B184" s="22" t="n"/>
      <c r="C184" s="23" t="n"/>
      <c r="D184" s="23" t="n"/>
      <c r="E184" s="21" t="n"/>
      <c r="F184" s="21" t="n"/>
      <c r="G184" s="21" t="n"/>
      <c r="H184" s="24" t="n"/>
      <c r="I184" s="21" t="n"/>
      <c r="J184" s="21" t="n"/>
      <c r="K184" s="22" t="n"/>
      <c r="L184" s="25">
        <f>IF(ISNUMBER(H184),EDATE(H184,IF(ISNUMBER(K184),K184,3)),"")</f>
        <v/>
      </c>
      <c r="M184" s="26">
        <f>IF(L184="","",IF(ISNUMBER(L184),L184-TODAY(),"Check date"))</f>
        <v/>
      </c>
      <c r="N184" s="27">
        <f>IF(LEN(C184)=0,"",IF(I184="N/A","N/A",IF(OR(I184="",NOT(ISNUMBER(H184))),"Not checked",IF(OR(I184="Not met",LEN(J184)=0,M184&lt;0),"Red",IF(OR(I184="Partly met",M184&lt;=30),"Amber","Green")))))</f>
        <v/>
      </c>
      <c r="O184" s="27">
        <f>IF(N184="Red",IF(I184="Not met","Not met",IF(LEN(J184)=0,"No evidence location","Re-check overdue")),IF(N184="Amber",IF(I184="Partly met","Partly met","Re-check due ≤30 days"),""))</f>
        <v/>
      </c>
      <c r="P184" s="21" t="n"/>
    </row>
    <row r="185">
      <c r="A185" s="21" t="n"/>
      <c r="B185" s="22" t="n"/>
      <c r="C185" s="23" t="n"/>
      <c r="D185" s="23" t="n"/>
      <c r="E185" s="21" t="n"/>
      <c r="F185" s="21" t="n"/>
      <c r="G185" s="21" t="n"/>
      <c r="H185" s="24" t="n"/>
      <c r="I185" s="21" t="n"/>
      <c r="J185" s="21" t="n"/>
      <c r="K185" s="22" t="n"/>
      <c r="L185" s="25">
        <f>IF(ISNUMBER(H185),EDATE(H185,IF(ISNUMBER(K185),K185,3)),"")</f>
        <v/>
      </c>
      <c r="M185" s="26">
        <f>IF(L185="","",IF(ISNUMBER(L185),L185-TODAY(),"Check date"))</f>
        <v/>
      </c>
      <c r="N185" s="27">
        <f>IF(LEN(C185)=0,"",IF(I185="N/A","N/A",IF(OR(I185="",NOT(ISNUMBER(H185))),"Not checked",IF(OR(I185="Not met",LEN(J185)=0,M185&lt;0),"Red",IF(OR(I185="Partly met",M185&lt;=30),"Amber","Green")))))</f>
        <v/>
      </c>
      <c r="O185" s="27">
        <f>IF(N185="Red",IF(I185="Not met","Not met",IF(LEN(J185)=0,"No evidence location","Re-check overdue")),IF(N185="Amber",IF(I185="Partly met","Partly met","Re-check due ≤30 days"),""))</f>
        <v/>
      </c>
      <c r="P185" s="21" t="n"/>
    </row>
    <row r="186">
      <c r="A186" s="21" t="n"/>
      <c r="B186" s="22" t="n"/>
      <c r="C186" s="23" t="n"/>
      <c r="D186" s="23" t="n"/>
      <c r="E186" s="21" t="n"/>
      <c r="F186" s="21" t="n"/>
      <c r="G186" s="21" t="n"/>
      <c r="H186" s="24" t="n"/>
      <c r="I186" s="21" t="n"/>
      <c r="J186" s="21" t="n"/>
      <c r="K186" s="22" t="n"/>
      <c r="L186" s="25">
        <f>IF(ISNUMBER(H186),EDATE(H186,IF(ISNUMBER(K186),K186,3)),"")</f>
        <v/>
      </c>
      <c r="M186" s="26">
        <f>IF(L186="","",IF(ISNUMBER(L186),L186-TODAY(),"Check date"))</f>
        <v/>
      </c>
      <c r="N186" s="27">
        <f>IF(LEN(C186)=0,"",IF(I186="N/A","N/A",IF(OR(I186="",NOT(ISNUMBER(H186))),"Not checked",IF(OR(I186="Not met",LEN(J186)=0,M186&lt;0),"Red",IF(OR(I186="Partly met",M186&lt;=30),"Amber","Green")))))</f>
        <v/>
      </c>
      <c r="O186" s="27">
        <f>IF(N186="Red",IF(I186="Not met","Not met",IF(LEN(J186)=0,"No evidence location","Re-check overdue")),IF(N186="Amber",IF(I186="Partly met","Partly met","Re-check due ≤30 days"),""))</f>
        <v/>
      </c>
      <c r="P186" s="21" t="n"/>
    </row>
    <row r="187">
      <c r="A187" s="21" t="n"/>
      <c r="B187" s="22" t="n"/>
      <c r="C187" s="23" t="n"/>
      <c r="D187" s="23" t="n"/>
      <c r="E187" s="21" t="n"/>
      <c r="F187" s="21" t="n"/>
      <c r="G187" s="21" t="n"/>
      <c r="H187" s="24" t="n"/>
      <c r="I187" s="21" t="n"/>
      <c r="J187" s="21" t="n"/>
      <c r="K187" s="22" t="n"/>
      <c r="L187" s="25">
        <f>IF(ISNUMBER(H187),EDATE(H187,IF(ISNUMBER(K187),K187,3)),"")</f>
        <v/>
      </c>
      <c r="M187" s="26">
        <f>IF(L187="","",IF(ISNUMBER(L187),L187-TODAY(),"Check date"))</f>
        <v/>
      </c>
      <c r="N187" s="27">
        <f>IF(LEN(C187)=0,"",IF(I187="N/A","N/A",IF(OR(I187="",NOT(ISNUMBER(H187))),"Not checked",IF(OR(I187="Not met",LEN(J187)=0,M187&lt;0),"Red",IF(OR(I187="Partly met",M187&lt;=30),"Amber","Green")))))</f>
        <v/>
      </c>
      <c r="O187" s="27">
        <f>IF(N187="Red",IF(I187="Not met","Not met",IF(LEN(J187)=0,"No evidence location","Re-check overdue")),IF(N187="Amber",IF(I187="Partly met","Partly met","Re-check due ≤30 days"),""))</f>
        <v/>
      </c>
      <c r="P187" s="21" t="n"/>
    </row>
    <row r="188">
      <c r="A188" s="21" t="n"/>
      <c r="B188" s="22" t="n"/>
      <c r="C188" s="23" t="n"/>
      <c r="D188" s="23" t="n"/>
      <c r="E188" s="21" t="n"/>
      <c r="F188" s="21" t="n"/>
      <c r="G188" s="21" t="n"/>
      <c r="H188" s="24" t="n"/>
      <c r="I188" s="21" t="n"/>
      <c r="J188" s="21" t="n"/>
      <c r="K188" s="22" t="n"/>
      <c r="L188" s="25">
        <f>IF(ISNUMBER(H188),EDATE(H188,IF(ISNUMBER(K188),K188,3)),"")</f>
        <v/>
      </c>
      <c r="M188" s="26">
        <f>IF(L188="","",IF(ISNUMBER(L188),L188-TODAY(),"Check date"))</f>
        <v/>
      </c>
      <c r="N188" s="27">
        <f>IF(LEN(C188)=0,"",IF(I188="N/A","N/A",IF(OR(I188="",NOT(ISNUMBER(H188))),"Not checked",IF(OR(I188="Not met",LEN(J188)=0,M188&lt;0),"Red",IF(OR(I188="Partly met",M188&lt;=30),"Amber","Green")))))</f>
        <v/>
      </c>
      <c r="O188" s="27">
        <f>IF(N188="Red",IF(I188="Not met","Not met",IF(LEN(J188)=0,"No evidence location","Re-check overdue")),IF(N188="Amber",IF(I188="Partly met","Partly met","Re-check due ≤30 days"),""))</f>
        <v/>
      </c>
      <c r="P188" s="21" t="n"/>
    </row>
    <row r="189">
      <c r="A189" s="21" t="n"/>
      <c r="B189" s="22" t="n"/>
      <c r="C189" s="23" t="n"/>
      <c r="D189" s="23" t="n"/>
      <c r="E189" s="21" t="n"/>
      <c r="F189" s="21" t="n"/>
      <c r="G189" s="21" t="n"/>
      <c r="H189" s="24" t="n"/>
      <c r="I189" s="21" t="n"/>
      <c r="J189" s="21" t="n"/>
      <c r="K189" s="22" t="n"/>
      <c r="L189" s="25">
        <f>IF(ISNUMBER(H189),EDATE(H189,IF(ISNUMBER(K189),K189,3)),"")</f>
        <v/>
      </c>
      <c r="M189" s="26">
        <f>IF(L189="","",IF(ISNUMBER(L189),L189-TODAY(),"Check date"))</f>
        <v/>
      </c>
      <c r="N189" s="27">
        <f>IF(LEN(C189)=0,"",IF(I189="N/A","N/A",IF(OR(I189="",NOT(ISNUMBER(H189))),"Not checked",IF(OR(I189="Not met",LEN(J189)=0,M189&lt;0),"Red",IF(OR(I189="Partly met",M189&lt;=30),"Amber","Green")))))</f>
        <v/>
      </c>
      <c r="O189" s="27">
        <f>IF(N189="Red",IF(I189="Not met","Not met",IF(LEN(J189)=0,"No evidence location","Re-check overdue")),IF(N189="Amber",IF(I189="Partly met","Partly met","Re-check due ≤30 days"),""))</f>
        <v/>
      </c>
      <c r="P189" s="21" t="n"/>
    </row>
    <row r="190">
      <c r="A190" s="21" t="n"/>
      <c r="B190" s="22" t="n"/>
      <c r="C190" s="23" t="n"/>
      <c r="D190" s="23" t="n"/>
      <c r="E190" s="21" t="n"/>
      <c r="F190" s="21" t="n"/>
      <c r="G190" s="21" t="n"/>
      <c r="H190" s="24" t="n"/>
      <c r="I190" s="21" t="n"/>
      <c r="J190" s="21" t="n"/>
      <c r="K190" s="22" t="n"/>
      <c r="L190" s="25">
        <f>IF(ISNUMBER(H190),EDATE(H190,IF(ISNUMBER(K190),K190,3)),"")</f>
        <v/>
      </c>
      <c r="M190" s="26">
        <f>IF(L190="","",IF(ISNUMBER(L190),L190-TODAY(),"Check date"))</f>
        <v/>
      </c>
      <c r="N190" s="27">
        <f>IF(LEN(C190)=0,"",IF(I190="N/A","N/A",IF(OR(I190="",NOT(ISNUMBER(H190))),"Not checked",IF(OR(I190="Not met",LEN(J190)=0,M190&lt;0),"Red",IF(OR(I190="Partly met",M190&lt;=30),"Amber","Green")))))</f>
        <v/>
      </c>
      <c r="O190" s="27">
        <f>IF(N190="Red",IF(I190="Not met","Not met",IF(LEN(J190)=0,"No evidence location","Re-check overdue")),IF(N190="Amber",IF(I190="Partly met","Partly met","Re-check due ≤30 days"),""))</f>
        <v/>
      </c>
      <c r="P190" s="21" t="n"/>
    </row>
    <row r="191">
      <c r="A191" s="21" t="n"/>
      <c r="B191" s="22" t="n"/>
      <c r="C191" s="23" t="n"/>
      <c r="D191" s="23" t="n"/>
      <c r="E191" s="21" t="n"/>
      <c r="F191" s="21" t="n"/>
      <c r="G191" s="21" t="n"/>
      <c r="H191" s="24" t="n"/>
      <c r="I191" s="21" t="n"/>
      <c r="J191" s="21" t="n"/>
      <c r="K191" s="22" t="n"/>
      <c r="L191" s="25">
        <f>IF(ISNUMBER(H191),EDATE(H191,IF(ISNUMBER(K191),K191,3)),"")</f>
        <v/>
      </c>
      <c r="M191" s="26">
        <f>IF(L191="","",IF(ISNUMBER(L191),L191-TODAY(),"Check date"))</f>
        <v/>
      </c>
      <c r="N191" s="27">
        <f>IF(LEN(C191)=0,"",IF(I191="N/A","N/A",IF(OR(I191="",NOT(ISNUMBER(H191))),"Not checked",IF(OR(I191="Not met",LEN(J191)=0,M191&lt;0),"Red",IF(OR(I191="Partly met",M191&lt;=30),"Amber","Green")))))</f>
        <v/>
      </c>
      <c r="O191" s="27">
        <f>IF(N191="Red",IF(I191="Not met","Not met",IF(LEN(J191)=0,"No evidence location","Re-check overdue")),IF(N191="Amber",IF(I191="Partly met","Partly met","Re-check due ≤30 days"),""))</f>
        <v/>
      </c>
      <c r="P191" s="21" t="n"/>
    </row>
    <row r="192">
      <c r="A192" s="21" t="n"/>
      <c r="B192" s="22" t="n"/>
      <c r="C192" s="23" t="n"/>
      <c r="D192" s="23" t="n"/>
      <c r="E192" s="21" t="n"/>
      <c r="F192" s="21" t="n"/>
      <c r="G192" s="21" t="n"/>
      <c r="H192" s="24" t="n"/>
      <c r="I192" s="21" t="n"/>
      <c r="J192" s="21" t="n"/>
      <c r="K192" s="22" t="n"/>
      <c r="L192" s="25">
        <f>IF(ISNUMBER(H192),EDATE(H192,IF(ISNUMBER(K192),K192,3)),"")</f>
        <v/>
      </c>
      <c r="M192" s="26">
        <f>IF(L192="","",IF(ISNUMBER(L192),L192-TODAY(),"Check date"))</f>
        <v/>
      </c>
      <c r="N192" s="27">
        <f>IF(LEN(C192)=0,"",IF(I192="N/A","N/A",IF(OR(I192="",NOT(ISNUMBER(H192))),"Not checked",IF(OR(I192="Not met",LEN(J192)=0,M192&lt;0),"Red",IF(OR(I192="Partly met",M192&lt;=30),"Amber","Green")))))</f>
        <v/>
      </c>
      <c r="O192" s="27">
        <f>IF(N192="Red",IF(I192="Not met","Not met",IF(LEN(J192)=0,"No evidence location","Re-check overdue")),IF(N192="Amber",IF(I192="Partly met","Partly met","Re-check due ≤30 days"),""))</f>
        <v/>
      </c>
      <c r="P192" s="21" t="n"/>
    </row>
    <row r="193">
      <c r="A193" s="21" t="n"/>
      <c r="B193" s="22" t="n"/>
      <c r="C193" s="23" t="n"/>
      <c r="D193" s="23" t="n"/>
      <c r="E193" s="21" t="n"/>
      <c r="F193" s="21" t="n"/>
      <c r="G193" s="21" t="n"/>
      <c r="H193" s="24" t="n"/>
      <c r="I193" s="21" t="n"/>
      <c r="J193" s="21" t="n"/>
      <c r="K193" s="22" t="n"/>
      <c r="L193" s="25">
        <f>IF(ISNUMBER(H193),EDATE(H193,IF(ISNUMBER(K193),K193,3)),"")</f>
        <v/>
      </c>
      <c r="M193" s="26">
        <f>IF(L193="","",IF(ISNUMBER(L193),L193-TODAY(),"Check date"))</f>
        <v/>
      </c>
      <c r="N193" s="27">
        <f>IF(LEN(C193)=0,"",IF(I193="N/A","N/A",IF(OR(I193="",NOT(ISNUMBER(H193))),"Not checked",IF(OR(I193="Not met",LEN(J193)=0,M193&lt;0),"Red",IF(OR(I193="Partly met",M193&lt;=30),"Amber","Green")))))</f>
        <v/>
      </c>
      <c r="O193" s="27">
        <f>IF(N193="Red",IF(I193="Not met","Not met",IF(LEN(J193)=0,"No evidence location","Re-check overdue")),IF(N193="Amber",IF(I193="Partly met","Partly met","Re-check due ≤30 days"),""))</f>
        <v/>
      </c>
      <c r="P193" s="21" t="n"/>
    </row>
    <row r="194">
      <c r="A194" s="21" t="n"/>
      <c r="B194" s="22" t="n"/>
      <c r="C194" s="23" t="n"/>
      <c r="D194" s="23" t="n"/>
      <c r="E194" s="21" t="n"/>
      <c r="F194" s="21" t="n"/>
      <c r="G194" s="21" t="n"/>
      <c r="H194" s="24" t="n"/>
      <c r="I194" s="21" t="n"/>
      <c r="J194" s="21" t="n"/>
      <c r="K194" s="22" t="n"/>
      <c r="L194" s="25">
        <f>IF(ISNUMBER(H194),EDATE(H194,IF(ISNUMBER(K194),K194,3)),"")</f>
        <v/>
      </c>
      <c r="M194" s="26">
        <f>IF(L194="","",IF(ISNUMBER(L194),L194-TODAY(),"Check date"))</f>
        <v/>
      </c>
      <c r="N194" s="27">
        <f>IF(LEN(C194)=0,"",IF(I194="N/A","N/A",IF(OR(I194="",NOT(ISNUMBER(H194))),"Not checked",IF(OR(I194="Not met",LEN(J194)=0,M194&lt;0),"Red",IF(OR(I194="Partly met",M194&lt;=30),"Amber","Green")))))</f>
        <v/>
      </c>
      <c r="O194" s="27">
        <f>IF(N194="Red",IF(I194="Not met","Not met",IF(LEN(J194)=0,"No evidence location","Re-check overdue")),IF(N194="Amber",IF(I194="Partly met","Partly met","Re-check due ≤30 days"),""))</f>
        <v/>
      </c>
      <c r="P194" s="21" t="n"/>
    </row>
    <row r="195">
      <c r="A195" s="21" t="n"/>
      <c r="B195" s="22" t="n"/>
      <c r="C195" s="23" t="n"/>
      <c r="D195" s="23" t="n"/>
      <c r="E195" s="21" t="n"/>
      <c r="F195" s="21" t="n"/>
      <c r="G195" s="21" t="n"/>
      <c r="H195" s="24" t="n"/>
      <c r="I195" s="21" t="n"/>
      <c r="J195" s="21" t="n"/>
      <c r="K195" s="22" t="n"/>
      <c r="L195" s="25">
        <f>IF(ISNUMBER(H195),EDATE(H195,IF(ISNUMBER(K195),K195,3)),"")</f>
        <v/>
      </c>
      <c r="M195" s="26">
        <f>IF(L195="","",IF(ISNUMBER(L195),L195-TODAY(),"Check date"))</f>
        <v/>
      </c>
      <c r="N195" s="27">
        <f>IF(LEN(C195)=0,"",IF(I195="N/A","N/A",IF(OR(I195="",NOT(ISNUMBER(H195))),"Not checked",IF(OR(I195="Not met",LEN(J195)=0,M195&lt;0),"Red",IF(OR(I195="Partly met",M195&lt;=30),"Amber","Green")))))</f>
        <v/>
      </c>
      <c r="O195" s="27">
        <f>IF(N195="Red",IF(I195="Not met","Not met",IF(LEN(J195)=0,"No evidence location","Re-check overdue")),IF(N195="Amber",IF(I195="Partly met","Partly met","Re-check due ≤30 days"),""))</f>
        <v/>
      </c>
      <c r="P195" s="21" t="n"/>
    </row>
    <row r="196">
      <c r="A196" s="21" t="n"/>
      <c r="B196" s="22" t="n"/>
      <c r="C196" s="23" t="n"/>
      <c r="D196" s="23" t="n"/>
      <c r="E196" s="21" t="n"/>
      <c r="F196" s="21" t="n"/>
      <c r="G196" s="21" t="n"/>
      <c r="H196" s="24" t="n"/>
      <c r="I196" s="21" t="n"/>
      <c r="J196" s="21" t="n"/>
      <c r="K196" s="22" t="n"/>
      <c r="L196" s="25">
        <f>IF(ISNUMBER(H196),EDATE(H196,IF(ISNUMBER(K196),K196,3)),"")</f>
        <v/>
      </c>
      <c r="M196" s="26">
        <f>IF(L196="","",IF(ISNUMBER(L196),L196-TODAY(),"Check date"))</f>
        <v/>
      </c>
      <c r="N196" s="27">
        <f>IF(LEN(C196)=0,"",IF(I196="N/A","N/A",IF(OR(I196="",NOT(ISNUMBER(H196))),"Not checked",IF(OR(I196="Not met",LEN(J196)=0,M196&lt;0),"Red",IF(OR(I196="Partly met",M196&lt;=30),"Amber","Green")))))</f>
        <v/>
      </c>
      <c r="O196" s="27">
        <f>IF(N196="Red",IF(I196="Not met","Not met",IF(LEN(J196)=0,"No evidence location","Re-check overdue")),IF(N196="Amber",IF(I196="Partly met","Partly met","Re-check due ≤30 days"),""))</f>
        <v/>
      </c>
      <c r="P196" s="21" t="n"/>
    </row>
    <row r="197">
      <c r="A197" s="21" t="n"/>
      <c r="B197" s="22" t="n"/>
      <c r="C197" s="23" t="n"/>
      <c r="D197" s="23" t="n"/>
      <c r="E197" s="21" t="n"/>
      <c r="F197" s="21" t="n"/>
      <c r="G197" s="21" t="n"/>
      <c r="H197" s="24" t="n"/>
      <c r="I197" s="21" t="n"/>
      <c r="J197" s="21" t="n"/>
      <c r="K197" s="22" t="n"/>
      <c r="L197" s="25">
        <f>IF(ISNUMBER(H197),EDATE(H197,IF(ISNUMBER(K197),K197,3)),"")</f>
        <v/>
      </c>
      <c r="M197" s="26">
        <f>IF(L197="","",IF(ISNUMBER(L197),L197-TODAY(),"Check date"))</f>
        <v/>
      </c>
      <c r="N197" s="27">
        <f>IF(LEN(C197)=0,"",IF(I197="N/A","N/A",IF(OR(I197="",NOT(ISNUMBER(H197))),"Not checked",IF(OR(I197="Not met",LEN(J197)=0,M197&lt;0),"Red",IF(OR(I197="Partly met",M197&lt;=30),"Amber","Green")))))</f>
        <v/>
      </c>
      <c r="O197" s="27">
        <f>IF(N197="Red",IF(I197="Not met","Not met",IF(LEN(J197)=0,"No evidence location","Re-check overdue")),IF(N197="Amber",IF(I197="Partly met","Partly met","Re-check due ≤30 days"),""))</f>
        <v/>
      </c>
      <c r="P197" s="21" t="n"/>
    </row>
    <row r="198">
      <c r="A198" s="21" t="n"/>
      <c r="B198" s="22" t="n"/>
      <c r="C198" s="23" t="n"/>
      <c r="D198" s="23" t="n"/>
      <c r="E198" s="21" t="n"/>
      <c r="F198" s="21" t="n"/>
      <c r="G198" s="21" t="n"/>
      <c r="H198" s="24" t="n"/>
      <c r="I198" s="21" t="n"/>
      <c r="J198" s="21" t="n"/>
      <c r="K198" s="22" t="n"/>
      <c r="L198" s="25">
        <f>IF(ISNUMBER(H198),EDATE(H198,IF(ISNUMBER(K198),K198,3)),"")</f>
        <v/>
      </c>
      <c r="M198" s="26">
        <f>IF(L198="","",IF(ISNUMBER(L198),L198-TODAY(),"Check date"))</f>
        <v/>
      </c>
      <c r="N198" s="27">
        <f>IF(LEN(C198)=0,"",IF(I198="N/A","N/A",IF(OR(I198="",NOT(ISNUMBER(H198))),"Not checked",IF(OR(I198="Not met",LEN(J198)=0,M198&lt;0),"Red",IF(OR(I198="Partly met",M198&lt;=30),"Amber","Green")))))</f>
        <v/>
      </c>
      <c r="O198" s="27">
        <f>IF(N198="Red",IF(I198="Not met","Not met",IF(LEN(J198)=0,"No evidence location","Re-check overdue")),IF(N198="Amber",IF(I198="Partly met","Partly met","Re-check due ≤30 days"),""))</f>
        <v/>
      </c>
      <c r="P198" s="21" t="n"/>
    </row>
    <row r="199">
      <c r="A199" s="21" t="n"/>
      <c r="B199" s="22" t="n"/>
      <c r="C199" s="23" t="n"/>
      <c r="D199" s="23" t="n"/>
      <c r="E199" s="21" t="n"/>
      <c r="F199" s="21" t="n"/>
      <c r="G199" s="21" t="n"/>
      <c r="H199" s="24" t="n"/>
      <c r="I199" s="21" t="n"/>
      <c r="J199" s="21" t="n"/>
      <c r="K199" s="22" t="n"/>
      <c r="L199" s="25">
        <f>IF(ISNUMBER(H199),EDATE(H199,IF(ISNUMBER(K199),K199,3)),"")</f>
        <v/>
      </c>
      <c r="M199" s="26">
        <f>IF(L199="","",IF(ISNUMBER(L199),L199-TODAY(),"Check date"))</f>
        <v/>
      </c>
      <c r="N199" s="27">
        <f>IF(LEN(C199)=0,"",IF(I199="N/A","N/A",IF(OR(I199="",NOT(ISNUMBER(H199))),"Not checked",IF(OR(I199="Not met",LEN(J199)=0,M199&lt;0),"Red",IF(OR(I199="Partly met",M199&lt;=30),"Amber","Green")))))</f>
        <v/>
      </c>
      <c r="O199" s="27">
        <f>IF(N199="Red",IF(I199="Not met","Not met",IF(LEN(J199)=0,"No evidence location","Re-check overdue")),IF(N199="Amber",IF(I199="Partly met","Partly met","Re-check due ≤30 days"),""))</f>
        <v/>
      </c>
      <c r="P199" s="21" t="n"/>
    </row>
    <row r="200">
      <c r="A200" s="21" t="n"/>
      <c r="B200" s="22" t="n"/>
      <c r="C200" s="23" t="n"/>
      <c r="D200" s="23" t="n"/>
      <c r="E200" s="21" t="n"/>
      <c r="F200" s="21" t="n"/>
      <c r="G200" s="21" t="n"/>
      <c r="H200" s="24" t="n"/>
      <c r="I200" s="21" t="n"/>
      <c r="J200" s="21" t="n"/>
      <c r="K200" s="22" t="n"/>
      <c r="L200" s="25">
        <f>IF(ISNUMBER(H200),EDATE(H200,IF(ISNUMBER(K200),K200,3)),"")</f>
        <v/>
      </c>
      <c r="M200" s="26">
        <f>IF(L200="","",IF(ISNUMBER(L200),L200-TODAY(),"Check date"))</f>
        <v/>
      </c>
      <c r="N200" s="27">
        <f>IF(LEN(C200)=0,"",IF(I200="N/A","N/A",IF(OR(I200="",NOT(ISNUMBER(H200))),"Not checked",IF(OR(I200="Not met",LEN(J200)=0,M200&lt;0),"Red",IF(OR(I200="Partly met",M200&lt;=30),"Amber","Green")))))</f>
        <v/>
      </c>
      <c r="O200" s="27">
        <f>IF(N200="Red",IF(I200="Not met","Not met",IF(LEN(J200)=0,"No evidence location","Re-check overdue")),IF(N200="Amber",IF(I200="Partly met","Partly met","Re-check due ≤30 days"),""))</f>
        <v/>
      </c>
      <c r="P200" s="21" t="n"/>
    </row>
    <row r="201">
      <c r="A201" s="21" t="n"/>
      <c r="B201" s="22" t="n"/>
      <c r="C201" s="23" t="n"/>
      <c r="D201" s="23" t="n"/>
      <c r="E201" s="21" t="n"/>
      <c r="F201" s="21" t="n"/>
      <c r="G201" s="21" t="n"/>
      <c r="H201" s="24" t="n"/>
      <c r="I201" s="21" t="n"/>
      <c r="J201" s="21" t="n"/>
      <c r="K201" s="22" t="n"/>
      <c r="L201" s="25">
        <f>IF(ISNUMBER(H201),EDATE(H201,IF(ISNUMBER(K201),K201,3)),"")</f>
        <v/>
      </c>
      <c r="M201" s="26">
        <f>IF(L201="","",IF(ISNUMBER(L201),L201-TODAY(),"Check date"))</f>
        <v/>
      </c>
      <c r="N201" s="27">
        <f>IF(LEN(C201)=0,"",IF(I201="N/A","N/A",IF(OR(I201="",NOT(ISNUMBER(H201))),"Not checked",IF(OR(I201="Not met",LEN(J201)=0,M201&lt;0),"Red",IF(OR(I201="Partly met",M201&lt;=30),"Amber","Green")))))</f>
        <v/>
      </c>
      <c r="O201" s="27">
        <f>IF(N201="Red",IF(I201="Not met","Not met",IF(LEN(J201)=0,"No evidence location","Re-check overdue")),IF(N201="Amber",IF(I201="Partly met","Partly met","Re-check due ≤30 days"),""))</f>
        <v/>
      </c>
      <c r="P201" s="21" t="n"/>
    </row>
    <row r="202">
      <c r="A202" s="21" t="n"/>
      <c r="B202" s="22" t="n"/>
      <c r="C202" s="23" t="n"/>
      <c r="D202" s="23" t="n"/>
      <c r="E202" s="21" t="n"/>
      <c r="F202" s="21" t="n"/>
      <c r="G202" s="21" t="n"/>
      <c r="H202" s="24" t="n"/>
      <c r="I202" s="21" t="n"/>
      <c r="J202" s="21" t="n"/>
      <c r="K202" s="22" t="n"/>
      <c r="L202" s="25">
        <f>IF(ISNUMBER(H202),EDATE(H202,IF(ISNUMBER(K202),K202,3)),"")</f>
        <v/>
      </c>
      <c r="M202" s="26">
        <f>IF(L202="","",IF(ISNUMBER(L202),L202-TODAY(),"Check date"))</f>
        <v/>
      </c>
      <c r="N202" s="27">
        <f>IF(LEN(C202)=0,"",IF(I202="N/A","N/A",IF(OR(I202="",NOT(ISNUMBER(H202))),"Not checked",IF(OR(I202="Not met",LEN(J202)=0,M202&lt;0),"Red",IF(OR(I202="Partly met",M202&lt;=30),"Amber","Green")))))</f>
        <v/>
      </c>
      <c r="O202" s="27">
        <f>IF(N202="Red",IF(I202="Not met","Not met",IF(LEN(J202)=0,"No evidence location","Re-check overdue")),IF(N202="Amber",IF(I202="Partly met","Partly met","Re-check due ≤30 days"),""))</f>
        <v/>
      </c>
      <c r="P202" s="21" t="n"/>
    </row>
    <row r="203">
      <c r="A203" s="21" t="n"/>
      <c r="B203" s="22" t="n"/>
      <c r="C203" s="23" t="n"/>
      <c r="D203" s="23" t="n"/>
      <c r="E203" s="21" t="n"/>
      <c r="F203" s="21" t="n"/>
      <c r="G203" s="21" t="n"/>
      <c r="H203" s="24" t="n"/>
      <c r="I203" s="21" t="n"/>
      <c r="J203" s="21" t="n"/>
      <c r="K203" s="22" t="n"/>
      <c r="L203" s="25">
        <f>IF(ISNUMBER(H203),EDATE(H203,IF(ISNUMBER(K203),K203,3)),"")</f>
        <v/>
      </c>
      <c r="M203" s="26">
        <f>IF(L203="","",IF(ISNUMBER(L203),L203-TODAY(),"Check date"))</f>
        <v/>
      </c>
      <c r="N203" s="27">
        <f>IF(LEN(C203)=0,"",IF(I203="N/A","N/A",IF(OR(I203="",NOT(ISNUMBER(H203))),"Not checked",IF(OR(I203="Not met",LEN(J203)=0,M203&lt;0),"Red",IF(OR(I203="Partly met",M203&lt;=30),"Amber","Green")))))</f>
        <v/>
      </c>
      <c r="O203" s="27">
        <f>IF(N203="Red",IF(I203="Not met","Not met",IF(LEN(J203)=0,"No evidence location","Re-check overdue")),IF(N203="Amber",IF(I203="Partly met","Partly met","Re-check due ≤30 days"),""))</f>
        <v/>
      </c>
      <c r="P203" s="21" t="n"/>
    </row>
    <row r="204">
      <c r="A204" s="21" t="n"/>
      <c r="B204" s="22" t="n"/>
      <c r="C204" s="23" t="n"/>
      <c r="D204" s="23" t="n"/>
      <c r="E204" s="21" t="n"/>
      <c r="F204" s="21" t="n"/>
      <c r="G204" s="21" t="n"/>
      <c r="H204" s="24" t="n"/>
      <c r="I204" s="21" t="n"/>
      <c r="J204" s="21" t="n"/>
      <c r="K204" s="22" t="n"/>
      <c r="L204" s="25">
        <f>IF(ISNUMBER(H204),EDATE(H204,IF(ISNUMBER(K204),K204,3)),"")</f>
        <v/>
      </c>
      <c r="M204" s="26">
        <f>IF(L204="","",IF(ISNUMBER(L204),L204-TODAY(),"Check date"))</f>
        <v/>
      </c>
      <c r="N204" s="27">
        <f>IF(LEN(C204)=0,"",IF(I204="N/A","N/A",IF(OR(I204="",NOT(ISNUMBER(H204))),"Not checked",IF(OR(I204="Not met",LEN(J204)=0,M204&lt;0),"Red",IF(OR(I204="Partly met",M204&lt;=30),"Amber","Green")))))</f>
        <v/>
      </c>
      <c r="O204" s="27">
        <f>IF(N204="Red",IF(I204="Not met","Not met",IF(LEN(J204)=0,"No evidence location","Re-check overdue")),IF(N204="Amber",IF(I204="Partly met","Partly met","Re-check due ≤30 days"),""))</f>
        <v/>
      </c>
      <c r="P204" s="21" t="n"/>
    </row>
    <row r="205">
      <c r="A205" s="21" t="n"/>
      <c r="B205" s="22" t="n"/>
      <c r="C205" s="23" t="n"/>
      <c r="D205" s="23" t="n"/>
      <c r="E205" s="21" t="n"/>
      <c r="F205" s="21" t="n"/>
      <c r="G205" s="21" t="n"/>
      <c r="H205" s="24" t="n"/>
      <c r="I205" s="21" t="n"/>
      <c r="J205" s="21" t="n"/>
      <c r="K205" s="22" t="n"/>
      <c r="L205" s="25">
        <f>IF(ISNUMBER(H205),EDATE(H205,IF(ISNUMBER(K205),K205,3)),"")</f>
        <v/>
      </c>
      <c r="M205" s="26">
        <f>IF(L205="","",IF(ISNUMBER(L205),L205-TODAY(),"Check date"))</f>
        <v/>
      </c>
      <c r="N205" s="27">
        <f>IF(LEN(C205)=0,"",IF(I205="N/A","N/A",IF(OR(I205="",NOT(ISNUMBER(H205))),"Not checked",IF(OR(I205="Not met",LEN(J205)=0,M205&lt;0),"Red",IF(OR(I205="Partly met",M205&lt;=30),"Amber","Green")))))</f>
        <v/>
      </c>
      <c r="O205" s="27">
        <f>IF(N205="Red",IF(I205="Not met","Not met",IF(LEN(J205)=0,"No evidence location","Re-check overdue")),IF(N205="Amber",IF(I205="Partly met","Partly met","Re-check due ≤30 days"),""))</f>
        <v/>
      </c>
      <c r="P205" s="21" t="n"/>
    </row>
    <row r="206">
      <c r="A206" s="21" t="n"/>
      <c r="B206" s="22" t="n"/>
      <c r="C206" s="23" t="n"/>
      <c r="D206" s="23" t="n"/>
      <c r="E206" s="21" t="n"/>
      <c r="F206" s="21" t="n"/>
      <c r="G206" s="21" t="n"/>
      <c r="H206" s="24" t="n"/>
      <c r="I206" s="21" t="n"/>
      <c r="J206" s="21" t="n"/>
      <c r="K206" s="22" t="n"/>
      <c r="L206" s="25">
        <f>IF(ISNUMBER(H206),EDATE(H206,IF(ISNUMBER(K206),K206,3)),"")</f>
        <v/>
      </c>
      <c r="M206" s="26">
        <f>IF(L206="","",IF(ISNUMBER(L206),L206-TODAY(),"Check date"))</f>
        <v/>
      </c>
      <c r="N206" s="27">
        <f>IF(LEN(C206)=0,"",IF(I206="N/A","N/A",IF(OR(I206="",NOT(ISNUMBER(H206))),"Not checked",IF(OR(I206="Not met",LEN(J206)=0,M206&lt;0),"Red",IF(OR(I206="Partly met",M206&lt;=30),"Amber","Green")))))</f>
        <v/>
      </c>
      <c r="O206" s="27">
        <f>IF(N206="Red",IF(I206="Not met","Not met",IF(LEN(J206)=0,"No evidence location","Re-check overdue")),IF(N206="Amber",IF(I206="Partly met","Partly met","Re-check due ≤30 days"),""))</f>
        <v/>
      </c>
      <c r="P206" s="21" t="n"/>
    </row>
    <row r="207">
      <c r="A207" s="21" t="n"/>
      <c r="B207" s="22" t="n"/>
      <c r="C207" s="23" t="n"/>
      <c r="D207" s="23" t="n"/>
      <c r="E207" s="21" t="n"/>
      <c r="F207" s="21" t="n"/>
      <c r="G207" s="21" t="n"/>
      <c r="H207" s="24" t="n"/>
      <c r="I207" s="21" t="n"/>
      <c r="J207" s="21" t="n"/>
      <c r="K207" s="22" t="n"/>
      <c r="L207" s="25">
        <f>IF(ISNUMBER(H207),EDATE(H207,IF(ISNUMBER(K207),K207,3)),"")</f>
        <v/>
      </c>
      <c r="M207" s="26">
        <f>IF(L207="","",IF(ISNUMBER(L207),L207-TODAY(),"Check date"))</f>
        <v/>
      </c>
      <c r="N207" s="27">
        <f>IF(LEN(C207)=0,"",IF(I207="N/A","N/A",IF(OR(I207="",NOT(ISNUMBER(H207))),"Not checked",IF(OR(I207="Not met",LEN(J207)=0,M207&lt;0),"Red",IF(OR(I207="Partly met",M207&lt;=30),"Amber","Green")))))</f>
        <v/>
      </c>
      <c r="O207" s="27">
        <f>IF(N207="Red",IF(I207="Not met","Not met",IF(LEN(J207)=0,"No evidence location","Re-check overdue")),IF(N207="Amber",IF(I207="Partly met","Partly met","Re-check due ≤30 days"),""))</f>
        <v/>
      </c>
      <c r="P207" s="21" t="n"/>
    </row>
    <row r="208">
      <c r="A208" s="21" t="n"/>
      <c r="B208" s="22" t="n"/>
      <c r="C208" s="23" t="n"/>
      <c r="D208" s="23" t="n"/>
      <c r="E208" s="21" t="n"/>
      <c r="F208" s="21" t="n"/>
      <c r="G208" s="21" t="n"/>
      <c r="H208" s="24" t="n"/>
      <c r="I208" s="21" t="n"/>
      <c r="J208" s="21" t="n"/>
      <c r="K208" s="22" t="n"/>
      <c r="L208" s="25">
        <f>IF(ISNUMBER(H208),EDATE(H208,IF(ISNUMBER(K208),K208,3)),"")</f>
        <v/>
      </c>
      <c r="M208" s="26">
        <f>IF(L208="","",IF(ISNUMBER(L208),L208-TODAY(),"Check date"))</f>
        <v/>
      </c>
      <c r="N208" s="27">
        <f>IF(LEN(C208)=0,"",IF(I208="N/A","N/A",IF(OR(I208="",NOT(ISNUMBER(H208))),"Not checked",IF(OR(I208="Not met",LEN(J208)=0,M208&lt;0),"Red",IF(OR(I208="Partly met",M208&lt;=30),"Amber","Green")))))</f>
        <v/>
      </c>
      <c r="O208" s="27">
        <f>IF(N208="Red",IF(I208="Not met","Not met",IF(LEN(J208)=0,"No evidence location","Re-check overdue")),IF(N208="Amber",IF(I208="Partly met","Partly met","Re-check due ≤30 days"),""))</f>
        <v/>
      </c>
      <c r="P208" s="21" t="n"/>
    </row>
    <row r="209">
      <c r="A209" s="21" t="n"/>
      <c r="B209" s="22" t="n"/>
      <c r="C209" s="23" t="n"/>
      <c r="D209" s="23" t="n"/>
      <c r="E209" s="21" t="n"/>
      <c r="F209" s="21" t="n"/>
      <c r="G209" s="21" t="n"/>
      <c r="H209" s="24" t="n"/>
      <c r="I209" s="21" t="n"/>
      <c r="J209" s="21" t="n"/>
      <c r="K209" s="22" t="n"/>
      <c r="L209" s="25">
        <f>IF(ISNUMBER(H209),EDATE(H209,IF(ISNUMBER(K209),K209,3)),"")</f>
        <v/>
      </c>
      <c r="M209" s="26">
        <f>IF(L209="","",IF(ISNUMBER(L209),L209-TODAY(),"Check date"))</f>
        <v/>
      </c>
      <c r="N209" s="27">
        <f>IF(LEN(C209)=0,"",IF(I209="N/A","N/A",IF(OR(I209="",NOT(ISNUMBER(H209))),"Not checked",IF(OR(I209="Not met",LEN(J209)=0,M209&lt;0),"Red",IF(OR(I209="Partly met",M209&lt;=30),"Amber","Green")))))</f>
        <v/>
      </c>
      <c r="O209" s="27">
        <f>IF(N209="Red",IF(I209="Not met","Not met",IF(LEN(J209)=0,"No evidence location","Re-check overdue")),IF(N209="Amber",IF(I209="Partly met","Partly met","Re-check due ≤30 days"),""))</f>
        <v/>
      </c>
      <c r="P209" s="21" t="n"/>
    </row>
    <row r="210">
      <c r="A210" s="21" t="n"/>
      <c r="B210" s="22" t="n"/>
      <c r="C210" s="23" t="n"/>
      <c r="D210" s="23" t="n"/>
      <c r="E210" s="21" t="n"/>
      <c r="F210" s="21" t="n"/>
      <c r="G210" s="21" t="n"/>
      <c r="H210" s="24" t="n"/>
      <c r="I210" s="21" t="n"/>
      <c r="J210" s="21" t="n"/>
      <c r="K210" s="22" t="n"/>
      <c r="L210" s="25">
        <f>IF(ISNUMBER(H210),EDATE(H210,IF(ISNUMBER(K210),K210,3)),"")</f>
        <v/>
      </c>
      <c r="M210" s="26">
        <f>IF(L210="","",IF(ISNUMBER(L210),L210-TODAY(),"Check date"))</f>
        <v/>
      </c>
      <c r="N210" s="27">
        <f>IF(LEN(C210)=0,"",IF(I210="N/A","N/A",IF(OR(I210="",NOT(ISNUMBER(H210))),"Not checked",IF(OR(I210="Not met",LEN(J210)=0,M210&lt;0),"Red",IF(OR(I210="Partly met",M210&lt;=30),"Amber","Green")))))</f>
        <v/>
      </c>
      <c r="O210" s="27">
        <f>IF(N210="Red",IF(I210="Not met","Not met",IF(LEN(J210)=0,"No evidence location","Re-check overdue")),IF(N210="Amber",IF(I210="Partly met","Partly met","Re-check due ≤30 days"),""))</f>
        <v/>
      </c>
      <c r="P210" s="21" t="n"/>
    </row>
    <row r="211">
      <c r="A211" s="21" t="n"/>
      <c r="B211" s="22" t="n"/>
      <c r="C211" s="23" t="n"/>
      <c r="D211" s="23" t="n"/>
      <c r="E211" s="21" t="n"/>
      <c r="F211" s="21" t="n"/>
      <c r="G211" s="21" t="n"/>
      <c r="H211" s="24" t="n"/>
      <c r="I211" s="21" t="n"/>
      <c r="J211" s="21" t="n"/>
      <c r="K211" s="22" t="n"/>
      <c r="L211" s="25">
        <f>IF(ISNUMBER(H211),EDATE(H211,IF(ISNUMBER(K211),K211,3)),"")</f>
        <v/>
      </c>
      <c r="M211" s="26">
        <f>IF(L211="","",IF(ISNUMBER(L211),L211-TODAY(),"Check date"))</f>
        <v/>
      </c>
      <c r="N211" s="27">
        <f>IF(LEN(C211)=0,"",IF(I211="N/A","N/A",IF(OR(I211="",NOT(ISNUMBER(H211))),"Not checked",IF(OR(I211="Not met",LEN(J211)=0,M211&lt;0),"Red",IF(OR(I211="Partly met",M211&lt;=30),"Amber","Green")))))</f>
        <v/>
      </c>
      <c r="O211" s="27">
        <f>IF(N211="Red",IF(I211="Not met","Not met",IF(LEN(J211)=0,"No evidence location","Re-check overdue")),IF(N211="Amber",IF(I211="Partly met","Partly met","Re-check due ≤30 days"),""))</f>
        <v/>
      </c>
      <c r="P211" s="21" t="n"/>
    </row>
    <row r="212">
      <c r="A212" s="21" t="n"/>
      <c r="B212" s="22" t="n"/>
      <c r="C212" s="23" t="n"/>
      <c r="D212" s="23" t="n"/>
      <c r="E212" s="21" t="n"/>
      <c r="F212" s="21" t="n"/>
      <c r="G212" s="21" t="n"/>
      <c r="H212" s="24" t="n"/>
      <c r="I212" s="21" t="n"/>
      <c r="J212" s="21" t="n"/>
      <c r="K212" s="22" t="n"/>
      <c r="L212" s="25">
        <f>IF(ISNUMBER(H212),EDATE(H212,IF(ISNUMBER(K212),K212,3)),"")</f>
        <v/>
      </c>
      <c r="M212" s="26">
        <f>IF(L212="","",IF(ISNUMBER(L212),L212-TODAY(),"Check date"))</f>
        <v/>
      </c>
      <c r="N212" s="27">
        <f>IF(LEN(C212)=0,"",IF(I212="N/A","N/A",IF(OR(I212="",NOT(ISNUMBER(H212))),"Not checked",IF(OR(I212="Not met",LEN(J212)=0,M212&lt;0),"Red",IF(OR(I212="Partly met",M212&lt;=30),"Amber","Green")))))</f>
        <v/>
      </c>
      <c r="O212" s="27">
        <f>IF(N212="Red",IF(I212="Not met","Not met",IF(LEN(J212)=0,"No evidence location","Re-check overdue")),IF(N212="Amber",IF(I212="Partly met","Partly met","Re-check due ≤30 days"),""))</f>
        <v/>
      </c>
      <c r="P212" s="21" t="n"/>
    </row>
    <row r="213">
      <c r="A213" s="21" t="n"/>
      <c r="B213" s="22" t="n"/>
      <c r="C213" s="23" t="n"/>
      <c r="D213" s="23" t="n"/>
      <c r="E213" s="21" t="n"/>
      <c r="F213" s="21" t="n"/>
      <c r="G213" s="21" t="n"/>
      <c r="H213" s="24" t="n"/>
      <c r="I213" s="21" t="n"/>
      <c r="J213" s="21" t="n"/>
      <c r="K213" s="22" t="n"/>
      <c r="L213" s="25">
        <f>IF(ISNUMBER(H213),EDATE(H213,IF(ISNUMBER(K213),K213,3)),"")</f>
        <v/>
      </c>
      <c r="M213" s="26">
        <f>IF(L213="","",IF(ISNUMBER(L213),L213-TODAY(),"Check date"))</f>
        <v/>
      </c>
      <c r="N213" s="27">
        <f>IF(LEN(C213)=0,"",IF(I213="N/A","N/A",IF(OR(I213="",NOT(ISNUMBER(H213))),"Not checked",IF(OR(I213="Not met",LEN(J213)=0,M213&lt;0),"Red",IF(OR(I213="Partly met",M213&lt;=30),"Amber","Green")))))</f>
        <v/>
      </c>
      <c r="O213" s="27">
        <f>IF(N213="Red",IF(I213="Not met","Not met",IF(LEN(J213)=0,"No evidence location","Re-check overdue")),IF(N213="Amber",IF(I213="Partly met","Partly met","Re-check due ≤30 days"),""))</f>
        <v/>
      </c>
      <c r="P213" s="21" t="n"/>
    </row>
    <row r="214">
      <c r="A214" s="21" t="n"/>
      <c r="B214" s="22" t="n"/>
      <c r="C214" s="23" t="n"/>
      <c r="D214" s="23" t="n"/>
      <c r="E214" s="21" t="n"/>
      <c r="F214" s="21" t="n"/>
      <c r="G214" s="21" t="n"/>
      <c r="H214" s="24" t="n"/>
      <c r="I214" s="21" t="n"/>
      <c r="J214" s="21" t="n"/>
      <c r="K214" s="22" t="n"/>
      <c r="L214" s="25">
        <f>IF(ISNUMBER(H214),EDATE(H214,IF(ISNUMBER(K214),K214,3)),"")</f>
        <v/>
      </c>
      <c r="M214" s="26">
        <f>IF(L214="","",IF(ISNUMBER(L214),L214-TODAY(),"Check date"))</f>
        <v/>
      </c>
      <c r="N214" s="27">
        <f>IF(LEN(C214)=0,"",IF(I214="N/A","N/A",IF(OR(I214="",NOT(ISNUMBER(H214))),"Not checked",IF(OR(I214="Not met",LEN(J214)=0,M214&lt;0),"Red",IF(OR(I214="Partly met",M214&lt;=30),"Amber","Green")))))</f>
        <v/>
      </c>
      <c r="O214" s="27">
        <f>IF(N214="Red",IF(I214="Not met","Not met",IF(LEN(J214)=0,"No evidence location","Re-check overdue")),IF(N214="Amber",IF(I214="Partly met","Partly met","Re-check due ≤30 days"),""))</f>
        <v/>
      </c>
      <c r="P214" s="21" t="n"/>
    </row>
    <row r="215">
      <c r="A215" s="21" t="n"/>
      <c r="B215" s="22" t="n"/>
      <c r="C215" s="23" t="n"/>
      <c r="D215" s="23" t="n"/>
      <c r="E215" s="21" t="n"/>
      <c r="F215" s="21" t="n"/>
      <c r="G215" s="21" t="n"/>
      <c r="H215" s="24" t="n"/>
      <c r="I215" s="21" t="n"/>
      <c r="J215" s="21" t="n"/>
      <c r="K215" s="22" t="n"/>
      <c r="L215" s="25">
        <f>IF(ISNUMBER(H215),EDATE(H215,IF(ISNUMBER(K215),K215,3)),"")</f>
        <v/>
      </c>
      <c r="M215" s="26">
        <f>IF(L215="","",IF(ISNUMBER(L215),L215-TODAY(),"Check date"))</f>
        <v/>
      </c>
      <c r="N215" s="27">
        <f>IF(LEN(C215)=0,"",IF(I215="N/A","N/A",IF(OR(I215="",NOT(ISNUMBER(H215))),"Not checked",IF(OR(I215="Not met",LEN(J215)=0,M215&lt;0),"Red",IF(OR(I215="Partly met",M215&lt;=30),"Amber","Green")))))</f>
        <v/>
      </c>
      <c r="O215" s="27">
        <f>IF(N215="Red",IF(I215="Not met","Not met",IF(LEN(J215)=0,"No evidence location","Re-check overdue")),IF(N215="Amber",IF(I215="Partly met","Partly met","Re-check due ≤30 days"),""))</f>
        <v/>
      </c>
      <c r="P215" s="21" t="n"/>
    </row>
    <row r="216">
      <c r="A216" s="21" t="n"/>
      <c r="B216" s="22" t="n"/>
      <c r="C216" s="23" t="n"/>
      <c r="D216" s="23" t="n"/>
      <c r="E216" s="21" t="n"/>
      <c r="F216" s="21" t="n"/>
      <c r="G216" s="21" t="n"/>
      <c r="H216" s="24" t="n"/>
      <c r="I216" s="21" t="n"/>
      <c r="J216" s="21" t="n"/>
      <c r="K216" s="22" t="n"/>
      <c r="L216" s="25">
        <f>IF(ISNUMBER(H216),EDATE(H216,IF(ISNUMBER(K216),K216,3)),"")</f>
        <v/>
      </c>
      <c r="M216" s="26">
        <f>IF(L216="","",IF(ISNUMBER(L216),L216-TODAY(),"Check date"))</f>
        <v/>
      </c>
      <c r="N216" s="27">
        <f>IF(LEN(C216)=0,"",IF(I216="N/A","N/A",IF(OR(I216="",NOT(ISNUMBER(H216))),"Not checked",IF(OR(I216="Not met",LEN(J216)=0,M216&lt;0),"Red",IF(OR(I216="Partly met",M216&lt;=30),"Amber","Green")))))</f>
        <v/>
      </c>
      <c r="O216" s="27">
        <f>IF(N216="Red",IF(I216="Not met","Not met",IF(LEN(J216)=0,"No evidence location","Re-check overdue")),IF(N216="Amber",IF(I216="Partly met","Partly met","Re-check due ≤30 days"),""))</f>
        <v/>
      </c>
      <c r="P216" s="21" t="n"/>
    </row>
    <row r="217">
      <c r="A217" s="21" t="n"/>
      <c r="B217" s="22" t="n"/>
      <c r="C217" s="23" t="n"/>
      <c r="D217" s="23" t="n"/>
      <c r="E217" s="21" t="n"/>
      <c r="F217" s="21" t="n"/>
      <c r="G217" s="21" t="n"/>
      <c r="H217" s="24" t="n"/>
      <c r="I217" s="21" t="n"/>
      <c r="J217" s="21" t="n"/>
      <c r="K217" s="22" t="n"/>
      <c r="L217" s="25">
        <f>IF(ISNUMBER(H217),EDATE(H217,IF(ISNUMBER(K217),K217,3)),"")</f>
        <v/>
      </c>
      <c r="M217" s="26">
        <f>IF(L217="","",IF(ISNUMBER(L217),L217-TODAY(),"Check date"))</f>
        <v/>
      </c>
      <c r="N217" s="27">
        <f>IF(LEN(C217)=0,"",IF(I217="N/A","N/A",IF(OR(I217="",NOT(ISNUMBER(H217))),"Not checked",IF(OR(I217="Not met",LEN(J217)=0,M217&lt;0),"Red",IF(OR(I217="Partly met",M217&lt;=30),"Amber","Green")))))</f>
        <v/>
      </c>
      <c r="O217" s="27">
        <f>IF(N217="Red",IF(I217="Not met","Not met",IF(LEN(J217)=0,"No evidence location","Re-check overdue")),IF(N217="Amber",IF(I217="Partly met","Partly met","Re-check due ≤30 days"),""))</f>
        <v/>
      </c>
      <c r="P217" s="21" t="n"/>
    </row>
    <row r="218">
      <c r="A218" s="21" t="n"/>
      <c r="B218" s="22" t="n"/>
      <c r="C218" s="23" t="n"/>
      <c r="D218" s="23" t="n"/>
      <c r="E218" s="21" t="n"/>
      <c r="F218" s="21" t="n"/>
      <c r="G218" s="21" t="n"/>
      <c r="H218" s="24" t="n"/>
      <c r="I218" s="21" t="n"/>
      <c r="J218" s="21" t="n"/>
      <c r="K218" s="22" t="n"/>
      <c r="L218" s="25">
        <f>IF(ISNUMBER(H218),EDATE(H218,IF(ISNUMBER(K218),K218,3)),"")</f>
        <v/>
      </c>
      <c r="M218" s="26">
        <f>IF(L218="","",IF(ISNUMBER(L218),L218-TODAY(),"Check date"))</f>
        <v/>
      </c>
      <c r="N218" s="27">
        <f>IF(LEN(C218)=0,"",IF(I218="N/A","N/A",IF(OR(I218="",NOT(ISNUMBER(H218))),"Not checked",IF(OR(I218="Not met",LEN(J218)=0,M218&lt;0),"Red",IF(OR(I218="Partly met",M218&lt;=30),"Amber","Green")))))</f>
        <v/>
      </c>
      <c r="O218" s="27">
        <f>IF(N218="Red",IF(I218="Not met","Not met",IF(LEN(J218)=0,"No evidence location","Re-check overdue")),IF(N218="Amber",IF(I218="Partly met","Partly met","Re-check due ≤30 days"),""))</f>
        <v/>
      </c>
      <c r="P218" s="21" t="n"/>
    </row>
    <row r="219">
      <c r="A219" s="21" t="n"/>
      <c r="B219" s="22" t="n"/>
      <c r="C219" s="23" t="n"/>
      <c r="D219" s="23" t="n"/>
      <c r="E219" s="21" t="n"/>
      <c r="F219" s="21" t="n"/>
      <c r="G219" s="21" t="n"/>
      <c r="H219" s="24" t="n"/>
      <c r="I219" s="21" t="n"/>
      <c r="J219" s="21" t="n"/>
      <c r="K219" s="22" t="n"/>
      <c r="L219" s="25">
        <f>IF(ISNUMBER(H219),EDATE(H219,IF(ISNUMBER(K219),K219,3)),"")</f>
        <v/>
      </c>
      <c r="M219" s="26">
        <f>IF(L219="","",IF(ISNUMBER(L219),L219-TODAY(),"Check date"))</f>
        <v/>
      </c>
      <c r="N219" s="27">
        <f>IF(LEN(C219)=0,"",IF(I219="N/A","N/A",IF(OR(I219="",NOT(ISNUMBER(H219))),"Not checked",IF(OR(I219="Not met",LEN(J219)=0,M219&lt;0),"Red",IF(OR(I219="Partly met",M219&lt;=30),"Amber","Green")))))</f>
        <v/>
      </c>
      <c r="O219" s="27">
        <f>IF(N219="Red",IF(I219="Not met","Not met",IF(LEN(J219)=0,"No evidence location","Re-check overdue")),IF(N219="Amber",IF(I219="Partly met","Partly met","Re-check due ≤30 days"),""))</f>
        <v/>
      </c>
      <c r="P219" s="21" t="n"/>
    </row>
    <row r="220">
      <c r="A220" s="21" t="n"/>
      <c r="B220" s="22" t="n"/>
      <c r="C220" s="23" t="n"/>
      <c r="D220" s="23" t="n"/>
      <c r="E220" s="21" t="n"/>
      <c r="F220" s="21" t="n"/>
      <c r="G220" s="21" t="n"/>
      <c r="H220" s="24" t="n"/>
      <c r="I220" s="21" t="n"/>
      <c r="J220" s="21" t="n"/>
      <c r="K220" s="22" t="n"/>
      <c r="L220" s="25">
        <f>IF(ISNUMBER(H220),EDATE(H220,IF(ISNUMBER(K220),K220,3)),"")</f>
        <v/>
      </c>
      <c r="M220" s="26">
        <f>IF(L220="","",IF(ISNUMBER(L220),L220-TODAY(),"Check date"))</f>
        <v/>
      </c>
      <c r="N220" s="27">
        <f>IF(LEN(C220)=0,"",IF(I220="N/A","N/A",IF(OR(I220="",NOT(ISNUMBER(H220))),"Not checked",IF(OR(I220="Not met",LEN(J220)=0,M220&lt;0),"Red",IF(OR(I220="Partly met",M220&lt;=30),"Amber","Green")))))</f>
        <v/>
      </c>
      <c r="O220" s="27">
        <f>IF(N220="Red",IF(I220="Not met","Not met",IF(LEN(J220)=0,"No evidence location","Re-check overdue")),IF(N220="Amber",IF(I220="Partly met","Partly met","Re-check due ≤30 days"),""))</f>
        <v/>
      </c>
      <c r="P220" s="21" t="n"/>
    </row>
    <row r="221">
      <c r="A221" s="21" t="n"/>
      <c r="B221" s="22" t="n"/>
      <c r="C221" s="23" t="n"/>
      <c r="D221" s="23" t="n"/>
      <c r="E221" s="21" t="n"/>
      <c r="F221" s="21" t="n"/>
      <c r="G221" s="21" t="n"/>
      <c r="H221" s="24" t="n"/>
      <c r="I221" s="21" t="n"/>
      <c r="J221" s="21" t="n"/>
      <c r="K221" s="22" t="n"/>
      <c r="L221" s="25">
        <f>IF(ISNUMBER(H221),EDATE(H221,IF(ISNUMBER(K221),K221,3)),"")</f>
        <v/>
      </c>
      <c r="M221" s="26">
        <f>IF(L221="","",IF(ISNUMBER(L221),L221-TODAY(),"Check date"))</f>
        <v/>
      </c>
      <c r="N221" s="27">
        <f>IF(LEN(C221)=0,"",IF(I221="N/A","N/A",IF(OR(I221="",NOT(ISNUMBER(H221))),"Not checked",IF(OR(I221="Not met",LEN(J221)=0,M221&lt;0),"Red",IF(OR(I221="Partly met",M221&lt;=30),"Amber","Green")))))</f>
        <v/>
      </c>
      <c r="O221" s="27">
        <f>IF(N221="Red",IF(I221="Not met","Not met",IF(LEN(J221)=0,"No evidence location","Re-check overdue")),IF(N221="Amber",IF(I221="Partly met","Partly met","Re-check due ≤30 days"),""))</f>
        <v/>
      </c>
      <c r="P221" s="21" t="n"/>
    </row>
    <row r="222">
      <c r="A222" s="21" t="n"/>
      <c r="B222" s="22" t="n"/>
      <c r="C222" s="23" t="n"/>
      <c r="D222" s="23" t="n"/>
      <c r="E222" s="21" t="n"/>
      <c r="F222" s="21" t="n"/>
      <c r="G222" s="21" t="n"/>
      <c r="H222" s="24" t="n"/>
      <c r="I222" s="21" t="n"/>
      <c r="J222" s="21" t="n"/>
      <c r="K222" s="22" t="n"/>
      <c r="L222" s="25">
        <f>IF(ISNUMBER(H222),EDATE(H222,IF(ISNUMBER(K222),K222,3)),"")</f>
        <v/>
      </c>
      <c r="M222" s="26">
        <f>IF(L222="","",IF(ISNUMBER(L222),L222-TODAY(),"Check date"))</f>
        <v/>
      </c>
      <c r="N222" s="27">
        <f>IF(LEN(C222)=0,"",IF(I222="N/A","N/A",IF(OR(I222="",NOT(ISNUMBER(H222))),"Not checked",IF(OR(I222="Not met",LEN(J222)=0,M222&lt;0),"Red",IF(OR(I222="Partly met",M222&lt;=30),"Amber","Green")))))</f>
        <v/>
      </c>
      <c r="O222" s="27">
        <f>IF(N222="Red",IF(I222="Not met","Not met",IF(LEN(J222)=0,"No evidence location","Re-check overdue")),IF(N222="Amber",IF(I222="Partly met","Partly met","Re-check due ≤30 days"),""))</f>
        <v/>
      </c>
      <c r="P222" s="21" t="n"/>
    </row>
    <row r="223">
      <c r="A223" s="21" t="n"/>
      <c r="B223" s="22" t="n"/>
      <c r="C223" s="23" t="n"/>
      <c r="D223" s="23" t="n"/>
      <c r="E223" s="21" t="n"/>
      <c r="F223" s="21" t="n"/>
      <c r="G223" s="21" t="n"/>
      <c r="H223" s="24" t="n"/>
      <c r="I223" s="21" t="n"/>
      <c r="J223" s="21" t="n"/>
      <c r="K223" s="22" t="n"/>
      <c r="L223" s="25">
        <f>IF(ISNUMBER(H223),EDATE(H223,IF(ISNUMBER(K223),K223,3)),"")</f>
        <v/>
      </c>
      <c r="M223" s="26">
        <f>IF(L223="","",IF(ISNUMBER(L223),L223-TODAY(),"Check date"))</f>
        <v/>
      </c>
      <c r="N223" s="27">
        <f>IF(LEN(C223)=0,"",IF(I223="N/A","N/A",IF(OR(I223="",NOT(ISNUMBER(H223))),"Not checked",IF(OR(I223="Not met",LEN(J223)=0,M223&lt;0),"Red",IF(OR(I223="Partly met",M223&lt;=30),"Amber","Green")))))</f>
        <v/>
      </c>
      <c r="O223" s="27">
        <f>IF(N223="Red",IF(I223="Not met","Not met",IF(LEN(J223)=0,"No evidence location","Re-check overdue")),IF(N223="Amber",IF(I223="Partly met","Partly met","Re-check due ≤30 days"),""))</f>
        <v/>
      </c>
      <c r="P223" s="21" t="n"/>
    </row>
    <row r="224">
      <c r="A224" s="21" t="n"/>
      <c r="B224" s="22" t="n"/>
      <c r="C224" s="23" t="n"/>
      <c r="D224" s="23" t="n"/>
      <c r="E224" s="21" t="n"/>
      <c r="F224" s="21" t="n"/>
      <c r="G224" s="21" t="n"/>
      <c r="H224" s="24" t="n"/>
      <c r="I224" s="21" t="n"/>
      <c r="J224" s="21" t="n"/>
      <c r="K224" s="22" t="n"/>
      <c r="L224" s="25">
        <f>IF(ISNUMBER(H224),EDATE(H224,IF(ISNUMBER(K224),K224,3)),"")</f>
        <v/>
      </c>
      <c r="M224" s="26">
        <f>IF(L224="","",IF(ISNUMBER(L224),L224-TODAY(),"Check date"))</f>
        <v/>
      </c>
      <c r="N224" s="27">
        <f>IF(LEN(C224)=0,"",IF(I224="N/A","N/A",IF(OR(I224="",NOT(ISNUMBER(H224))),"Not checked",IF(OR(I224="Not met",LEN(J224)=0,M224&lt;0),"Red",IF(OR(I224="Partly met",M224&lt;=30),"Amber","Green")))))</f>
        <v/>
      </c>
      <c r="O224" s="27">
        <f>IF(N224="Red",IF(I224="Not met","Not met",IF(LEN(J224)=0,"No evidence location","Re-check overdue")),IF(N224="Amber",IF(I224="Partly met","Partly met","Re-check due ≤30 days"),""))</f>
        <v/>
      </c>
      <c r="P224" s="21" t="n"/>
    </row>
    <row r="225">
      <c r="A225" s="21" t="n"/>
      <c r="B225" s="22" t="n"/>
      <c r="C225" s="23" t="n"/>
      <c r="D225" s="23" t="n"/>
      <c r="E225" s="21" t="n"/>
      <c r="F225" s="21" t="n"/>
      <c r="G225" s="21" t="n"/>
      <c r="H225" s="24" t="n"/>
      <c r="I225" s="21" t="n"/>
      <c r="J225" s="21" t="n"/>
      <c r="K225" s="22" t="n"/>
      <c r="L225" s="25">
        <f>IF(ISNUMBER(H225),EDATE(H225,IF(ISNUMBER(K225),K225,3)),"")</f>
        <v/>
      </c>
      <c r="M225" s="26">
        <f>IF(L225="","",IF(ISNUMBER(L225),L225-TODAY(),"Check date"))</f>
        <v/>
      </c>
      <c r="N225" s="27">
        <f>IF(LEN(C225)=0,"",IF(I225="N/A","N/A",IF(OR(I225="",NOT(ISNUMBER(H225))),"Not checked",IF(OR(I225="Not met",LEN(J225)=0,M225&lt;0),"Red",IF(OR(I225="Partly met",M225&lt;=30),"Amber","Green")))))</f>
        <v/>
      </c>
      <c r="O225" s="27">
        <f>IF(N225="Red",IF(I225="Not met","Not met",IF(LEN(J225)=0,"No evidence location","Re-check overdue")),IF(N225="Amber",IF(I225="Partly met","Partly met","Re-check due ≤30 days"),""))</f>
        <v/>
      </c>
      <c r="P225" s="21" t="n"/>
    </row>
    <row r="226">
      <c r="A226" s="21" t="n"/>
      <c r="B226" s="22" t="n"/>
      <c r="C226" s="23" t="n"/>
      <c r="D226" s="23" t="n"/>
      <c r="E226" s="21" t="n"/>
      <c r="F226" s="21" t="n"/>
      <c r="G226" s="21" t="n"/>
      <c r="H226" s="24" t="n"/>
      <c r="I226" s="21" t="n"/>
      <c r="J226" s="21" t="n"/>
      <c r="K226" s="22" t="n"/>
      <c r="L226" s="25">
        <f>IF(ISNUMBER(H226),EDATE(H226,IF(ISNUMBER(K226),K226,3)),"")</f>
        <v/>
      </c>
      <c r="M226" s="26">
        <f>IF(L226="","",IF(ISNUMBER(L226),L226-TODAY(),"Check date"))</f>
        <v/>
      </c>
      <c r="N226" s="27">
        <f>IF(LEN(C226)=0,"",IF(I226="N/A","N/A",IF(OR(I226="",NOT(ISNUMBER(H226))),"Not checked",IF(OR(I226="Not met",LEN(J226)=0,M226&lt;0),"Red",IF(OR(I226="Partly met",M226&lt;=30),"Amber","Green")))))</f>
        <v/>
      </c>
      <c r="O226" s="27">
        <f>IF(N226="Red",IF(I226="Not met","Not met",IF(LEN(J226)=0,"No evidence location","Re-check overdue")),IF(N226="Amber",IF(I226="Partly met","Partly met","Re-check due ≤30 days"),""))</f>
        <v/>
      </c>
      <c r="P226" s="21" t="n"/>
    </row>
    <row r="227">
      <c r="A227" s="21" t="n"/>
      <c r="B227" s="22" t="n"/>
      <c r="C227" s="23" t="n"/>
      <c r="D227" s="23" t="n"/>
      <c r="E227" s="21" t="n"/>
      <c r="F227" s="21" t="n"/>
      <c r="G227" s="21" t="n"/>
      <c r="H227" s="24" t="n"/>
      <c r="I227" s="21" t="n"/>
      <c r="J227" s="21" t="n"/>
      <c r="K227" s="22" t="n"/>
      <c r="L227" s="25">
        <f>IF(ISNUMBER(H227),EDATE(H227,IF(ISNUMBER(K227),K227,3)),"")</f>
        <v/>
      </c>
      <c r="M227" s="26">
        <f>IF(L227="","",IF(ISNUMBER(L227),L227-TODAY(),"Check date"))</f>
        <v/>
      </c>
      <c r="N227" s="27">
        <f>IF(LEN(C227)=0,"",IF(I227="N/A","N/A",IF(OR(I227="",NOT(ISNUMBER(H227))),"Not checked",IF(OR(I227="Not met",LEN(J227)=0,M227&lt;0),"Red",IF(OR(I227="Partly met",M227&lt;=30),"Amber","Green")))))</f>
        <v/>
      </c>
      <c r="O227" s="27">
        <f>IF(N227="Red",IF(I227="Not met","Not met",IF(LEN(J227)=0,"No evidence location","Re-check overdue")),IF(N227="Amber",IF(I227="Partly met","Partly met","Re-check due ≤30 days"),""))</f>
        <v/>
      </c>
      <c r="P227" s="21" t="n"/>
    </row>
    <row r="228">
      <c r="A228" s="21" t="n"/>
      <c r="B228" s="22" t="n"/>
      <c r="C228" s="23" t="n"/>
      <c r="D228" s="23" t="n"/>
      <c r="E228" s="21" t="n"/>
      <c r="F228" s="21" t="n"/>
      <c r="G228" s="21" t="n"/>
      <c r="H228" s="24" t="n"/>
      <c r="I228" s="21" t="n"/>
      <c r="J228" s="21" t="n"/>
      <c r="K228" s="22" t="n"/>
      <c r="L228" s="25">
        <f>IF(ISNUMBER(H228),EDATE(H228,IF(ISNUMBER(K228),K228,3)),"")</f>
        <v/>
      </c>
      <c r="M228" s="26">
        <f>IF(L228="","",IF(ISNUMBER(L228),L228-TODAY(),"Check date"))</f>
        <v/>
      </c>
      <c r="N228" s="27">
        <f>IF(LEN(C228)=0,"",IF(I228="N/A","N/A",IF(OR(I228="",NOT(ISNUMBER(H228))),"Not checked",IF(OR(I228="Not met",LEN(J228)=0,M228&lt;0),"Red",IF(OR(I228="Partly met",M228&lt;=30),"Amber","Green")))))</f>
        <v/>
      </c>
      <c r="O228" s="27">
        <f>IF(N228="Red",IF(I228="Not met","Not met",IF(LEN(J228)=0,"No evidence location","Re-check overdue")),IF(N228="Amber",IF(I228="Partly met","Partly met","Re-check due ≤30 days"),""))</f>
        <v/>
      </c>
      <c r="P228" s="21" t="n"/>
    </row>
    <row r="229">
      <c r="A229" s="21" t="n"/>
      <c r="B229" s="22" t="n"/>
      <c r="C229" s="23" t="n"/>
      <c r="D229" s="23" t="n"/>
      <c r="E229" s="21" t="n"/>
      <c r="F229" s="21" t="n"/>
      <c r="G229" s="21" t="n"/>
      <c r="H229" s="24" t="n"/>
      <c r="I229" s="21" t="n"/>
      <c r="J229" s="21" t="n"/>
      <c r="K229" s="22" t="n"/>
      <c r="L229" s="25">
        <f>IF(ISNUMBER(H229),EDATE(H229,IF(ISNUMBER(K229),K229,3)),"")</f>
        <v/>
      </c>
      <c r="M229" s="26">
        <f>IF(L229="","",IF(ISNUMBER(L229),L229-TODAY(),"Check date"))</f>
        <v/>
      </c>
      <c r="N229" s="27">
        <f>IF(LEN(C229)=0,"",IF(I229="N/A","N/A",IF(OR(I229="",NOT(ISNUMBER(H229))),"Not checked",IF(OR(I229="Not met",LEN(J229)=0,M229&lt;0),"Red",IF(OR(I229="Partly met",M229&lt;=30),"Amber","Green")))))</f>
        <v/>
      </c>
      <c r="O229" s="27">
        <f>IF(N229="Red",IF(I229="Not met","Not met",IF(LEN(J229)=0,"No evidence location","Re-check overdue")),IF(N229="Amber",IF(I229="Partly met","Partly met","Re-check due ≤30 days"),""))</f>
        <v/>
      </c>
      <c r="P229" s="21" t="n"/>
    </row>
    <row r="230">
      <c r="A230" s="21" t="n"/>
      <c r="B230" s="22" t="n"/>
      <c r="C230" s="23" t="n"/>
      <c r="D230" s="23" t="n"/>
      <c r="E230" s="21" t="n"/>
      <c r="F230" s="21" t="n"/>
      <c r="G230" s="21" t="n"/>
      <c r="H230" s="24" t="n"/>
      <c r="I230" s="21" t="n"/>
      <c r="J230" s="21" t="n"/>
      <c r="K230" s="22" t="n"/>
      <c r="L230" s="25">
        <f>IF(ISNUMBER(H230),EDATE(H230,IF(ISNUMBER(K230),K230,3)),"")</f>
        <v/>
      </c>
      <c r="M230" s="26">
        <f>IF(L230="","",IF(ISNUMBER(L230),L230-TODAY(),"Check date"))</f>
        <v/>
      </c>
      <c r="N230" s="27">
        <f>IF(LEN(C230)=0,"",IF(I230="N/A","N/A",IF(OR(I230="",NOT(ISNUMBER(H230))),"Not checked",IF(OR(I230="Not met",LEN(J230)=0,M230&lt;0),"Red",IF(OR(I230="Partly met",M230&lt;=30),"Amber","Green")))))</f>
        <v/>
      </c>
      <c r="O230" s="27">
        <f>IF(N230="Red",IF(I230="Not met","Not met",IF(LEN(J230)=0,"No evidence location","Re-check overdue")),IF(N230="Amber",IF(I230="Partly met","Partly met","Re-check due ≤30 days"),""))</f>
        <v/>
      </c>
      <c r="P230" s="21" t="n"/>
    </row>
    <row r="231">
      <c r="A231" s="21" t="n"/>
      <c r="B231" s="22" t="n"/>
      <c r="C231" s="23" t="n"/>
      <c r="D231" s="23" t="n"/>
      <c r="E231" s="21" t="n"/>
      <c r="F231" s="21" t="n"/>
      <c r="G231" s="21" t="n"/>
      <c r="H231" s="24" t="n"/>
      <c r="I231" s="21" t="n"/>
      <c r="J231" s="21" t="n"/>
      <c r="K231" s="22" t="n"/>
      <c r="L231" s="25">
        <f>IF(ISNUMBER(H231),EDATE(H231,IF(ISNUMBER(K231),K231,3)),"")</f>
        <v/>
      </c>
      <c r="M231" s="26">
        <f>IF(L231="","",IF(ISNUMBER(L231),L231-TODAY(),"Check date"))</f>
        <v/>
      </c>
      <c r="N231" s="27">
        <f>IF(LEN(C231)=0,"",IF(I231="N/A","N/A",IF(OR(I231="",NOT(ISNUMBER(H231))),"Not checked",IF(OR(I231="Not met",LEN(J231)=0,M231&lt;0),"Red",IF(OR(I231="Partly met",M231&lt;=30),"Amber","Green")))))</f>
        <v/>
      </c>
      <c r="O231" s="27">
        <f>IF(N231="Red",IF(I231="Not met","Not met",IF(LEN(J231)=0,"No evidence location","Re-check overdue")),IF(N231="Amber",IF(I231="Partly met","Partly met","Re-check due ≤30 days"),""))</f>
        <v/>
      </c>
      <c r="P231" s="21" t="n"/>
    </row>
    <row r="232">
      <c r="A232" s="21" t="n"/>
      <c r="B232" s="22" t="n"/>
      <c r="C232" s="23" t="n"/>
      <c r="D232" s="23" t="n"/>
      <c r="E232" s="21" t="n"/>
      <c r="F232" s="21" t="n"/>
      <c r="G232" s="21" t="n"/>
      <c r="H232" s="24" t="n"/>
      <c r="I232" s="21" t="n"/>
      <c r="J232" s="21" t="n"/>
      <c r="K232" s="22" t="n"/>
      <c r="L232" s="25">
        <f>IF(ISNUMBER(H232),EDATE(H232,IF(ISNUMBER(K232),K232,3)),"")</f>
        <v/>
      </c>
      <c r="M232" s="26">
        <f>IF(L232="","",IF(ISNUMBER(L232),L232-TODAY(),"Check date"))</f>
        <v/>
      </c>
      <c r="N232" s="27">
        <f>IF(LEN(C232)=0,"",IF(I232="N/A","N/A",IF(OR(I232="",NOT(ISNUMBER(H232))),"Not checked",IF(OR(I232="Not met",LEN(J232)=0,M232&lt;0),"Red",IF(OR(I232="Partly met",M232&lt;=30),"Amber","Green")))))</f>
        <v/>
      </c>
      <c r="O232" s="27">
        <f>IF(N232="Red",IF(I232="Not met","Not met",IF(LEN(J232)=0,"No evidence location","Re-check overdue")),IF(N232="Amber",IF(I232="Partly met","Partly met","Re-check due ≤30 days"),""))</f>
        <v/>
      </c>
      <c r="P232" s="21" t="n"/>
    </row>
    <row r="233">
      <c r="A233" s="21" t="n"/>
      <c r="B233" s="22" t="n"/>
      <c r="C233" s="23" t="n"/>
      <c r="D233" s="23" t="n"/>
      <c r="E233" s="21" t="n"/>
      <c r="F233" s="21" t="n"/>
      <c r="G233" s="21" t="n"/>
      <c r="H233" s="24" t="n"/>
      <c r="I233" s="21" t="n"/>
      <c r="J233" s="21" t="n"/>
      <c r="K233" s="22" t="n"/>
      <c r="L233" s="25">
        <f>IF(ISNUMBER(H233),EDATE(H233,IF(ISNUMBER(K233),K233,3)),"")</f>
        <v/>
      </c>
      <c r="M233" s="26">
        <f>IF(L233="","",IF(ISNUMBER(L233),L233-TODAY(),"Check date"))</f>
        <v/>
      </c>
      <c r="N233" s="27">
        <f>IF(LEN(C233)=0,"",IF(I233="N/A","N/A",IF(OR(I233="",NOT(ISNUMBER(H233))),"Not checked",IF(OR(I233="Not met",LEN(J233)=0,M233&lt;0),"Red",IF(OR(I233="Partly met",M233&lt;=30),"Amber","Green")))))</f>
        <v/>
      </c>
      <c r="O233" s="27">
        <f>IF(N233="Red",IF(I233="Not met","Not met",IF(LEN(J233)=0,"No evidence location","Re-check overdue")),IF(N233="Amber",IF(I233="Partly met","Partly met","Re-check due ≤30 days"),""))</f>
        <v/>
      </c>
      <c r="P233" s="21" t="n"/>
    </row>
    <row r="234">
      <c r="A234" s="21" t="n"/>
      <c r="B234" s="22" t="n"/>
      <c r="C234" s="23" t="n"/>
      <c r="D234" s="23" t="n"/>
      <c r="E234" s="21" t="n"/>
      <c r="F234" s="21" t="n"/>
      <c r="G234" s="21" t="n"/>
      <c r="H234" s="24" t="n"/>
      <c r="I234" s="21" t="n"/>
      <c r="J234" s="21" t="n"/>
      <c r="K234" s="22" t="n"/>
      <c r="L234" s="25">
        <f>IF(ISNUMBER(H234),EDATE(H234,IF(ISNUMBER(K234),K234,3)),"")</f>
        <v/>
      </c>
      <c r="M234" s="26">
        <f>IF(L234="","",IF(ISNUMBER(L234),L234-TODAY(),"Check date"))</f>
        <v/>
      </c>
      <c r="N234" s="27">
        <f>IF(LEN(C234)=0,"",IF(I234="N/A","N/A",IF(OR(I234="",NOT(ISNUMBER(H234))),"Not checked",IF(OR(I234="Not met",LEN(J234)=0,M234&lt;0),"Red",IF(OR(I234="Partly met",M234&lt;=30),"Amber","Green")))))</f>
        <v/>
      </c>
      <c r="O234" s="27">
        <f>IF(N234="Red",IF(I234="Not met","Not met",IF(LEN(J234)=0,"No evidence location","Re-check overdue")),IF(N234="Amber",IF(I234="Partly met","Partly met","Re-check due ≤30 days"),""))</f>
        <v/>
      </c>
      <c r="P234" s="21" t="n"/>
    </row>
    <row r="235">
      <c r="A235" s="21" t="n"/>
      <c r="B235" s="22" t="n"/>
      <c r="C235" s="23" t="n"/>
      <c r="D235" s="23" t="n"/>
      <c r="E235" s="21" t="n"/>
      <c r="F235" s="21" t="n"/>
      <c r="G235" s="21" t="n"/>
      <c r="H235" s="24" t="n"/>
      <c r="I235" s="21" t="n"/>
      <c r="J235" s="21" t="n"/>
      <c r="K235" s="22" t="n"/>
      <c r="L235" s="25">
        <f>IF(ISNUMBER(H235),EDATE(H235,IF(ISNUMBER(K235),K235,3)),"")</f>
        <v/>
      </c>
      <c r="M235" s="26">
        <f>IF(L235="","",IF(ISNUMBER(L235),L235-TODAY(),"Check date"))</f>
        <v/>
      </c>
      <c r="N235" s="27">
        <f>IF(LEN(C235)=0,"",IF(I235="N/A","N/A",IF(OR(I235="",NOT(ISNUMBER(H235))),"Not checked",IF(OR(I235="Not met",LEN(J235)=0,M235&lt;0),"Red",IF(OR(I235="Partly met",M235&lt;=30),"Amber","Green")))))</f>
        <v/>
      </c>
      <c r="O235" s="27">
        <f>IF(N235="Red",IF(I235="Not met","Not met",IF(LEN(J235)=0,"No evidence location","Re-check overdue")),IF(N235="Amber",IF(I235="Partly met","Partly met","Re-check due ≤30 days"),""))</f>
        <v/>
      </c>
      <c r="P235" s="21" t="n"/>
    </row>
    <row r="236">
      <c r="A236" s="21" t="n"/>
      <c r="B236" s="22" t="n"/>
      <c r="C236" s="23" t="n"/>
      <c r="D236" s="23" t="n"/>
      <c r="E236" s="21" t="n"/>
      <c r="F236" s="21" t="n"/>
      <c r="G236" s="21" t="n"/>
      <c r="H236" s="24" t="n"/>
      <c r="I236" s="21" t="n"/>
      <c r="J236" s="21" t="n"/>
      <c r="K236" s="22" t="n"/>
      <c r="L236" s="25">
        <f>IF(ISNUMBER(H236),EDATE(H236,IF(ISNUMBER(K236),K236,3)),"")</f>
        <v/>
      </c>
      <c r="M236" s="26">
        <f>IF(L236="","",IF(ISNUMBER(L236),L236-TODAY(),"Check date"))</f>
        <v/>
      </c>
      <c r="N236" s="27">
        <f>IF(LEN(C236)=0,"",IF(I236="N/A","N/A",IF(OR(I236="",NOT(ISNUMBER(H236))),"Not checked",IF(OR(I236="Not met",LEN(J236)=0,M236&lt;0),"Red",IF(OR(I236="Partly met",M236&lt;=30),"Amber","Green")))))</f>
        <v/>
      </c>
      <c r="O236" s="27">
        <f>IF(N236="Red",IF(I236="Not met","Not met",IF(LEN(J236)=0,"No evidence location","Re-check overdue")),IF(N236="Amber",IF(I236="Partly met","Partly met","Re-check due ≤30 days"),""))</f>
        <v/>
      </c>
      <c r="P236" s="21" t="n"/>
    </row>
    <row r="237">
      <c r="A237" s="21" t="n"/>
      <c r="B237" s="22" t="n"/>
      <c r="C237" s="23" t="n"/>
      <c r="D237" s="23" t="n"/>
      <c r="E237" s="21" t="n"/>
      <c r="F237" s="21" t="n"/>
      <c r="G237" s="21" t="n"/>
      <c r="H237" s="24" t="n"/>
      <c r="I237" s="21" t="n"/>
      <c r="J237" s="21" t="n"/>
      <c r="K237" s="22" t="n"/>
      <c r="L237" s="25">
        <f>IF(ISNUMBER(H237),EDATE(H237,IF(ISNUMBER(K237),K237,3)),"")</f>
        <v/>
      </c>
      <c r="M237" s="26">
        <f>IF(L237="","",IF(ISNUMBER(L237),L237-TODAY(),"Check date"))</f>
        <v/>
      </c>
      <c r="N237" s="27">
        <f>IF(LEN(C237)=0,"",IF(I237="N/A","N/A",IF(OR(I237="",NOT(ISNUMBER(H237))),"Not checked",IF(OR(I237="Not met",LEN(J237)=0,M237&lt;0),"Red",IF(OR(I237="Partly met",M237&lt;=30),"Amber","Green")))))</f>
        <v/>
      </c>
      <c r="O237" s="27">
        <f>IF(N237="Red",IF(I237="Not met","Not met",IF(LEN(J237)=0,"No evidence location","Re-check overdue")),IF(N237="Amber",IF(I237="Partly met","Partly met","Re-check due ≤30 days"),""))</f>
        <v/>
      </c>
      <c r="P237" s="21" t="n"/>
    </row>
    <row r="238">
      <c r="A238" s="21" t="n"/>
      <c r="B238" s="22" t="n"/>
      <c r="C238" s="23" t="n"/>
      <c r="D238" s="23" t="n"/>
      <c r="E238" s="21" t="n"/>
      <c r="F238" s="21" t="n"/>
      <c r="G238" s="21" t="n"/>
      <c r="H238" s="24" t="n"/>
      <c r="I238" s="21" t="n"/>
      <c r="J238" s="21" t="n"/>
      <c r="K238" s="22" t="n"/>
      <c r="L238" s="25">
        <f>IF(ISNUMBER(H238),EDATE(H238,IF(ISNUMBER(K238),K238,3)),"")</f>
        <v/>
      </c>
      <c r="M238" s="26">
        <f>IF(L238="","",IF(ISNUMBER(L238),L238-TODAY(),"Check date"))</f>
        <v/>
      </c>
      <c r="N238" s="27">
        <f>IF(LEN(C238)=0,"",IF(I238="N/A","N/A",IF(OR(I238="",NOT(ISNUMBER(H238))),"Not checked",IF(OR(I238="Not met",LEN(J238)=0,M238&lt;0),"Red",IF(OR(I238="Partly met",M238&lt;=30),"Amber","Green")))))</f>
        <v/>
      </c>
      <c r="O238" s="27">
        <f>IF(N238="Red",IF(I238="Not met","Not met",IF(LEN(J238)=0,"No evidence location","Re-check overdue")),IF(N238="Amber",IF(I238="Partly met","Partly met","Re-check due ≤30 days"),""))</f>
        <v/>
      </c>
      <c r="P238" s="21" t="n"/>
    </row>
    <row r="239">
      <c r="A239" s="21" t="n"/>
      <c r="B239" s="22" t="n"/>
      <c r="C239" s="23" t="n"/>
      <c r="D239" s="23" t="n"/>
      <c r="E239" s="21" t="n"/>
      <c r="F239" s="21" t="n"/>
      <c r="G239" s="21" t="n"/>
      <c r="H239" s="24" t="n"/>
      <c r="I239" s="21" t="n"/>
      <c r="J239" s="21" t="n"/>
      <c r="K239" s="22" t="n"/>
      <c r="L239" s="25">
        <f>IF(ISNUMBER(H239),EDATE(H239,IF(ISNUMBER(K239),K239,3)),"")</f>
        <v/>
      </c>
      <c r="M239" s="26">
        <f>IF(L239="","",IF(ISNUMBER(L239),L239-TODAY(),"Check date"))</f>
        <v/>
      </c>
      <c r="N239" s="27">
        <f>IF(LEN(C239)=0,"",IF(I239="N/A","N/A",IF(OR(I239="",NOT(ISNUMBER(H239))),"Not checked",IF(OR(I239="Not met",LEN(J239)=0,M239&lt;0),"Red",IF(OR(I239="Partly met",M239&lt;=30),"Amber","Green")))))</f>
        <v/>
      </c>
      <c r="O239" s="27">
        <f>IF(N239="Red",IF(I239="Not met","Not met",IF(LEN(J239)=0,"No evidence location","Re-check overdue")),IF(N239="Amber",IF(I239="Partly met","Partly met","Re-check due ≤30 days"),""))</f>
        <v/>
      </c>
      <c r="P239" s="21" t="n"/>
    </row>
    <row r="240">
      <c r="A240" s="21" t="n"/>
      <c r="B240" s="22" t="n"/>
      <c r="C240" s="23" t="n"/>
      <c r="D240" s="23" t="n"/>
      <c r="E240" s="21" t="n"/>
      <c r="F240" s="21" t="n"/>
      <c r="G240" s="21" t="n"/>
      <c r="H240" s="24" t="n"/>
      <c r="I240" s="21" t="n"/>
      <c r="J240" s="21" t="n"/>
      <c r="K240" s="22" t="n"/>
      <c r="L240" s="25">
        <f>IF(ISNUMBER(H240),EDATE(H240,IF(ISNUMBER(K240),K240,3)),"")</f>
        <v/>
      </c>
      <c r="M240" s="26">
        <f>IF(L240="","",IF(ISNUMBER(L240),L240-TODAY(),"Check date"))</f>
        <v/>
      </c>
      <c r="N240" s="27">
        <f>IF(LEN(C240)=0,"",IF(I240="N/A","N/A",IF(OR(I240="",NOT(ISNUMBER(H240))),"Not checked",IF(OR(I240="Not met",LEN(J240)=0,M240&lt;0),"Red",IF(OR(I240="Partly met",M240&lt;=30),"Amber","Green")))))</f>
        <v/>
      </c>
      <c r="O240" s="27">
        <f>IF(N240="Red",IF(I240="Not met","Not met",IF(LEN(J240)=0,"No evidence location","Re-check overdue")),IF(N240="Amber",IF(I240="Partly met","Partly met","Re-check due ≤30 days"),""))</f>
        <v/>
      </c>
      <c r="P240" s="21" t="n"/>
    </row>
    <row r="241">
      <c r="A241" s="21" t="n"/>
      <c r="B241" s="22" t="n"/>
      <c r="C241" s="23" t="n"/>
      <c r="D241" s="23" t="n"/>
      <c r="E241" s="21" t="n"/>
      <c r="F241" s="21" t="n"/>
      <c r="G241" s="21" t="n"/>
      <c r="H241" s="24" t="n"/>
      <c r="I241" s="21" t="n"/>
      <c r="J241" s="21" t="n"/>
      <c r="K241" s="22" t="n"/>
      <c r="L241" s="25">
        <f>IF(ISNUMBER(H241),EDATE(H241,IF(ISNUMBER(K241),K241,3)),"")</f>
        <v/>
      </c>
      <c r="M241" s="26">
        <f>IF(L241="","",IF(ISNUMBER(L241),L241-TODAY(),"Check date"))</f>
        <v/>
      </c>
      <c r="N241" s="27">
        <f>IF(LEN(C241)=0,"",IF(I241="N/A","N/A",IF(OR(I241="",NOT(ISNUMBER(H241))),"Not checked",IF(OR(I241="Not met",LEN(J241)=0,M241&lt;0),"Red",IF(OR(I241="Partly met",M241&lt;=30),"Amber","Green")))))</f>
        <v/>
      </c>
      <c r="O241" s="27">
        <f>IF(N241="Red",IF(I241="Not met","Not met",IF(LEN(J241)=0,"No evidence location","Re-check overdue")),IF(N241="Amber",IF(I241="Partly met","Partly met","Re-check due ≤30 days"),""))</f>
        <v/>
      </c>
      <c r="P241" s="21" t="n"/>
    </row>
    <row r="242">
      <c r="A242" s="21" t="n"/>
      <c r="B242" s="22" t="n"/>
      <c r="C242" s="23" t="n"/>
      <c r="D242" s="23" t="n"/>
      <c r="E242" s="21" t="n"/>
      <c r="F242" s="21" t="n"/>
      <c r="G242" s="21" t="n"/>
      <c r="H242" s="24" t="n"/>
      <c r="I242" s="21" t="n"/>
      <c r="J242" s="21" t="n"/>
      <c r="K242" s="22" t="n"/>
      <c r="L242" s="25">
        <f>IF(ISNUMBER(H242),EDATE(H242,IF(ISNUMBER(K242),K242,3)),"")</f>
        <v/>
      </c>
      <c r="M242" s="26">
        <f>IF(L242="","",IF(ISNUMBER(L242),L242-TODAY(),"Check date"))</f>
        <v/>
      </c>
      <c r="N242" s="27">
        <f>IF(LEN(C242)=0,"",IF(I242="N/A","N/A",IF(OR(I242="",NOT(ISNUMBER(H242))),"Not checked",IF(OR(I242="Not met",LEN(J242)=0,M242&lt;0),"Red",IF(OR(I242="Partly met",M242&lt;=30),"Amber","Green")))))</f>
        <v/>
      </c>
      <c r="O242" s="27">
        <f>IF(N242="Red",IF(I242="Not met","Not met",IF(LEN(J242)=0,"No evidence location","Re-check overdue")),IF(N242="Amber",IF(I242="Partly met","Partly met","Re-check due ≤30 days"),""))</f>
        <v/>
      </c>
      <c r="P242" s="21" t="n"/>
    </row>
    <row r="243">
      <c r="A243" s="21" t="n"/>
      <c r="B243" s="22" t="n"/>
      <c r="C243" s="23" t="n"/>
      <c r="D243" s="23" t="n"/>
      <c r="E243" s="21" t="n"/>
      <c r="F243" s="21" t="n"/>
      <c r="G243" s="21" t="n"/>
      <c r="H243" s="24" t="n"/>
      <c r="I243" s="21" t="n"/>
      <c r="J243" s="21" t="n"/>
      <c r="K243" s="22" t="n"/>
      <c r="L243" s="25">
        <f>IF(ISNUMBER(H243),EDATE(H243,IF(ISNUMBER(K243),K243,3)),"")</f>
        <v/>
      </c>
      <c r="M243" s="26">
        <f>IF(L243="","",IF(ISNUMBER(L243),L243-TODAY(),"Check date"))</f>
        <v/>
      </c>
      <c r="N243" s="27">
        <f>IF(LEN(C243)=0,"",IF(I243="N/A","N/A",IF(OR(I243="",NOT(ISNUMBER(H243))),"Not checked",IF(OR(I243="Not met",LEN(J243)=0,M243&lt;0),"Red",IF(OR(I243="Partly met",M243&lt;=30),"Amber","Green")))))</f>
        <v/>
      </c>
      <c r="O243" s="27">
        <f>IF(N243="Red",IF(I243="Not met","Not met",IF(LEN(J243)=0,"No evidence location","Re-check overdue")),IF(N243="Amber",IF(I243="Partly met","Partly met","Re-check due ≤30 days"),""))</f>
        <v/>
      </c>
      <c r="P243" s="21" t="n"/>
    </row>
    <row r="244">
      <c r="A244" s="21" t="n"/>
      <c r="B244" s="22" t="n"/>
      <c r="C244" s="23" t="n"/>
      <c r="D244" s="23" t="n"/>
      <c r="E244" s="21" t="n"/>
      <c r="F244" s="21" t="n"/>
      <c r="G244" s="21" t="n"/>
      <c r="H244" s="24" t="n"/>
      <c r="I244" s="21" t="n"/>
      <c r="J244" s="21" t="n"/>
      <c r="K244" s="22" t="n"/>
      <c r="L244" s="25">
        <f>IF(ISNUMBER(H244),EDATE(H244,IF(ISNUMBER(K244),K244,3)),"")</f>
        <v/>
      </c>
      <c r="M244" s="26">
        <f>IF(L244="","",IF(ISNUMBER(L244),L244-TODAY(),"Check date"))</f>
        <v/>
      </c>
      <c r="N244" s="27">
        <f>IF(LEN(C244)=0,"",IF(I244="N/A","N/A",IF(OR(I244="",NOT(ISNUMBER(H244))),"Not checked",IF(OR(I244="Not met",LEN(J244)=0,M244&lt;0),"Red",IF(OR(I244="Partly met",M244&lt;=30),"Amber","Green")))))</f>
        <v/>
      </c>
      <c r="O244" s="27">
        <f>IF(N244="Red",IF(I244="Not met","Not met",IF(LEN(J244)=0,"No evidence location","Re-check overdue")),IF(N244="Amber",IF(I244="Partly met","Partly met","Re-check due ≤30 days"),""))</f>
        <v/>
      </c>
      <c r="P244" s="21" t="n"/>
    </row>
    <row r="245">
      <c r="A245" s="21" t="n"/>
      <c r="B245" s="22" t="n"/>
      <c r="C245" s="23" t="n"/>
      <c r="D245" s="23" t="n"/>
      <c r="E245" s="21" t="n"/>
      <c r="F245" s="21" t="n"/>
      <c r="G245" s="21" t="n"/>
      <c r="H245" s="24" t="n"/>
      <c r="I245" s="21" t="n"/>
      <c r="J245" s="21" t="n"/>
      <c r="K245" s="22" t="n"/>
      <c r="L245" s="25">
        <f>IF(ISNUMBER(H245),EDATE(H245,IF(ISNUMBER(K245),K245,3)),"")</f>
        <v/>
      </c>
      <c r="M245" s="26">
        <f>IF(L245="","",IF(ISNUMBER(L245),L245-TODAY(),"Check date"))</f>
        <v/>
      </c>
      <c r="N245" s="27">
        <f>IF(LEN(C245)=0,"",IF(I245="N/A","N/A",IF(OR(I245="",NOT(ISNUMBER(H245))),"Not checked",IF(OR(I245="Not met",LEN(J245)=0,M245&lt;0),"Red",IF(OR(I245="Partly met",M245&lt;=30),"Amber","Green")))))</f>
        <v/>
      </c>
      <c r="O245" s="27">
        <f>IF(N245="Red",IF(I245="Not met","Not met",IF(LEN(J245)=0,"No evidence location","Re-check overdue")),IF(N245="Amber",IF(I245="Partly met","Partly met","Re-check due ≤30 days"),""))</f>
        <v/>
      </c>
      <c r="P245" s="21" t="n"/>
    </row>
    <row r="246">
      <c r="A246" s="21" t="n"/>
      <c r="B246" s="22" t="n"/>
      <c r="C246" s="23" t="n"/>
      <c r="D246" s="23" t="n"/>
      <c r="E246" s="21" t="n"/>
      <c r="F246" s="21" t="n"/>
      <c r="G246" s="21" t="n"/>
      <c r="H246" s="24" t="n"/>
      <c r="I246" s="21" t="n"/>
      <c r="J246" s="21" t="n"/>
      <c r="K246" s="22" t="n"/>
      <c r="L246" s="25">
        <f>IF(ISNUMBER(H246),EDATE(H246,IF(ISNUMBER(K246),K246,3)),"")</f>
        <v/>
      </c>
      <c r="M246" s="26">
        <f>IF(L246="","",IF(ISNUMBER(L246),L246-TODAY(),"Check date"))</f>
        <v/>
      </c>
      <c r="N246" s="27">
        <f>IF(LEN(C246)=0,"",IF(I246="N/A","N/A",IF(OR(I246="",NOT(ISNUMBER(H246))),"Not checked",IF(OR(I246="Not met",LEN(J246)=0,M246&lt;0),"Red",IF(OR(I246="Partly met",M246&lt;=30),"Amber","Green")))))</f>
        <v/>
      </c>
      <c r="O246" s="27">
        <f>IF(N246="Red",IF(I246="Not met","Not met",IF(LEN(J246)=0,"No evidence location","Re-check overdue")),IF(N246="Amber",IF(I246="Partly met","Partly met","Re-check due ≤30 days"),""))</f>
        <v/>
      </c>
      <c r="P246" s="21" t="n"/>
    </row>
    <row r="247">
      <c r="A247" s="21" t="n"/>
      <c r="B247" s="22" t="n"/>
      <c r="C247" s="23" t="n"/>
      <c r="D247" s="23" t="n"/>
      <c r="E247" s="21" t="n"/>
      <c r="F247" s="21" t="n"/>
      <c r="G247" s="21" t="n"/>
      <c r="H247" s="24" t="n"/>
      <c r="I247" s="21" t="n"/>
      <c r="J247" s="21" t="n"/>
      <c r="K247" s="22" t="n"/>
      <c r="L247" s="25">
        <f>IF(ISNUMBER(H247),EDATE(H247,IF(ISNUMBER(K247),K247,3)),"")</f>
        <v/>
      </c>
      <c r="M247" s="26">
        <f>IF(L247="","",IF(ISNUMBER(L247),L247-TODAY(),"Check date"))</f>
        <v/>
      </c>
      <c r="N247" s="27">
        <f>IF(LEN(C247)=0,"",IF(I247="N/A","N/A",IF(OR(I247="",NOT(ISNUMBER(H247))),"Not checked",IF(OR(I247="Not met",LEN(J247)=0,M247&lt;0),"Red",IF(OR(I247="Partly met",M247&lt;=30),"Amber","Green")))))</f>
        <v/>
      </c>
      <c r="O247" s="27">
        <f>IF(N247="Red",IF(I247="Not met","Not met",IF(LEN(J247)=0,"No evidence location","Re-check overdue")),IF(N247="Amber",IF(I247="Partly met","Partly met","Re-check due ≤30 days"),""))</f>
        <v/>
      </c>
      <c r="P247" s="21" t="n"/>
    </row>
    <row r="248">
      <c r="A248" s="21" t="n"/>
      <c r="B248" s="22" t="n"/>
      <c r="C248" s="23" t="n"/>
      <c r="D248" s="23" t="n"/>
      <c r="E248" s="21" t="n"/>
      <c r="F248" s="21" t="n"/>
      <c r="G248" s="21" t="n"/>
      <c r="H248" s="24" t="n"/>
      <c r="I248" s="21" t="n"/>
      <c r="J248" s="21" t="n"/>
      <c r="K248" s="22" t="n"/>
      <c r="L248" s="25">
        <f>IF(ISNUMBER(H248),EDATE(H248,IF(ISNUMBER(K248),K248,3)),"")</f>
        <v/>
      </c>
      <c r="M248" s="26">
        <f>IF(L248="","",IF(ISNUMBER(L248),L248-TODAY(),"Check date"))</f>
        <v/>
      </c>
      <c r="N248" s="27">
        <f>IF(LEN(C248)=0,"",IF(I248="N/A","N/A",IF(OR(I248="",NOT(ISNUMBER(H248))),"Not checked",IF(OR(I248="Not met",LEN(J248)=0,M248&lt;0),"Red",IF(OR(I248="Partly met",M248&lt;=30),"Amber","Green")))))</f>
        <v/>
      </c>
      <c r="O248" s="27">
        <f>IF(N248="Red",IF(I248="Not met","Not met",IF(LEN(J248)=0,"No evidence location","Re-check overdue")),IF(N248="Amber",IF(I248="Partly met","Partly met","Re-check due ≤30 days"),""))</f>
        <v/>
      </c>
      <c r="P248" s="21" t="n"/>
    </row>
    <row r="249">
      <c r="A249" s="21" t="n"/>
      <c r="B249" s="22" t="n"/>
      <c r="C249" s="23" t="n"/>
      <c r="D249" s="23" t="n"/>
      <c r="E249" s="21" t="n"/>
      <c r="F249" s="21" t="n"/>
      <c r="G249" s="21" t="n"/>
      <c r="H249" s="24" t="n"/>
      <c r="I249" s="21" t="n"/>
      <c r="J249" s="21" t="n"/>
      <c r="K249" s="22" t="n"/>
      <c r="L249" s="25">
        <f>IF(ISNUMBER(H249),EDATE(H249,IF(ISNUMBER(K249),K249,3)),"")</f>
        <v/>
      </c>
      <c r="M249" s="26">
        <f>IF(L249="","",IF(ISNUMBER(L249),L249-TODAY(),"Check date"))</f>
        <v/>
      </c>
      <c r="N249" s="27">
        <f>IF(LEN(C249)=0,"",IF(I249="N/A","N/A",IF(OR(I249="",NOT(ISNUMBER(H249))),"Not checked",IF(OR(I249="Not met",LEN(J249)=0,M249&lt;0),"Red",IF(OR(I249="Partly met",M249&lt;=30),"Amber","Green")))))</f>
        <v/>
      </c>
      <c r="O249" s="27">
        <f>IF(N249="Red",IF(I249="Not met","Not met",IF(LEN(J249)=0,"No evidence location","Re-check overdue")),IF(N249="Amber",IF(I249="Partly met","Partly met","Re-check due ≤30 days"),""))</f>
        <v/>
      </c>
      <c r="P249" s="21" t="n"/>
    </row>
    <row r="250">
      <c r="A250" s="21" t="n"/>
      <c r="B250" s="22" t="n"/>
      <c r="C250" s="23" t="n"/>
      <c r="D250" s="23" t="n"/>
      <c r="E250" s="21" t="n"/>
      <c r="F250" s="21" t="n"/>
      <c r="G250" s="21" t="n"/>
      <c r="H250" s="24" t="n"/>
      <c r="I250" s="21" t="n"/>
      <c r="J250" s="21" t="n"/>
      <c r="K250" s="22" t="n"/>
      <c r="L250" s="25">
        <f>IF(ISNUMBER(H250),EDATE(H250,IF(ISNUMBER(K250),K250,3)),"")</f>
        <v/>
      </c>
      <c r="M250" s="26">
        <f>IF(L250="","",IF(ISNUMBER(L250),L250-TODAY(),"Check date"))</f>
        <v/>
      </c>
      <c r="N250" s="27">
        <f>IF(LEN(C250)=0,"",IF(I250="N/A","N/A",IF(OR(I250="",NOT(ISNUMBER(H250))),"Not checked",IF(OR(I250="Not met",LEN(J250)=0,M250&lt;0),"Red",IF(OR(I250="Partly met",M250&lt;=30),"Amber","Green")))))</f>
        <v/>
      </c>
      <c r="O250" s="27">
        <f>IF(N250="Red",IF(I250="Not met","Not met",IF(LEN(J250)=0,"No evidence location","Re-check overdue")),IF(N250="Amber",IF(I250="Partly met","Partly met","Re-check due ≤30 days"),""))</f>
        <v/>
      </c>
      <c r="P250" s="21" t="n"/>
    </row>
    <row r="251">
      <c r="A251" s="21" t="n"/>
      <c r="B251" s="22" t="n"/>
      <c r="C251" s="23" t="n"/>
      <c r="D251" s="23" t="n"/>
      <c r="E251" s="21" t="n"/>
      <c r="F251" s="21" t="n"/>
      <c r="G251" s="21" t="n"/>
      <c r="H251" s="24" t="n"/>
      <c r="I251" s="21" t="n"/>
      <c r="J251" s="21" t="n"/>
      <c r="K251" s="22" t="n"/>
      <c r="L251" s="25">
        <f>IF(ISNUMBER(H251),EDATE(H251,IF(ISNUMBER(K251),K251,3)),"")</f>
        <v/>
      </c>
      <c r="M251" s="26">
        <f>IF(L251="","",IF(ISNUMBER(L251),L251-TODAY(),"Check date"))</f>
        <v/>
      </c>
      <c r="N251" s="27">
        <f>IF(LEN(C251)=0,"",IF(I251="N/A","N/A",IF(OR(I251="",NOT(ISNUMBER(H251))),"Not checked",IF(OR(I251="Not met",LEN(J251)=0,M251&lt;0),"Red",IF(OR(I251="Partly met",M251&lt;=30),"Amber","Green")))))</f>
        <v/>
      </c>
      <c r="O251" s="27">
        <f>IF(N251="Red",IF(I251="Not met","Not met",IF(LEN(J251)=0,"No evidence location","Re-check overdue")),IF(N251="Amber",IF(I251="Partly met","Partly met","Re-check due ≤30 days"),""))</f>
        <v/>
      </c>
      <c r="P251" s="21" t="n"/>
    </row>
    <row r="252">
      <c r="A252" s="21" t="n"/>
      <c r="B252" s="22" t="n"/>
      <c r="C252" s="23" t="n"/>
      <c r="D252" s="23" t="n"/>
      <c r="E252" s="21" t="n"/>
      <c r="F252" s="21" t="n"/>
      <c r="G252" s="21" t="n"/>
      <c r="H252" s="24" t="n"/>
      <c r="I252" s="21" t="n"/>
      <c r="J252" s="21" t="n"/>
      <c r="K252" s="22" t="n"/>
      <c r="L252" s="25">
        <f>IF(ISNUMBER(H252),EDATE(H252,IF(ISNUMBER(K252),K252,3)),"")</f>
        <v/>
      </c>
      <c r="M252" s="26">
        <f>IF(L252="","",IF(ISNUMBER(L252),L252-TODAY(),"Check date"))</f>
        <v/>
      </c>
      <c r="N252" s="27">
        <f>IF(LEN(C252)=0,"",IF(I252="N/A","N/A",IF(OR(I252="",NOT(ISNUMBER(H252))),"Not checked",IF(OR(I252="Not met",LEN(J252)=0,M252&lt;0),"Red",IF(OR(I252="Partly met",M252&lt;=30),"Amber","Green")))))</f>
        <v/>
      </c>
      <c r="O252" s="27">
        <f>IF(N252="Red",IF(I252="Not met","Not met",IF(LEN(J252)=0,"No evidence location","Re-check overdue")),IF(N252="Amber",IF(I252="Partly met","Partly met","Re-check due ≤30 days"),""))</f>
        <v/>
      </c>
      <c r="P252" s="21" t="n"/>
    </row>
    <row r="253">
      <c r="A253" s="21" t="n"/>
      <c r="B253" s="22" t="n"/>
      <c r="C253" s="23" t="n"/>
      <c r="D253" s="23" t="n"/>
      <c r="E253" s="21" t="n"/>
      <c r="F253" s="21" t="n"/>
      <c r="G253" s="21" t="n"/>
      <c r="H253" s="24" t="n"/>
      <c r="I253" s="21" t="n"/>
      <c r="J253" s="21" t="n"/>
      <c r="K253" s="22" t="n"/>
      <c r="L253" s="25">
        <f>IF(ISNUMBER(H253),EDATE(H253,IF(ISNUMBER(K253),K253,3)),"")</f>
        <v/>
      </c>
      <c r="M253" s="26">
        <f>IF(L253="","",IF(ISNUMBER(L253),L253-TODAY(),"Check date"))</f>
        <v/>
      </c>
      <c r="N253" s="27">
        <f>IF(LEN(C253)=0,"",IF(I253="N/A","N/A",IF(OR(I253="",NOT(ISNUMBER(H253))),"Not checked",IF(OR(I253="Not met",LEN(J253)=0,M253&lt;0),"Red",IF(OR(I253="Partly met",M253&lt;=30),"Amber","Green")))))</f>
        <v/>
      </c>
      <c r="O253" s="27">
        <f>IF(N253="Red",IF(I253="Not met","Not met",IF(LEN(J253)=0,"No evidence location","Re-check overdue")),IF(N253="Amber",IF(I253="Partly met","Partly met","Re-check due ≤30 days"),""))</f>
        <v/>
      </c>
      <c r="P253" s="21" t="n"/>
    </row>
    <row r="254">
      <c r="A254" s="21" t="n"/>
      <c r="B254" s="22" t="n"/>
      <c r="C254" s="23" t="n"/>
      <c r="D254" s="23" t="n"/>
      <c r="E254" s="21" t="n"/>
      <c r="F254" s="21" t="n"/>
      <c r="G254" s="21" t="n"/>
      <c r="H254" s="24" t="n"/>
      <c r="I254" s="21" t="n"/>
      <c r="J254" s="21" t="n"/>
      <c r="K254" s="22" t="n"/>
      <c r="L254" s="25">
        <f>IF(ISNUMBER(H254),EDATE(H254,IF(ISNUMBER(K254),K254,3)),"")</f>
        <v/>
      </c>
      <c r="M254" s="26">
        <f>IF(L254="","",IF(ISNUMBER(L254),L254-TODAY(),"Check date"))</f>
        <v/>
      </c>
      <c r="N254" s="27">
        <f>IF(LEN(C254)=0,"",IF(I254="N/A","N/A",IF(OR(I254="",NOT(ISNUMBER(H254))),"Not checked",IF(OR(I254="Not met",LEN(J254)=0,M254&lt;0),"Red",IF(OR(I254="Partly met",M254&lt;=30),"Amber","Green")))))</f>
        <v/>
      </c>
      <c r="O254" s="27">
        <f>IF(N254="Red",IF(I254="Not met","Not met",IF(LEN(J254)=0,"No evidence location","Re-check overdue")),IF(N254="Amber",IF(I254="Partly met","Partly met","Re-check due ≤30 days"),""))</f>
        <v/>
      </c>
      <c r="P254" s="21" t="n"/>
    </row>
    <row r="255">
      <c r="A255" s="21" t="n"/>
      <c r="B255" s="22" t="n"/>
      <c r="C255" s="23" t="n"/>
      <c r="D255" s="23" t="n"/>
      <c r="E255" s="21" t="n"/>
      <c r="F255" s="21" t="n"/>
      <c r="G255" s="21" t="n"/>
      <c r="H255" s="24" t="n"/>
      <c r="I255" s="21" t="n"/>
      <c r="J255" s="21" t="n"/>
      <c r="K255" s="22" t="n"/>
      <c r="L255" s="25">
        <f>IF(ISNUMBER(H255),EDATE(H255,IF(ISNUMBER(K255),K255,3)),"")</f>
        <v/>
      </c>
      <c r="M255" s="26">
        <f>IF(L255="","",IF(ISNUMBER(L255),L255-TODAY(),"Check date"))</f>
        <v/>
      </c>
      <c r="N255" s="27">
        <f>IF(LEN(C255)=0,"",IF(I255="N/A","N/A",IF(OR(I255="",NOT(ISNUMBER(H255))),"Not checked",IF(OR(I255="Not met",LEN(J255)=0,M255&lt;0),"Red",IF(OR(I255="Partly met",M255&lt;=30),"Amber","Green")))))</f>
        <v/>
      </c>
      <c r="O255" s="27">
        <f>IF(N255="Red",IF(I255="Not met","Not met",IF(LEN(J255)=0,"No evidence location","Re-check overdue")),IF(N255="Amber",IF(I255="Partly met","Partly met","Re-check due ≤30 days"),""))</f>
        <v/>
      </c>
      <c r="P255" s="21" t="n"/>
    </row>
    <row r="256">
      <c r="A256" s="21" t="n"/>
      <c r="B256" s="22" t="n"/>
      <c r="C256" s="23" t="n"/>
      <c r="D256" s="23" t="n"/>
      <c r="E256" s="21" t="n"/>
      <c r="F256" s="21" t="n"/>
      <c r="G256" s="21" t="n"/>
      <c r="H256" s="24" t="n"/>
      <c r="I256" s="21" t="n"/>
      <c r="J256" s="21" t="n"/>
      <c r="K256" s="22" t="n"/>
      <c r="L256" s="25">
        <f>IF(ISNUMBER(H256),EDATE(H256,IF(ISNUMBER(K256),K256,3)),"")</f>
        <v/>
      </c>
      <c r="M256" s="26">
        <f>IF(L256="","",IF(ISNUMBER(L256),L256-TODAY(),"Check date"))</f>
        <v/>
      </c>
      <c r="N256" s="27">
        <f>IF(LEN(C256)=0,"",IF(I256="N/A","N/A",IF(OR(I256="",NOT(ISNUMBER(H256))),"Not checked",IF(OR(I256="Not met",LEN(J256)=0,M256&lt;0),"Red",IF(OR(I256="Partly met",M256&lt;=30),"Amber","Green")))))</f>
        <v/>
      </c>
      <c r="O256" s="27">
        <f>IF(N256="Red",IF(I256="Not met","Not met",IF(LEN(J256)=0,"No evidence location","Re-check overdue")),IF(N256="Amber",IF(I256="Partly met","Partly met","Re-check due ≤30 days"),""))</f>
        <v/>
      </c>
      <c r="P256" s="21" t="n"/>
    </row>
    <row r="257">
      <c r="A257" s="21" t="n"/>
      <c r="B257" s="22" t="n"/>
      <c r="C257" s="23" t="n"/>
      <c r="D257" s="23" t="n"/>
      <c r="E257" s="21" t="n"/>
      <c r="F257" s="21" t="n"/>
      <c r="G257" s="21" t="n"/>
      <c r="H257" s="24" t="n"/>
      <c r="I257" s="21" t="n"/>
      <c r="J257" s="21" t="n"/>
      <c r="K257" s="22" t="n"/>
      <c r="L257" s="25">
        <f>IF(ISNUMBER(H257),EDATE(H257,IF(ISNUMBER(K257),K257,3)),"")</f>
        <v/>
      </c>
      <c r="M257" s="26">
        <f>IF(L257="","",IF(ISNUMBER(L257),L257-TODAY(),"Check date"))</f>
        <v/>
      </c>
      <c r="N257" s="27">
        <f>IF(LEN(C257)=0,"",IF(I257="N/A","N/A",IF(OR(I257="",NOT(ISNUMBER(H257))),"Not checked",IF(OR(I257="Not met",LEN(J257)=0,M257&lt;0),"Red",IF(OR(I257="Partly met",M257&lt;=30),"Amber","Green")))))</f>
        <v/>
      </c>
      <c r="O257" s="27">
        <f>IF(N257="Red",IF(I257="Not met","Not met",IF(LEN(J257)=0,"No evidence location","Re-check overdue")),IF(N257="Amber",IF(I257="Partly met","Partly met","Re-check due ≤30 days"),""))</f>
        <v/>
      </c>
      <c r="P257" s="21" t="n"/>
    </row>
    <row r="258">
      <c r="A258" s="21" t="n"/>
      <c r="B258" s="22" t="n"/>
      <c r="C258" s="23" t="n"/>
      <c r="D258" s="23" t="n"/>
      <c r="E258" s="21" t="n"/>
      <c r="F258" s="21" t="n"/>
      <c r="G258" s="21" t="n"/>
      <c r="H258" s="24" t="n"/>
      <c r="I258" s="21" t="n"/>
      <c r="J258" s="21" t="n"/>
      <c r="K258" s="22" t="n"/>
      <c r="L258" s="25">
        <f>IF(ISNUMBER(H258),EDATE(H258,IF(ISNUMBER(K258),K258,3)),"")</f>
        <v/>
      </c>
      <c r="M258" s="26">
        <f>IF(L258="","",IF(ISNUMBER(L258),L258-TODAY(),"Check date"))</f>
        <v/>
      </c>
      <c r="N258" s="27">
        <f>IF(LEN(C258)=0,"",IF(I258="N/A","N/A",IF(OR(I258="",NOT(ISNUMBER(H258))),"Not checked",IF(OR(I258="Not met",LEN(J258)=0,M258&lt;0),"Red",IF(OR(I258="Partly met",M258&lt;=30),"Amber","Green")))))</f>
        <v/>
      </c>
      <c r="O258" s="27">
        <f>IF(N258="Red",IF(I258="Not met","Not met",IF(LEN(J258)=0,"No evidence location","Re-check overdue")),IF(N258="Amber",IF(I258="Partly met","Partly met","Re-check due ≤30 days"),""))</f>
        <v/>
      </c>
      <c r="P258" s="21" t="n"/>
    </row>
    <row r="259">
      <c r="A259" s="21" t="n"/>
      <c r="B259" s="22" t="n"/>
      <c r="C259" s="23" t="n"/>
      <c r="D259" s="23" t="n"/>
      <c r="E259" s="21" t="n"/>
      <c r="F259" s="21" t="n"/>
      <c r="G259" s="21" t="n"/>
      <c r="H259" s="24" t="n"/>
      <c r="I259" s="21" t="n"/>
      <c r="J259" s="21" t="n"/>
      <c r="K259" s="22" t="n"/>
      <c r="L259" s="25">
        <f>IF(ISNUMBER(H259),EDATE(H259,IF(ISNUMBER(K259),K259,3)),"")</f>
        <v/>
      </c>
      <c r="M259" s="26">
        <f>IF(L259="","",IF(ISNUMBER(L259),L259-TODAY(),"Check date"))</f>
        <v/>
      </c>
      <c r="N259" s="27">
        <f>IF(LEN(C259)=0,"",IF(I259="N/A","N/A",IF(OR(I259="",NOT(ISNUMBER(H259))),"Not checked",IF(OR(I259="Not met",LEN(J259)=0,M259&lt;0),"Red",IF(OR(I259="Partly met",M259&lt;=30),"Amber","Green")))))</f>
        <v/>
      </c>
      <c r="O259" s="27">
        <f>IF(N259="Red",IF(I259="Not met","Not met",IF(LEN(J259)=0,"No evidence location","Re-check overdue")),IF(N259="Amber",IF(I259="Partly met","Partly met","Re-check due ≤30 days"),""))</f>
        <v/>
      </c>
      <c r="P259" s="21" t="n"/>
    </row>
    <row r="260">
      <c r="A260" s="21" t="n"/>
      <c r="B260" s="22" t="n"/>
      <c r="C260" s="23" t="n"/>
      <c r="D260" s="23" t="n"/>
      <c r="E260" s="21" t="n"/>
      <c r="F260" s="21" t="n"/>
      <c r="G260" s="21" t="n"/>
      <c r="H260" s="24" t="n"/>
      <c r="I260" s="21" t="n"/>
      <c r="J260" s="21" t="n"/>
      <c r="K260" s="22" t="n"/>
      <c r="L260" s="25">
        <f>IF(ISNUMBER(H260),EDATE(H260,IF(ISNUMBER(K260),K260,3)),"")</f>
        <v/>
      </c>
      <c r="M260" s="26">
        <f>IF(L260="","",IF(ISNUMBER(L260),L260-TODAY(),"Check date"))</f>
        <v/>
      </c>
      <c r="N260" s="27">
        <f>IF(LEN(C260)=0,"",IF(I260="N/A","N/A",IF(OR(I260="",NOT(ISNUMBER(H260))),"Not checked",IF(OR(I260="Not met",LEN(J260)=0,M260&lt;0),"Red",IF(OR(I260="Partly met",M260&lt;=30),"Amber","Green")))))</f>
        <v/>
      </c>
      <c r="O260" s="27">
        <f>IF(N260="Red",IF(I260="Not met","Not met",IF(LEN(J260)=0,"No evidence location","Re-check overdue")),IF(N260="Amber",IF(I260="Partly met","Partly met","Re-check due ≤30 days"),""))</f>
        <v/>
      </c>
      <c r="P260" s="21" t="n"/>
    </row>
    <row r="261">
      <c r="A261" s="21" t="n"/>
      <c r="B261" s="22" t="n"/>
      <c r="C261" s="23" t="n"/>
      <c r="D261" s="23" t="n"/>
      <c r="E261" s="21" t="n"/>
      <c r="F261" s="21" t="n"/>
      <c r="G261" s="21" t="n"/>
      <c r="H261" s="24" t="n"/>
      <c r="I261" s="21" t="n"/>
      <c r="J261" s="21" t="n"/>
      <c r="K261" s="22" t="n"/>
      <c r="L261" s="25">
        <f>IF(ISNUMBER(H261),EDATE(H261,IF(ISNUMBER(K261),K261,3)),"")</f>
        <v/>
      </c>
      <c r="M261" s="26">
        <f>IF(L261="","",IF(ISNUMBER(L261),L261-TODAY(),"Check date"))</f>
        <v/>
      </c>
      <c r="N261" s="27">
        <f>IF(LEN(C261)=0,"",IF(I261="N/A","N/A",IF(OR(I261="",NOT(ISNUMBER(H261))),"Not checked",IF(OR(I261="Not met",LEN(J261)=0,M261&lt;0),"Red",IF(OR(I261="Partly met",M261&lt;=30),"Amber","Green")))))</f>
        <v/>
      </c>
      <c r="O261" s="27">
        <f>IF(N261="Red",IF(I261="Not met","Not met",IF(LEN(J261)=0,"No evidence location","Re-check overdue")),IF(N261="Amber",IF(I261="Partly met","Partly met","Re-check due ≤30 days"),""))</f>
        <v/>
      </c>
      <c r="P261" s="21" t="n"/>
    </row>
    <row r="262">
      <c r="A262" s="21" t="n"/>
      <c r="B262" s="22" t="n"/>
      <c r="C262" s="23" t="n"/>
      <c r="D262" s="23" t="n"/>
      <c r="E262" s="21" t="n"/>
      <c r="F262" s="21" t="n"/>
      <c r="G262" s="21" t="n"/>
      <c r="H262" s="24" t="n"/>
      <c r="I262" s="21" t="n"/>
      <c r="J262" s="21" t="n"/>
      <c r="K262" s="22" t="n"/>
      <c r="L262" s="25">
        <f>IF(ISNUMBER(H262),EDATE(H262,IF(ISNUMBER(K262),K262,3)),"")</f>
        <v/>
      </c>
      <c r="M262" s="26">
        <f>IF(L262="","",IF(ISNUMBER(L262),L262-TODAY(),"Check date"))</f>
        <v/>
      </c>
      <c r="N262" s="27">
        <f>IF(LEN(C262)=0,"",IF(I262="N/A","N/A",IF(OR(I262="",NOT(ISNUMBER(H262))),"Not checked",IF(OR(I262="Not met",LEN(J262)=0,M262&lt;0),"Red",IF(OR(I262="Partly met",M262&lt;=30),"Amber","Green")))))</f>
        <v/>
      </c>
      <c r="O262" s="27">
        <f>IF(N262="Red",IF(I262="Not met","Not met",IF(LEN(J262)=0,"No evidence location","Re-check overdue")),IF(N262="Amber",IF(I262="Partly met","Partly met","Re-check due ≤30 days"),""))</f>
        <v/>
      </c>
      <c r="P262" s="21" t="n"/>
    </row>
    <row r="263">
      <c r="A263" s="21" t="n"/>
      <c r="B263" s="22" t="n"/>
      <c r="C263" s="23" t="n"/>
      <c r="D263" s="23" t="n"/>
      <c r="E263" s="21" t="n"/>
      <c r="F263" s="21" t="n"/>
      <c r="G263" s="21" t="n"/>
      <c r="H263" s="24" t="n"/>
      <c r="I263" s="21" t="n"/>
      <c r="J263" s="21" t="n"/>
      <c r="K263" s="22" t="n"/>
      <c r="L263" s="25">
        <f>IF(ISNUMBER(H263),EDATE(H263,IF(ISNUMBER(K263),K263,3)),"")</f>
        <v/>
      </c>
      <c r="M263" s="26">
        <f>IF(L263="","",IF(ISNUMBER(L263),L263-TODAY(),"Check date"))</f>
        <v/>
      </c>
      <c r="N263" s="27">
        <f>IF(LEN(C263)=0,"",IF(I263="N/A","N/A",IF(OR(I263="",NOT(ISNUMBER(H263))),"Not checked",IF(OR(I263="Not met",LEN(J263)=0,M263&lt;0),"Red",IF(OR(I263="Partly met",M263&lt;=30),"Amber","Green")))))</f>
        <v/>
      </c>
      <c r="O263" s="27">
        <f>IF(N263="Red",IF(I263="Not met","Not met",IF(LEN(J263)=0,"No evidence location","Re-check overdue")),IF(N263="Amber",IF(I263="Partly met","Partly met","Re-check due ≤30 days"),""))</f>
        <v/>
      </c>
      <c r="P263" s="21" t="n"/>
    </row>
    <row r="264">
      <c r="A264" s="21" t="n"/>
      <c r="B264" s="22" t="n"/>
      <c r="C264" s="23" t="n"/>
      <c r="D264" s="23" t="n"/>
      <c r="E264" s="21" t="n"/>
      <c r="F264" s="21" t="n"/>
      <c r="G264" s="21" t="n"/>
      <c r="H264" s="24" t="n"/>
      <c r="I264" s="21" t="n"/>
      <c r="J264" s="21" t="n"/>
      <c r="K264" s="22" t="n"/>
      <c r="L264" s="25">
        <f>IF(ISNUMBER(H264),EDATE(H264,IF(ISNUMBER(K264),K264,3)),"")</f>
        <v/>
      </c>
      <c r="M264" s="26">
        <f>IF(L264="","",IF(ISNUMBER(L264),L264-TODAY(),"Check date"))</f>
        <v/>
      </c>
      <c r="N264" s="27">
        <f>IF(LEN(C264)=0,"",IF(I264="N/A","N/A",IF(OR(I264="",NOT(ISNUMBER(H264))),"Not checked",IF(OR(I264="Not met",LEN(J264)=0,M264&lt;0),"Red",IF(OR(I264="Partly met",M264&lt;=30),"Amber","Green")))))</f>
        <v/>
      </c>
      <c r="O264" s="27">
        <f>IF(N264="Red",IF(I264="Not met","Not met",IF(LEN(J264)=0,"No evidence location","Re-check overdue")),IF(N264="Amber",IF(I264="Partly met","Partly met","Re-check due ≤30 days"),""))</f>
        <v/>
      </c>
      <c r="P264" s="21" t="n"/>
    </row>
    <row r="265">
      <c r="A265" s="21" t="n"/>
      <c r="B265" s="22" t="n"/>
      <c r="C265" s="23" t="n"/>
      <c r="D265" s="23" t="n"/>
      <c r="E265" s="21" t="n"/>
      <c r="F265" s="21" t="n"/>
      <c r="G265" s="21" t="n"/>
      <c r="H265" s="24" t="n"/>
      <c r="I265" s="21" t="n"/>
      <c r="J265" s="21" t="n"/>
      <c r="K265" s="22" t="n"/>
      <c r="L265" s="25">
        <f>IF(ISNUMBER(H265),EDATE(H265,IF(ISNUMBER(K265),K265,3)),"")</f>
        <v/>
      </c>
      <c r="M265" s="26">
        <f>IF(L265="","",IF(ISNUMBER(L265),L265-TODAY(),"Check date"))</f>
        <v/>
      </c>
      <c r="N265" s="27">
        <f>IF(LEN(C265)=0,"",IF(I265="N/A","N/A",IF(OR(I265="",NOT(ISNUMBER(H265))),"Not checked",IF(OR(I265="Not met",LEN(J265)=0,M265&lt;0),"Red",IF(OR(I265="Partly met",M265&lt;=30),"Amber","Green")))))</f>
        <v/>
      </c>
      <c r="O265" s="27">
        <f>IF(N265="Red",IF(I265="Not met","Not met",IF(LEN(J265)=0,"No evidence location","Re-check overdue")),IF(N265="Amber",IF(I265="Partly met","Partly met","Re-check due ≤30 days"),""))</f>
        <v/>
      </c>
      <c r="P265" s="21" t="n"/>
    </row>
    <row r="266">
      <c r="A266" s="21" t="n"/>
      <c r="B266" s="22" t="n"/>
      <c r="C266" s="23" t="n"/>
      <c r="D266" s="23" t="n"/>
      <c r="E266" s="21" t="n"/>
      <c r="F266" s="21" t="n"/>
      <c r="G266" s="21" t="n"/>
      <c r="H266" s="24" t="n"/>
      <c r="I266" s="21" t="n"/>
      <c r="J266" s="21" t="n"/>
      <c r="K266" s="22" t="n"/>
      <c r="L266" s="25">
        <f>IF(ISNUMBER(H266),EDATE(H266,IF(ISNUMBER(K266),K266,3)),"")</f>
        <v/>
      </c>
      <c r="M266" s="26">
        <f>IF(L266="","",IF(ISNUMBER(L266),L266-TODAY(),"Check date"))</f>
        <v/>
      </c>
      <c r="N266" s="27">
        <f>IF(LEN(C266)=0,"",IF(I266="N/A","N/A",IF(OR(I266="",NOT(ISNUMBER(H266))),"Not checked",IF(OR(I266="Not met",LEN(J266)=0,M266&lt;0),"Red",IF(OR(I266="Partly met",M266&lt;=30),"Amber","Green")))))</f>
        <v/>
      </c>
      <c r="O266" s="27">
        <f>IF(N266="Red",IF(I266="Not met","Not met",IF(LEN(J266)=0,"No evidence location","Re-check overdue")),IF(N266="Amber",IF(I266="Partly met","Partly met","Re-check due ≤30 days"),""))</f>
        <v/>
      </c>
      <c r="P266" s="21" t="n"/>
    </row>
    <row r="267">
      <c r="A267" s="21" t="n"/>
      <c r="B267" s="22" t="n"/>
      <c r="C267" s="23" t="n"/>
      <c r="D267" s="23" t="n"/>
      <c r="E267" s="21" t="n"/>
      <c r="F267" s="21" t="n"/>
      <c r="G267" s="21" t="n"/>
      <c r="H267" s="24" t="n"/>
      <c r="I267" s="21" t="n"/>
      <c r="J267" s="21" t="n"/>
      <c r="K267" s="22" t="n"/>
      <c r="L267" s="25">
        <f>IF(ISNUMBER(H267),EDATE(H267,IF(ISNUMBER(K267),K267,3)),"")</f>
        <v/>
      </c>
      <c r="M267" s="26">
        <f>IF(L267="","",IF(ISNUMBER(L267),L267-TODAY(),"Check date"))</f>
        <v/>
      </c>
      <c r="N267" s="27">
        <f>IF(LEN(C267)=0,"",IF(I267="N/A","N/A",IF(OR(I267="",NOT(ISNUMBER(H267))),"Not checked",IF(OR(I267="Not met",LEN(J267)=0,M267&lt;0),"Red",IF(OR(I267="Partly met",M267&lt;=30),"Amber","Green")))))</f>
        <v/>
      </c>
      <c r="O267" s="27">
        <f>IF(N267="Red",IF(I267="Not met","Not met",IF(LEN(J267)=0,"No evidence location","Re-check overdue")),IF(N267="Amber",IF(I267="Partly met","Partly met","Re-check due ≤30 days"),""))</f>
        <v/>
      </c>
      <c r="P267" s="21" t="n"/>
    </row>
    <row r="268">
      <c r="A268" s="21" t="n"/>
      <c r="B268" s="22" t="n"/>
      <c r="C268" s="23" t="n"/>
      <c r="D268" s="23" t="n"/>
      <c r="E268" s="21" t="n"/>
      <c r="F268" s="21" t="n"/>
      <c r="G268" s="21" t="n"/>
      <c r="H268" s="24" t="n"/>
      <c r="I268" s="21" t="n"/>
      <c r="J268" s="21" t="n"/>
      <c r="K268" s="22" t="n"/>
      <c r="L268" s="25">
        <f>IF(ISNUMBER(H268),EDATE(H268,IF(ISNUMBER(K268),K268,3)),"")</f>
        <v/>
      </c>
      <c r="M268" s="26">
        <f>IF(L268="","",IF(ISNUMBER(L268),L268-TODAY(),"Check date"))</f>
        <v/>
      </c>
      <c r="N268" s="27">
        <f>IF(LEN(C268)=0,"",IF(I268="N/A","N/A",IF(OR(I268="",NOT(ISNUMBER(H268))),"Not checked",IF(OR(I268="Not met",LEN(J268)=0,M268&lt;0),"Red",IF(OR(I268="Partly met",M268&lt;=30),"Amber","Green")))))</f>
        <v/>
      </c>
      <c r="O268" s="27">
        <f>IF(N268="Red",IF(I268="Not met","Not met",IF(LEN(J268)=0,"No evidence location","Re-check overdue")),IF(N268="Amber",IF(I268="Partly met","Partly met","Re-check due ≤30 days"),""))</f>
        <v/>
      </c>
      <c r="P268" s="21" t="n"/>
    </row>
    <row r="269">
      <c r="A269" s="21" t="n"/>
      <c r="B269" s="22" t="n"/>
      <c r="C269" s="23" t="n"/>
      <c r="D269" s="23" t="n"/>
      <c r="E269" s="21" t="n"/>
      <c r="F269" s="21" t="n"/>
      <c r="G269" s="21" t="n"/>
      <c r="H269" s="24" t="n"/>
      <c r="I269" s="21" t="n"/>
      <c r="J269" s="21" t="n"/>
      <c r="K269" s="22" t="n"/>
      <c r="L269" s="25">
        <f>IF(ISNUMBER(H269),EDATE(H269,IF(ISNUMBER(K269),K269,3)),"")</f>
        <v/>
      </c>
      <c r="M269" s="26">
        <f>IF(L269="","",IF(ISNUMBER(L269),L269-TODAY(),"Check date"))</f>
        <v/>
      </c>
      <c r="N269" s="27">
        <f>IF(LEN(C269)=0,"",IF(I269="N/A","N/A",IF(OR(I269="",NOT(ISNUMBER(H269))),"Not checked",IF(OR(I269="Not met",LEN(J269)=0,M269&lt;0),"Red",IF(OR(I269="Partly met",M269&lt;=30),"Amber","Green")))))</f>
        <v/>
      </c>
      <c r="O269" s="27">
        <f>IF(N269="Red",IF(I269="Not met","Not met",IF(LEN(J269)=0,"No evidence location","Re-check overdue")),IF(N269="Amber",IF(I269="Partly met","Partly met","Re-check due ≤30 days"),""))</f>
        <v/>
      </c>
      <c r="P269" s="21" t="n"/>
    </row>
    <row r="270">
      <c r="A270" s="21" t="n"/>
      <c r="B270" s="22" t="n"/>
      <c r="C270" s="23" t="n"/>
      <c r="D270" s="23" t="n"/>
      <c r="E270" s="21" t="n"/>
      <c r="F270" s="21" t="n"/>
      <c r="G270" s="21" t="n"/>
      <c r="H270" s="24" t="n"/>
      <c r="I270" s="21" t="n"/>
      <c r="J270" s="21" t="n"/>
      <c r="K270" s="22" t="n"/>
      <c r="L270" s="25">
        <f>IF(ISNUMBER(H270),EDATE(H270,IF(ISNUMBER(K270),K270,3)),"")</f>
        <v/>
      </c>
      <c r="M270" s="26">
        <f>IF(L270="","",IF(ISNUMBER(L270),L270-TODAY(),"Check date"))</f>
        <v/>
      </c>
      <c r="N270" s="27">
        <f>IF(LEN(C270)=0,"",IF(I270="N/A","N/A",IF(OR(I270="",NOT(ISNUMBER(H270))),"Not checked",IF(OR(I270="Not met",LEN(J270)=0,M270&lt;0),"Red",IF(OR(I270="Partly met",M270&lt;=30),"Amber","Green")))))</f>
        <v/>
      </c>
      <c r="O270" s="27">
        <f>IF(N270="Red",IF(I270="Not met","Not met",IF(LEN(J270)=0,"No evidence location","Re-check overdue")),IF(N270="Amber",IF(I270="Partly met","Partly met","Re-check due ≤30 days"),""))</f>
        <v/>
      </c>
      <c r="P270" s="21" t="n"/>
    </row>
    <row r="271">
      <c r="A271" s="21" t="n"/>
      <c r="B271" s="22" t="n"/>
      <c r="C271" s="23" t="n"/>
      <c r="D271" s="23" t="n"/>
      <c r="E271" s="21" t="n"/>
      <c r="F271" s="21" t="n"/>
      <c r="G271" s="21" t="n"/>
      <c r="H271" s="24" t="n"/>
      <c r="I271" s="21" t="n"/>
      <c r="J271" s="21" t="n"/>
      <c r="K271" s="22" t="n"/>
      <c r="L271" s="25">
        <f>IF(ISNUMBER(H271),EDATE(H271,IF(ISNUMBER(K271),K271,3)),"")</f>
        <v/>
      </c>
      <c r="M271" s="26">
        <f>IF(L271="","",IF(ISNUMBER(L271),L271-TODAY(),"Check date"))</f>
        <v/>
      </c>
      <c r="N271" s="27">
        <f>IF(LEN(C271)=0,"",IF(I271="N/A","N/A",IF(OR(I271="",NOT(ISNUMBER(H271))),"Not checked",IF(OR(I271="Not met",LEN(J271)=0,M271&lt;0),"Red",IF(OR(I271="Partly met",M271&lt;=30),"Amber","Green")))))</f>
        <v/>
      </c>
      <c r="O271" s="27">
        <f>IF(N271="Red",IF(I271="Not met","Not met",IF(LEN(J271)=0,"No evidence location","Re-check overdue")),IF(N271="Amber",IF(I271="Partly met","Partly met","Re-check due ≤30 days"),""))</f>
        <v/>
      </c>
      <c r="P271" s="21" t="n"/>
    </row>
    <row r="272">
      <c r="A272" s="21" t="n"/>
      <c r="B272" s="22" t="n"/>
      <c r="C272" s="23" t="n"/>
      <c r="D272" s="23" t="n"/>
      <c r="E272" s="21" t="n"/>
      <c r="F272" s="21" t="n"/>
      <c r="G272" s="21" t="n"/>
      <c r="H272" s="24" t="n"/>
      <c r="I272" s="21" t="n"/>
      <c r="J272" s="21" t="n"/>
      <c r="K272" s="22" t="n"/>
      <c r="L272" s="25">
        <f>IF(ISNUMBER(H272),EDATE(H272,IF(ISNUMBER(K272),K272,3)),"")</f>
        <v/>
      </c>
      <c r="M272" s="26">
        <f>IF(L272="","",IF(ISNUMBER(L272),L272-TODAY(),"Check date"))</f>
        <v/>
      </c>
      <c r="N272" s="27">
        <f>IF(LEN(C272)=0,"",IF(I272="N/A","N/A",IF(OR(I272="",NOT(ISNUMBER(H272))),"Not checked",IF(OR(I272="Not met",LEN(J272)=0,M272&lt;0),"Red",IF(OR(I272="Partly met",M272&lt;=30),"Amber","Green")))))</f>
        <v/>
      </c>
      <c r="O272" s="27">
        <f>IF(N272="Red",IF(I272="Not met","Not met",IF(LEN(J272)=0,"No evidence location","Re-check overdue")),IF(N272="Amber",IF(I272="Partly met","Partly met","Re-check due ≤30 days"),""))</f>
        <v/>
      </c>
      <c r="P272" s="21" t="n"/>
    </row>
    <row r="273">
      <c r="A273" s="21" t="n"/>
      <c r="B273" s="22" t="n"/>
      <c r="C273" s="23" t="n"/>
      <c r="D273" s="23" t="n"/>
      <c r="E273" s="21" t="n"/>
      <c r="F273" s="21" t="n"/>
      <c r="G273" s="21" t="n"/>
      <c r="H273" s="24" t="n"/>
      <c r="I273" s="21" t="n"/>
      <c r="J273" s="21" t="n"/>
      <c r="K273" s="22" t="n"/>
      <c r="L273" s="25">
        <f>IF(ISNUMBER(H273),EDATE(H273,IF(ISNUMBER(K273),K273,3)),"")</f>
        <v/>
      </c>
      <c r="M273" s="26">
        <f>IF(L273="","",IF(ISNUMBER(L273),L273-TODAY(),"Check date"))</f>
        <v/>
      </c>
      <c r="N273" s="27">
        <f>IF(LEN(C273)=0,"",IF(I273="N/A","N/A",IF(OR(I273="",NOT(ISNUMBER(H273))),"Not checked",IF(OR(I273="Not met",LEN(J273)=0,M273&lt;0),"Red",IF(OR(I273="Partly met",M273&lt;=30),"Amber","Green")))))</f>
        <v/>
      </c>
      <c r="O273" s="27">
        <f>IF(N273="Red",IF(I273="Not met","Not met",IF(LEN(J273)=0,"No evidence location","Re-check overdue")),IF(N273="Amber",IF(I273="Partly met","Partly met","Re-check due ≤30 days"),""))</f>
        <v/>
      </c>
      <c r="P273" s="21" t="n"/>
    </row>
    <row r="274">
      <c r="A274" s="21" t="n"/>
      <c r="B274" s="22" t="n"/>
      <c r="C274" s="23" t="n"/>
      <c r="D274" s="23" t="n"/>
      <c r="E274" s="21" t="n"/>
      <c r="F274" s="21" t="n"/>
      <c r="G274" s="21" t="n"/>
      <c r="H274" s="24" t="n"/>
      <c r="I274" s="21" t="n"/>
      <c r="J274" s="21" t="n"/>
      <c r="K274" s="22" t="n"/>
      <c r="L274" s="25">
        <f>IF(ISNUMBER(H274),EDATE(H274,IF(ISNUMBER(K274),K274,3)),"")</f>
        <v/>
      </c>
      <c r="M274" s="26">
        <f>IF(L274="","",IF(ISNUMBER(L274),L274-TODAY(),"Check date"))</f>
        <v/>
      </c>
      <c r="N274" s="27">
        <f>IF(LEN(C274)=0,"",IF(I274="N/A","N/A",IF(OR(I274="",NOT(ISNUMBER(H274))),"Not checked",IF(OR(I274="Not met",LEN(J274)=0,M274&lt;0),"Red",IF(OR(I274="Partly met",M274&lt;=30),"Amber","Green")))))</f>
        <v/>
      </c>
      <c r="O274" s="27">
        <f>IF(N274="Red",IF(I274="Not met","Not met",IF(LEN(J274)=0,"No evidence location","Re-check overdue")),IF(N274="Amber",IF(I274="Partly met","Partly met","Re-check due ≤30 days"),""))</f>
        <v/>
      </c>
      <c r="P274" s="21" t="n"/>
    </row>
    <row r="275">
      <c r="A275" s="21" t="n"/>
      <c r="B275" s="22" t="n"/>
      <c r="C275" s="23" t="n"/>
      <c r="D275" s="23" t="n"/>
      <c r="E275" s="21" t="n"/>
      <c r="F275" s="21" t="n"/>
      <c r="G275" s="21" t="n"/>
      <c r="H275" s="24" t="n"/>
      <c r="I275" s="21" t="n"/>
      <c r="J275" s="21" t="n"/>
      <c r="K275" s="22" t="n"/>
      <c r="L275" s="25">
        <f>IF(ISNUMBER(H275),EDATE(H275,IF(ISNUMBER(K275),K275,3)),"")</f>
        <v/>
      </c>
      <c r="M275" s="26">
        <f>IF(L275="","",IF(ISNUMBER(L275),L275-TODAY(),"Check date"))</f>
        <v/>
      </c>
      <c r="N275" s="27">
        <f>IF(LEN(C275)=0,"",IF(I275="N/A","N/A",IF(OR(I275="",NOT(ISNUMBER(H275))),"Not checked",IF(OR(I275="Not met",LEN(J275)=0,M275&lt;0),"Red",IF(OR(I275="Partly met",M275&lt;=30),"Amber","Green")))))</f>
        <v/>
      </c>
      <c r="O275" s="27">
        <f>IF(N275="Red",IF(I275="Not met","Not met",IF(LEN(J275)=0,"No evidence location","Re-check overdue")),IF(N275="Amber",IF(I275="Partly met","Partly met","Re-check due ≤30 days"),""))</f>
        <v/>
      </c>
      <c r="P275" s="21" t="n"/>
    </row>
    <row r="276">
      <c r="A276" s="21" t="n"/>
      <c r="B276" s="22" t="n"/>
      <c r="C276" s="23" t="n"/>
      <c r="D276" s="23" t="n"/>
      <c r="E276" s="21" t="n"/>
      <c r="F276" s="21" t="n"/>
      <c r="G276" s="21" t="n"/>
      <c r="H276" s="24" t="n"/>
      <c r="I276" s="21" t="n"/>
      <c r="J276" s="21" t="n"/>
      <c r="K276" s="22" t="n"/>
      <c r="L276" s="25">
        <f>IF(ISNUMBER(H276),EDATE(H276,IF(ISNUMBER(K276),K276,3)),"")</f>
        <v/>
      </c>
      <c r="M276" s="26">
        <f>IF(L276="","",IF(ISNUMBER(L276),L276-TODAY(),"Check date"))</f>
        <v/>
      </c>
      <c r="N276" s="27">
        <f>IF(LEN(C276)=0,"",IF(I276="N/A","N/A",IF(OR(I276="",NOT(ISNUMBER(H276))),"Not checked",IF(OR(I276="Not met",LEN(J276)=0,M276&lt;0),"Red",IF(OR(I276="Partly met",M276&lt;=30),"Amber","Green")))))</f>
        <v/>
      </c>
      <c r="O276" s="27">
        <f>IF(N276="Red",IF(I276="Not met","Not met",IF(LEN(J276)=0,"No evidence location","Re-check overdue")),IF(N276="Amber",IF(I276="Partly met","Partly met","Re-check due ≤30 days"),""))</f>
        <v/>
      </c>
      <c r="P276" s="21" t="n"/>
    </row>
    <row r="277">
      <c r="A277" s="21" t="n"/>
      <c r="B277" s="22" t="n"/>
      <c r="C277" s="23" t="n"/>
      <c r="D277" s="23" t="n"/>
      <c r="E277" s="21" t="n"/>
      <c r="F277" s="21" t="n"/>
      <c r="G277" s="21" t="n"/>
      <c r="H277" s="24" t="n"/>
      <c r="I277" s="21" t="n"/>
      <c r="J277" s="21" t="n"/>
      <c r="K277" s="22" t="n"/>
      <c r="L277" s="25">
        <f>IF(ISNUMBER(H277),EDATE(H277,IF(ISNUMBER(K277),K277,3)),"")</f>
        <v/>
      </c>
      <c r="M277" s="26">
        <f>IF(L277="","",IF(ISNUMBER(L277),L277-TODAY(),"Check date"))</f>
        <v/>
      </c>
      <c r="N277" s="27">
        <f>IF(LEN(C277)=0,"",IF(I277="N/A","N/A",IF(OR(I277="",NOT(ISNUMBER(H277))),"Not checked",IF(OR(I277="Not met",LEN(J277)=0,M277&lt;0),"Red",IF(OR(I277="Partly met",M277&lt;=30),"Amber","Green")))))</f>
        <v/>
      </c>
      <c r="O277" s="27">
        <f>IF(N277="Red",IF(I277="Not met","Not met",IF(LEN(J277)=0,"No evidence location","Re-check overdue")),IF(N277="Amber",IF(I277="Partly met","Partly met","Re-check due ≤30 days"),""))</f>
        <v/>
      </c>
      <c r="P277" s="21" t="n"/>
    </row>
    <row r="278">
      <c r="A278" s="21" t="n"/>
      <c r="B278" s="22" t="n"/>
      <c r="C278" s="23" t="n"/>
      <c r="D278" s="23" t="n"/>
      <c r="E278" s="21" t="n"/>
      <c r="F278" s="21" t="n"/>
      <c r="G278" s="21" t="n"/>
      <c r="H278" s="24" t="n"/>
      <c r="I278" s="21" t="n"/>
      <c r="J278" s="21" t="n"/>
      <c r="K278" s="22" t="n"/>
      <c r="L278" s="25">
        <f>IF(ISNUMBER(H278),EDATE(H278,IF(ISNUMBER(K278),K278,3)),"")</f>
        <v/>
      </c>
      <c r="M278" s="26">
        <f>IF(L278="","",IF(ISNUMBER(L278),L278-TODAY(),"Check date"))</f>
        <v/>
      </c>
      <c r="N278" s="27">
        <f>IF(LEN(C278)=0,"",IF(I278="N/A","N/A",IF(OR(I278="",NOT(ISNUMBER(H278))),"Not checked",IF(OR(I278="Not met",LEN(J278)=0,M278&lt;0),"Red",IF(OR(I278="Partly met",M278&lt;=30),"Amber","Green")))))</f>
        <v/>
      </c>
      <c r="O278" s="27">
        <f>IF(N278="Red",IF(I278="Not met","Not met",IF(LEN(J278)=0,"No evidence location","Re-check overdue")),IF(N278="Amber",IF(I278="Partly met","Partly met","Re-check due ≤30 days"),""))</f>
        <v/>
      </c>
      <c r="P278" s="21" t="n"/>
    </row>
    <row r="279">
      <c r="A279" s="21" t="n"/>
      <c r="B279" s="22" t="n"/>
      <c r="C279" s="23" t="n"/>
      <c r="D279" s="23" t="n"/>
      <c r="E279" s="21" t="n"/>
      <c r="F279" s="21" t="n"/>
      <c r="G279" s="21" t="n"/>
      <c r="H279" s="24" t="n"/>
      <c r="I279" s="21" t="n"/>
      <c r="J279" s="21" t="n"/>
      <c r="K279" s="22" t="n"/>
      <c r="L279" s="25">
        <f>IF(ISNUMBER(H279),EDATE(H279,IF(ISNUMBER(K279),K279,3)),"")</f>
        <v/>
      </c>
      <c r="M279" s="26">
        <f>IF(L279="","",IF(ISNUMBER(L279),L279-TODAY(),"Check date"))</f>
        <v/>
      </c>
      <c r="N279" s="27">
        <f>IF(LEN(C279)=0,"",IF(I279="N/A","N/A",IF(OR(I279="",NOT(ISNUMBER(H279))),"Not checked",IF(OR(I279="Not met",LEN(J279)=0,M279&lt;0),"Red",IF(OR(I279="Partly met",M279&lt;=30),"Amber","Green")))))</f>
        <v/>
      </c>
      <c r="O279" s="27">
        <f>IF(N279="Red",IF(I279="Not met","Not met",IF(LEN(J279)=0,"No evidence location","Re-check overdue")),IF(N279="Amber",IF(I279="Partly met","Partly met","Re-check due ≤30 days"),""))</f>
        <v/>
      </c>
      <c r="P279" s="21" t="n"/>
    </row>
    <row r="280">
      <c r="A280" s="21" t="n"/>
      <c r="B280" s="22" t="n"/>
      <c r="C280" s="23" t="n"/>
      <c r="D280" s="23" t="n"/>
      <c r="E280" s="21" t="n"/>
      <c r="F280" s="21" t="n"/>
      <c r="G280" s="21" t="n"/>
      <c r="H280" s="24" t="n"/>
      <c r="I280" s="21" t="n"/>
      <c r="J280" s="21" t="n"/>
      <c r="K280" s="22" t="n"/>
      <c r="L280" s="25">
        <f>IF(ISNUMBER(H280),EDATE(H280,IF(ISNUMBER(K280),K280,3)),"")</f>
        <v/>
      </c>
      <c r="M280" s="26">
        <f>IF(L280="","",IF(ISNUMBER(L280),L280-TODAY(),"Check date"))</f>
        <v/>
      </c>
      <c r="N280" s="27">
        <f>IF(LEN(C280)=0,"",IF(I280="N/A","N/A",IF(OR(I280="",NOT(ISNUMBER(H280))),"Not checked",IF(OR(I280="Not met",LEN(J280)=0,M280&lt;0),"Red",IF(OR(I280="Partly met",M280&lt;=30),"Amber","Green")))))</f>
        <v/>
      </c>
      <c r="O280" s="27">
        <f>IF(N280="Red",IF(I280="Not met","Not met",IF(LEN(J280)=0,"No evidence location","Re-check overdue")),IF(N280="Amber",IF(I280="Partly met","Partly met","Re-check due ≤30 days"),""))</f>
        <v/>
      </c>
      <c r="P280" s="21" t="n"/>
    </row>
    <row r="281">
      <c r="A281" s="21" t="n"/>
      <c r="B281" s="22" t="n"/>
      <c r="C281" s="23" t="n"/>
      <c r="D281" s="23" t="n"/>
      <c r="E281" s="21" t="n"/>
      <c r="F281" s="21" t="n"/>
      <c r="G281" s="21" t="n"/>
      <c r="H281" s="24" t="n"/>
      <c r="I281" s="21" t="n"/>
      <c r="J281" s="21" t="n"/>
      <c r="K281" s="22" t="n"/>
      <c r="L281" s="25">
        <f>IF(ISNUMBER(H281),EDATE(H281,IF(ISNUMBER(K281),K281,3)),"")</f>
        <v/>
      </c>
      <c r="M281" s="26">
        <f>IF(L281="","",IF(ISNUMBER(L281),L281-TODAY(),"Check date"))</f>
        <v/>
      </c>
      <c r="N281" s="27">
        <f>IF(LEN(C281)=0,"",IF(I281="N/A","N/A",IF(OR(I281="",NOT(ISNUMBER(H281))),"Not checked",IF(OR(I281="Not met",LEN(J281)=0,M281&lt;0),"Red",IF(OR(I281="Partly met",M281&lt;=30),"Amber","Green")))))</f>
        <v/>
      </c>
      <c r="O281" s="27">
        <f>IF(N281="Red",IF(I281="Not met","Not met",IF(LEN(J281)=0,"No evidence location","Re-check overdue")),IF(N281="Amber",IF(I281="Partly met","Partly met","Re-check due ≤30 days"),""))</f>
        <v/>
      </c>
      <c r="P281" s="21" t="n"/>
    </row>
    <row r="282">
      <c r="A282" s="21" t="n"/>
      <c r="B282" s="22" t="n"/>
      <c r="C282" s="23" t="n"/>
      <c r="D282" s="23" t="n"/>
      <c r="E282" s="21" t="n"/>
      <c r="F282" s="21" t="n"/>
      <c r="G282" s="21" t="n"/>
      <c r="H282" s="24" t="n"/>
      <c r="I282" s="21" t="n"/>
      <c r="J282" s="21" t="n"/>
      <c r="K282" s="22" t="n"/>
      <c r="L282" s="25">
        <f>IF(ISNUMBER(H282),EDATE(H282,IF(ISNUMBER(K282),K282,3)),"")</f>
        <v/>
      </c>
      <c r="M282" s="26">
        <f>IF(L282="","",IF(ISNUMBER(L282),L282-TODAY(),"Check date"))</f>
        <v/>
      </c>
      <c r="N282" s="27">
        <f>IF(LEN(C282)=0,"",IF(I282="N/A","N/A",IF(OR(I282="",NOT(ISNUMBER(H282))),"Not checked",IF(OR(I282="Not met",LEN(J282)=0,M282&lt;0),"Red",IF(OR(I282="Partly met",M282&lt;=30),"Amber","Green")))))</f>
        <v/>
      </c>
      <c r="O282" s="27">
        <f>IF(N282="Red",IF(I282="Not met","Not met",IF(LEN(J282)=0,"No evidence location","Re-check overdue")),IF(N282="Amber",IF(I282="Partly met","Partly met","Re-check due ≤30 days"),""))</f>
        <v/>
      </c>
      <c r="P282" s="21" t="n"/>
    </row>
    <row r="283">
      <c r="A283" s="21" t="n"/>
      <c r="B283" s="22" t="n"/>
      <c r="C283" s="23" t="n"/>
      <c r="D283" s="23" t="n"/>
      <c r="E283" s="21" t="n"/>
      <c r="F283" s="21" t="n"/>
      <c r="G283" s="21" t="n"/>
      <c r="H283" s="24" t="n"/>
      <c r="I283" s="21" t="n"/>
      <c r="J283" s="21" t="n"/>
      <c r="K283" s="22" t="n"/>
      <c r="L283" s="25">
        <f>IF(ISNUMBER(H283),EDATE(H283,IF(ISNUMBER(K283),K283,3)),"")</f>
        <v/>
      </c>
      <c r="M283" s="26">
        <f>IF(L283="","",IF(ISNUMBER(L283),L283-TODAY(),"Check date"))</f>
        <v/>
      </c>
      <c r="N283" s="27">
        <f>IF(LEN(C283)=0,"",IF(I283="N/A","N/A",IF(OR(I283="",NOT(ISNUMBER(H283))),"Not checked",IF(OR(I283="Not met",LEN(J283)=0,M283&lt;0),"Red",IF(OR(I283="Partly met",M283&lt;=30),"Amber","Green")))))</f>
        <v/>
      </c>
      <c r="O283" s="27">
        <f>IF(N283="Red",IF(I283="Not met","Not met",IF(LEN(J283)=0,"No evidence location","Re-check overdue")),IF(N283="Amber",IF(I283="Partly met","Partly met","Re-check due ≤30 days"),""))</f>
        <v/>
      </c>
      <c r="P283" s="21" t="n"/>
    </row>
    <row r="284">
      <c r="A284" s="21" t="n"/>
      <c r="B284" s="22" t="n"/>
      <c r="C284" s="23" t="n"/>
      <c r="D284" s="23" t="n"/>
      <c r="E284" s="21" t="n"/>
      <c r="F284" s="21" t="n"/>
      <c r="G284" s="21" t="n"/>
      <c r="H284" s="24" t="n"/>
      <c r="I284" s="21" t="n"/>
      <c r="J284" s="21" t="n"/>
      <c r="K284" s="22" t="n"/>
      <c r="L284" s="25">
        <f>IF(ISNUMBER(H284),EDATE(H284,IF(ISNUMBER(K284),K284,3)),"")</f>
        <v/>
      </c>
      <c r="M284" s="26">
        <f>IF(L284="","",IF(ISNUMBER(L284),L284-TODAY(),"Check date"))</f>
        <v/>
      </c>
      <c r="N284" s="27">
        <f>IF(LEN(C284)=0,"",IF(I284="N/A","N/A",IF(OR(I284="",NOT(ISNUMBER(H284))),"Not checked",IF(OR(I284="Not met",LEN(J284)=0,M284&lt;0),"Red",IF(OR(I284="Partly met",M284&lt;=30),"Amber","Green")))))</f>
        <v/>
      </c>
      <c r="O284" s="27">
        <f>IF(N284="Red",IF(I284="Not met","Not met",IF(LEN(J284)=0,"No evidence location","Re-check overdue")),IF(N284="Amber",IF(I284="Partly met","Partly met","Re-check due ≤30 days"),""))</f>
        <v/>
      </c>
      <c r="P284" s="21" t="n"/>
    </row>
    <row r="285">
      <c r="A285" s="21" t="n"/>
      <c r="B285" s="22" t="n"/>
      <c r="C285" s="23" t="n"/>
      <c r="D285" s="23" t="n"/>
      <c r="E285" s="21" t="n"/>
      <c r="F285" s="21" t="n"/>
      <c r="G285" s="21" t="n"/>
      <c r="H285" s="24" t="n"/>
      <c r="I285" s="21" t="n"/>
      <c r="J285" s="21" t="n"/>
      <c r="K285" s="22" t="n"/>
      <c r="L285" s="25">
        <f>IF(ISNUMBER(H285),EDATE(H285,IF(ISNUMBER(K285),K285,3)),"")</f>
        <v/>
      </c>
      <c r="M285" s="26">
        <f>IF(L285="","",IF(ISNUMBER(L285),L285-TODAY(),"Check date"))</f>
        <v/>
      </c>
      <c r="N285" s="27">
        <f>IF(LEN(C285)=0,"",IF(I285="N/A","N/A",IF(OR(I285="",NOT(ISNUMBER(H285))),"Not checked",IF(OR(I285="Not met",LEN(J285)=0,M285&lt;0),"Red",IF(OR(I285="Partly met",M285&lt;=30),"Amber","Green")))))</f>
        <v/>
      </c>
      <c r="O285" s="27">
        <f>IF(N285="Red",IF(I285="Not met","Not met",IF(LEN(J285)=0,"No evidence location","Re-check overdue")),IF(N285="Amber",IF(I285="Partly met","Partly met","Re-check due ≤30 days"),""))</f>
        <v/>
      </c>
      <c r="P285" s="21" t="n"/>
    </row>
    <row r="286">
      <c r="A286" s="21" t="n"/>
      <c r="B286" s="22" t="n"/>
      <c r="C286" s="23" t="n"/>
      <c r="D286" s="23" t="n"/>
      <c r="E286" s="21" t="n"/>
      <c r="F286" s="21" t="n"/>
      <c r="G286" s="21" t="n"/>
      <c r="H286" s="24" t="n"/>
      <c r="I286" s="21" t="n"/>
      <c r="J286" s="21" t="n"/>
      <c r="K286" s="22" t="n"/>
      <c r="L286" s="25">
        <f>IF(ISNUMBER(H286),EDATE(H286,IF(ISNUMBER(K286),K286,3)),"")</f>
        <v/>
      </c>
      <c r="M286" s="26">
        <f>IF(L286="","",IF(ISNUMBER(L286),L286-TODAY(),"Check date"))</f>
        <v/>
      </c>
      <c r="N286" s="27">
        <f>IF(LEN(C286)=0,"",IF(I286="N/A","N/A",IF(OR(I286="",NOT(ISNUMBER(H286))),"Not checked",IF(OR(I286="Not met",LEN(J286)=0,M286&lt;0),"Red",IF(OR(I286="Partly met",M286&lt;=30),"Amber","Green")))))</f>
        <v/>
      </c>
      <c r="O286" s="27">
        <f>IF(N286="Red",IF(I286="Not met","Not met",IF(LEN(J286)=0,"No evidence location","Re-check overdue")),IF(N286="Amber",IF(I286="Partly met","Partly met","Re-check due ≤30 days"),""))</f>
        <v/>
      </c>
      <c r="P286" s="21" t="n"/>
    </row>
    <row r="287">
      <c r="A287" s="21" t="n"/>
      <c r="B287" s="22" t="n"/>
      <c r="C287" s="23" t="n"/>
      <c r="D287" s="23" t="n"/>
      <c r="E287" s="21" t="n"/>
      <c r="F287" s="21" t="n"/>
      <c r="G287" s="21" t="n"/>
      <c r="H287" s="24" t="n"/>
      <c r="I287" s="21" t="n"/>
      <c r="J287" s="21" t="n"/>
      <c r="K287" s="22" t="n"/>
      <c r="L287" s="25">
        <f>IF(ISNUMBER(H287),EDATE(H287,IF(ISNUMBER(K287),K287,3)),"")</f>
        <v/>
      </c>
      <c r="M287" s="26">
        <f>IF(L287="","",IF(ISNUMBER(L287),L287-TODAY(),"Check date"))</f>
        <v/>
      </c>
      <c r="N287" s="27">
        <f>IF(LEN(C287)=0,"",IF(I287="N/A","N/A",IF(OR(I287="",NOT(ISNUMBER(H287))),"Not checked",IF(OR(I287="Not met",LEN(J287)=0,M287&lt;0),"Red",IF(OR(I287="Partly met",M287&lt;=30),"Amber","Green")))))</f>
        <v/>
      </c>
      <c r="O287" s="27">
        <f>IF(N287="Red",IF(I287="Not met","Not met",IF(LEN(J287)=0,"No evidence location","Re-check overdue")),IF(N287="Amber",IF(I287="Partly met","Partly met","Re-check due ≤30 days"),""))</f>
        <v/>
      </c>
      <c r="P287" s="21" t="n"/>
    </row>
    <row r="288">
      <c r="A288" s="21" t="n"/>
      <c r="B288" s="22" t="n"/>
      <c r="C288" s="23" t="n"/>
      <c r="D288" s="23" t="n"/>
      <c r="E288" s="21" t="n"/>
      <c r="F288" s="21" t="n"/>
      <c r="G288" s="21" t="n"/>
      <c r="H288" s="24" t="n"/>
      <c r="I288" s="21" t="n"/>
      <c r="J288" s="21" t="n"/>
      <c r="K288" s="22" t="n"/>
      <c r="L288" s="25">
        <f>IF(ISNUMBER(H288),EDATE(H288,IF(ISNUMBER(K288),K288,3)),"")</f>
        <v/>
      </c>
      <c r="M288" s="26">
        <f>IF(L288="","",IF(ISNUMBER(L288),L288-TODAY(),"Check date"))</f>
        <v/>
      </c>
      <c r="N288" s="27">
        <f>IF(LEN(C288)=0,"",IF(I288="N/A","N/A",IF(OR(I288="",NOT(ISNUMBER(H288))),"Not checked",IF(OR(I288="Not met",LEN(J288)=0,M288&lt;0),"Red",IF(OR(I288="Partly met",M288&lt;=30),"Amber","Green")))))</f>
        <v/>
      </c>
      <c r="O288" s="27">
        <f>IF(N288="Red",IF(I288="Not met","Not met",IF(LEN(J288)=0,"No evidence location","Re-check overdue")),IF(N288="Amber",IF(I288="Partly met","Partly met","Re-check due ≤30 days"),""))</f>
        <v/>
      </c>
      <c r="P288" s="21" t="n"/>
    </row>
    <row r="289">
      <c r="A289" s="21" t="n"/>
      <c r="B289" s="22" t="n"/>
      <c r="C289" s="23" t="n"/>
      <c r="D289" s="23" t="n"/>
      <c r="E289" s="21" t="n"/>
      <c r="F289" s="21" t="n"/>
      <c r="G289" s="21" t="n"/>
      <c r="H289" s="24" t="n"/>
      <c r="I289" s="21" t="n"/>
      <c r="J289" s="21" t="n"/>
      <c r="K289" s="22" t="n"/>
      <c r="L289" s="25">
        <f>IF(ISNUMBER(H289),EDATE(H289,IF(ISNUMBER(K289),K289,3)),"")</f>
        <v/>
      </c>
      <c r="M289" s="26">
        <f>IF(L289="","",IF(ISNUMBER(L289),L289-TODAY(),"Check date"))</f>
        <v/>
      </c>
      <c r="N289" s="27">
        <f>IF(LEN(C289)=0,"",IF(I289="N/A","N/A",IF(OR(I289="",NOT(ISNUMBER(H289))),"Not checked",IF(OR(I289="Not met",LEN(J289)=0,M289&lt;0),"Red",IF(OR(I289="Partly met",M289&lt;=30),"Amber","Green")))))</f>
        <v/>
      </c>
      <c r="O289" s="27">
        <f>IF(N289="Red",IF(I289="Not met","Not met",IF(LEN(J289)=0,"No evidence location","Re-check overdue")),IF(N289="Amber",IF(I289="Partly met","Partly met","Re-check due ≤30 days"),""))</f>
        <v/>
      </c>
      <c r="P289" s="21" t="n"/>
    </row>
    <row r="290">
      <c r="A290" s="21" t="n"/>
      <c r="B290" s="22" t="n"/>
      <c r="C290" s="23" t="n"/>
      <c r="D290" s="23" t="n"/>
      <c r="E290" s="21" t="n"/>
      <c r="F290" s="21" t="n"/>
      <c r="G290" s="21" t="n"/>
      <c r="H290" s="24" t="n"/>
      <c r="I290" s="21" t="n"/>
      <c r="J290" s="21" t="n"/>
      <c r="K290" s="22" t="n"/>
      <c r="L290" s="25">
        <f>IF(ISNUMBER(H290),EDATE(H290,IF(ISNUMBER(K290),K290,3)),"")</f>
        <v/>
      </c>
      <c r="M290" s="26">
        <f>IF(L290="","",IF(ISNUMBER(L290),L290-TODAY(),"Check date"))</f>
        <v/>
      </c>
      <c r="N290" s="27">
        <f>IF(LEN(C290)=0,"",IF(I290="N/A","N/A",IF(OR(I290="",NOT(ISNUMBER(H290))),"Not checked",IF(OR(I290="Not met",LEN(J290)=0,M290&lt;0),"Red",IF(OR(I290="Partly met",M290&lt;=30),"Amber","Green")))))</f>
        <v/>
      </c>
      <c r="O290" s="27">
        <f>IF(N290="Red",IF(I290="Not met","Not met",IF(LEN(J290)=0,"No evidence location","Re-check overdue")),IF(N290="Amber",IF(I290="Partly met","Partly met","Re-check due ≤30 days"),""))</f>
        <v/>
      </c>
      <c r="P290" s="21" t="n"/>
    </row>
    <row r="291">
      <c r="A291" s="21" t="n"/>
      <c r="B291" s="22" t="n"/>
      <c r="C291" s="23" t="n"/>
      <c r="D291" s="23" t="n"/>
      <c r="E291" s="21" t="n"/>
      <c r="F291" s="21" t="n"/>
      <c r="G291" s="21" t="n"/>
      <c r="H291" s="24" t="n"/>
      <c r="I291" s="21" t="n"/>
      <c r="J291" s="21" t="n"/>
      <c r="K291" s="22" t="n"/>
      <c r="L291" s="25">
        <f>IF(ISNUMBER(H291),EDATE(H291,IF(ISNUMBER(K291),K291,3)),"")</f>
        <v/>
      </c>
      <c r="M291" s="26">
        <f>IF(L291="","",IF(ISNUMBER(L291),L291-TODAY(),"Check date"))</f>
        <v/>
      </c>
      <c r="N291" s="27">
        <f>IF(LEN(C291)=0,"",IF(I291="N/A","N/A",IF(OR(I291="",NOT(ISNUMBER(H291))),"Not checked",IF(OR(I291="Not met",LEN(J291)=0,M291&lt;0),"Red",IF(OR(I291="Partly met",M291&lt;=30),"Amber","Green")))))</f>
        <v/>
      </c>
      <c r="O291" s="27">
        <f>IF(N291="Red",IF(I291="Not met","Not met",IF(LEN(J291)=0,"No evidence location","Re-check overdue")),IF(N291="Amber",IF(I291="Partly met","Partly met","Re-check due ≤30 days"),""))</f>
        <v/>
      </c>
      <c r="P291" s="21" t="n"/>
    </row>
    <row r="292">
      <c r="A292" s="21" t="n"/>
      <c r="B292" s="22" t="n"/>
      <c r="C292" s="23" t="n"/>
      <c r="D292" s="23" t="n"/>
      <c r="E292" s="21" t="n"/>
      <c r="F292" s="21" t="n"/>
      <c r="G292" s="21" t="n"/>
      <c r="H292" s="24" t="n"/>
      <c r="I292" s="21" t="n"/>
      <c r="J292" s="21" t="n"/>
      <c r="K292" s="22" t="n"/>
      <c r="L292" s="25">
        <f>IF(ISNUMBER(H292),EDATE(H292,IF(ISNUMBER(K292),K292,3)),"")</f>
        <v/>
      </c>
      <c r="M292" s="26">
        <f>IF(L292="","",IF(ISNUMBER(L292),L292-TODAY(),"Check date"))</f>
        <v/>
      </c>
      <c r="N292" s="27">
        <f>IF(LEN(C292)=0,"",IF(I292="N/A","N/A",IF(OR(I292="",NOT(ISNUMBER(H292))),"Not checked",IF(OR(I292="Not met",LEN(J292)=0,M292&lt;0),"Red",IF(OR(I292="Partly met",M292&lt;=30),"Amber","Green")))))</f>
        <v/>
      </c>
      <c r="O292" s="27">
        <f>IF(N292="Red",IF(I292="Not met","Not met",IF(LEN(J292)=0,"No evidence location","Re-check overdue")),IF(N292="Amber",IF(I292="Partly met","Partly met","Re-check due ≤30 days"),""))</f>
        <v/>
      </c>
      <c r="P292" s="21" t="n"/>
    </row>
    <row r="293">
      <c r="A293" s="21" t="n"/>
      <c r="B293" s="22" t="n"/>
      <c r="C293" s="23" t="n"/>
      <c r="D293" s="23" t="n"/>
      <c r="E293" s="21" t="n"/>
      <c r="F293" s="21" t="n"/>
      <c r="G293" s="21" t="n"/>
      <c r="H293" s="24" t="n"/>
      <c r="I293" s="21" t="n"/>
      <c r="J293" s="21" t="n"/>
      <c r="K293" s="22" t="n"/>
      <c r="L293" s="25">
        <f>IF(ISNUMBER(H293),EDATE(H293,IF(ISNUMBER(K293),K293,3)),"")</f>
        <v/>
      </c>
      <c r="M293" s="26">
        <f>IF(L293="","",IF(ISNUMBER(L293),L293-TODAY(),"Check date"))</f>
        <v/>
      </c>
      <c r="N293" s="27">
        <f>IF(LEN(C293)=0,"",IF(I293="N/A","N/A",IF(OR(I293="",NOT(ISNUMBER(H293))),"Not checked",IF(OR(I293="Not met",LEN(J293)=0,M293&lt;0),"Red",IF(OR(I293="Partly met",M293&lt;=30),"Amber","Green")))))</f>
        <v/>
      </c>
      <c r="O293" s="27">
        <f>IF(N293="Red",IF(I293="Not met","Not met",IF(LEN(J293)=0,"No evidence location","Re-check overdue")),IF(N293="Amber",IF(I293="Partly met","Partly met","Re-check due ≤30 days"),""))</f>
        <v/>
      </c>
      <c r="P293" s="21" t="n"/>
    </row>
    <row r="294">
      <c r="A294" s="21" t="n"/>
      <c r="B294" s="22" t="n"/>
      <c r="C294" s="23" t="n"/>
      <c r="D294" s="23" t="n"/>
      <c r="E294" s="21" t="n"/>
      <c r="F294" s="21" t="n"/>
      <c r="G294" s="21" t="n"/>
      <c r="H294" s="24" t="n"/>
      <c r="I294" s="21" t="n"/>
      <c r="J294" s="21" t="n"/>
      <c r="K294" s="22" t="n"/>
      <c r="L294" s="25">
        <f>IF(ISNUMBER(H294),EDATE(H294,IF(ISNUMBER(K294),K294,3)),"")</f>
        <v/>
      </c>
      <c r="M294" s="26">
        <f>IF(L294="","",IF(ISNUMBER(L294),L294-TODAY(),"Check date"))</f>
        <v/>
      </c>
      <c r="N294" s="27">
        <f>IF(LEN(C294)=0,"",IF(I294="N/A","N/A",IF(OR(I294="",NOT(ISNUMBER(H294))),"Not checked",IF(OR(I294="Not met",LEN(J294)=0,M294&lt;0),"Red",IF(OR(I294="Partly met",M294&lt;=30),"Amber","Green")))))</f>
        <v/>
      </c>
      <c r="O294" s="27">
        <f>IF(N294="Red",IF(I294="Not met","Not met",IF(LEN(J294)=0,"No evidence location","Re-check overdue")),IF(N294="Amber",IF(I294="Partly met","Partly met","Re-check due ≤30 days"),""))</f>
        <v/>
      </c>
      <c r="P294" s="21" t="n"/>
    </row>
    <row r="295">
      <c r="A295" s="21" t="n"/>
      <c r="B295" s="22" t="n"/>
      <c r="C295" s="23" t="n"/>
      <c r="D295" s="23" t="n"/>
      <c r="E295" s="21" t="n"/>
      <c r="F295" s="21" t="n"/>
      <c r="G295" s="21" t="n"/>
      <c r="H295" s="24" t="n"/>
      <c r="I295" s="21" t="n"/>
      <c r="J295" s="21" t="n"/>
      <c r="K295" s="22" t="n"/>
      <c r="L295" s="25">
        <f>IF(ISNUMBER(H295),EDATE(H295,IF(ISNUMBER(K295),K295,3)),"")</f>
        <v/>
      </c>
      <c r="M295" s="26">
        <f>IF(L295="","",IF(ISNUMBER(L295),L295-TODAY(),"Check date"))</f>
        <v/>
      </c>
      <c r="N295" s="27">
        <f>IF(LEN(C295)=0,"",IF(I295="N/A","N/A",IF(OR(I295="",NOT(ISNUMBER(H295))),"Not checked",IF(OR(I295="Not met",LEN(J295)=0,M295&lt;0),"Red",IF(OR(I295="Partly met",M295&lt;=30),"Amber","Green")))))</f>
        <v/>
      </c>
      <c r="O295" s="27">
        <f>IF(N295="Red",IF(I295="Not met","Not met",IF(LEN(J295)=0,"No evidence location","Re-check overdue")),IF(N295="Amber",IF(I295="Partly met","Partly met","Re-check due ≤30 days"),""))</f>
        <v/>
      </c>
      <c r="P295" s="21" t="n"/>
    </row>
    <row r="296">
      <c r="A296" s="21" t="n"/>
      <c r="B296" s="22" t="n"/>
      <c r="C296" s="23" t="n"/>
      <c r="D296" s="23" t="n"/>
      <c r="E296" s="21" t="n"/>
      <c r="F296" s="21" t="n"/>
      <c r="G296" s="21" t="n"/>
      <c r="H296" s="24" t="n"/>
      <c r="I296" s="21" t="n"/>
      <c r="J296" s="21" t="n"/>
      <c r="K296" s="22" t="n"/>
      <c r="L296" s="25">
        <f>IF(ISNUMBER(H296),EDATE(H296,IF(ISNUMBER(K296),K296,3)),"")</f>
        <v/>
      </c>
      <c r="M296" s="26">
        <f>IF(L296="","",IF(ISNUMBER(L296),L296-TODAY(),"Check date"))</f>
        <v/>
      </c>
      <c r="N296" s="27">
        <f>IF(LEN(C296)=0,"",IF(I296="N/A","N/A",IF(OR(I296="",NOT(ISNUMBER(H296))),"Not checked",IF(OR(I296="Not met",LEN(J296)=0,M296&lt;0),"Red",IF(OR(I296="Partly met",M296&lt;=30),"Amber","Green")))))</f>
        <v/>
      </c>
      <c r="O296" s="27">
        <f>IF(N296="Red",IF(I296="Not met","Not met",IF(LEN(J296)=0,"No evidence location","Re-check overdue")),IF(N296="Amber",IF(I296="Partly met","Partly met","Re-check due ≤30 days"),""))</f>
        <v/>
      </c>
      <c r="P296" s="21" t="n"/>
    </row>
    <row r="297">
      <c r="A297" s="21" t="n"/>
      <c r="B297" s="22" t="n"/>
      <c r="C297" s="23" t="n"/>
      <c r="D297" s="23" t="n"/>
      <c r="E297" s="21" t="n"/>
      <c r="F297" s="21" t="n"/>
      <c r="G297" s="21" t="n"/>
      <c r="H297" s="24" t="n"/>
      <c r="I297" s="21" t="n"/>
      <c r="J297" s="21" t="n"/>
      <c r="K297" s="22" t="n"/>
      <c r="L297" s="25">
        <f>IF(ISNUMBER(H297),EDATE(H297,IF(ISNUMBER(K297),K297,3)),"")</f>
        <v/>
      </c>
      <c r="M297" s="26">
        <f>IF(L297="","",IF(ISNUMBER(L297),L297-TODAY(),"Check date"))</f>
        <v/>
      </c>
      <c r="N297" s="27">
        <f>IF(LEN(C297)=0,"",IF(I297="N/A","N/A",IF(OR(I297="",NOT(ISNUMBER(H297))),"Not checked",IF(OR(I297="Not met",LEN(J297)=0,M297&lt;0),"Red",IF(OR(I297="Partly met",M297&lt;=30),"Amber","Green")))))</f>
        <v/>
      </c>
      <c r="O297" s="27">
        <f>IF(N297="Red",IF(I297="Not met","Not met",IF(LEN(J297)=0,"No evidence location","Re-check overdue")),IF(N297="Amber",IF(I297="Partly met","Partly met","Re-check due ≤30 days"),""))</f>
        <v/>
      </c>
      <c r="P297" s="21" t="n"/>
    </row>
    <row r="298">
      <c r="A298" s="21" t="n"/>
      <c r="B298" s="22" t="n"/>
      <c r="C298" s="23" t="n"/>
      <c r="D298" s="23" t="n"/>
      <c r="E298" s="21" t="n"/>
      <c r="F298" s="21" t="n"/>
      <c r="G298" s="21" t="n"/>
      <c r="H298" s="24" t="n"/>
      <c r="I298" s="21" t="n"/>
      <c r="J298" s="21" t="n"/>
      <c r="K298" s="22" t="n"/>
      <c r="L298" s="25">
        <f>IF(ISNUMBER(H298),EDATE(H298,IF(ISNUMBER(K298),K298,3)),"")</f>
        <v/>
      </c>
      <c r="M298" s="26">
        <f>IF(L298="","",IF(ISNUMBER(L298),L298-TODAY(),"Check date"))</f>
        <v/>
      </c>
      <c r="N298" s="27">
        <f>IF(LEN(C298)=0,"",IF(I298="N/A","N/A",IF(OR(I298="",NOT(ISNUMBER(H298))),"Not checked",IF(OR(I298="Not met",LEN(J298)=0,M298&lt;0),"Red",IF(OR(I298="Partly met",M298&lt;=30),"Amber","Green")))))</f>
        <v/>
      </c>
      <c r="O298" s="27">
        <f>IF(N298="Red",IF(I298="Not met","Not met",IF(LEN(J298)=0,"No evidence location","Re-check overdue")),IF(N298="Amber",IF(I298="Partly met","Partly met","Re-check due ≤30 days"),""))</f>
        <v/>
      </c>
      <c r="P298" s="21" t="n"/>
    </row>
    <row r="299">
      <c r="A299" s="21" t="n"/>
      <c r="B299" s="22" t="n"/>
      <c r="C299" s="23" t="n"/>
      <c r="D299" s="23" t="n"/>
      <c r="E299" s="21" t="n"/>
      <c r="F299" s="21" t="n"/>
      <c r="G299" s="21" t="n"/>
      <c r="H299" s="24" t="n"/>
      <c r="I299" s="21" t="n"/>
      <c r="J299" s="21" t="n"/>
      <c r="K299" s="22" t="n"/>
      <c r="L299" s="25">
        <f>IF(ISNUMBER(H299),EDATE(H299,IF(ISNUMBER(K299),K299,3)),"")</f>
        <v/>
      </c>
      <c r="M299" s="26">
        <f>IF(L299="","",IF(ISNUMBER(L299),L299-TODAY(),"Check date"))</f>
        <v/>
      </c>
      <c r="N299" s="27">
        <f>IF(LEN(C299)=0,"",IF(I299="N/A","N/A",IF(OR(I299="",NOT(ISNUMBER(H299))),"Not checked",IF(OR(I299="Not met",LEN(J299)=0,M299&lt;0),"Red",IF(OR(I299="Partly met",M299&lt;=30),"Amber","Green")))))</f>
        <v/>
      </c>
      <c r="O299" s="27">
        <f>IF(N299="Red",IF(I299="Not met","Not met",IF(LEN(J299)=0,"No evidence location","Re-check overdue")),IF(N299="Amber",IF(I299="Partly met","Partly met","Re-check due ≤30 days"),""))</f>
        <v/>
      </c>
      <c r="P299" s="21" t="n"/>
    </row>
    <row r="300">
      <c r="A300" s="21" t="n"/>
      <c r="B300" s="22" t="n"/>
      <c r="C300" s="23" t="n"/>
      <c r="D300" s="23" t="n"/>
      <c r="E300" s="21" t="n"/>
      <c r="F300" s="21" t="n"/>
      <c r="G300" s="21" t="n"/>
      <c r="H300" s="24" t="n"/>
      <c r="I300" s="21" t="n"/>
      <c r="J300" s="21" t="n"/>
      <c r="K300" s="22" t="n"/>
      <c r="L300" s="25">
        <f>IF(ISNUMBER(H300),EDATE(H300,IF(ISNUMBER(K300),K300,3)),"")</f>
        <v/>
      </c>
      <c r="M300" s="26">
        <f>IF(L300="","",IF(ISNUMBER(L300),L300-TODAY(),"Check date"))</f>
        <v/>
      </c>
      <c r="N300" s="27">
        <f>IF(LEN(C300)=0,"",IF(I300="N/A","N/A",IF(OR(I300="",NOT(ISNUMBER(H300))),"Not checked",IF(OR(I300="Not met",LEN(J300)=0,M300&lt;0),"Red",IF(OR(I300="Partly met",M300&lt;=30),"Amber","Green")))))</f>
        <v/>
      </c>
      <c r="O300" s="27">
        <f>IF(N300="Red",IF(I300="Not met","Not met",IF(LEN(J300)=0,"No evidence location","Re-check overdue")),IF(N300="Amber",IF(I300="Partly met","Partly met","Re-check due ≤30 days"),""))</f>
        <v/>
      </c>
      <c r="P300" s="21" t="n"/>
    </row>
    <row r="301">
      <c r="A301" s="21" t="n"/>
      <c r="B301" s="22" t="n"/>
      <c r="C301" s="23" t="n"/>
      <c r="D301" s="23" t="n"/>
      <c r="E301" s="21" t="n"/>
      <c r="F301" s="21" t="n"/>
      <c r="G301" s="21" t="n"/>
      <c r="H301" s="24" t="n"/>
      <c r="I301" s="21" t="n"/>
      <c r="J301" s="21" t="n"/>
      <c r="K301" s="22" t="n"/>
      <c r="L301" s="25">
        <f>IF(ISNUMBER(H301),EDATE(H301,IF(ISNUMBER(K301),K301,3)),"")</f>
        <v/>
      </c>
      <c r="M301" s="26">
        <f>IF(L301="","",IF(ISNUMBER(L301),L301-TODAY(),"Check date"))</f>
        <v/>
      </c>
      <c r="N301" s="27">
        <f>IF(LEN(C301)=0,"",IF(I301="N/A","N/A",IF(OR(I301="",NOT(ISNUMBER(H301))),"Not checked",IF(OR(I301="Not met",LEN(J301)=0,M301&lt;0),"Red",IF(OR(I301="Partly met",M301&lt;=30),"Amber","Green")))))</f>
        <v/>
      </c>
      <c r="O301" s="27">
        <f>IF(N301="Red",IF(I301="Not met","Not met",IF(LEN(J301)=0,"No evidence location","Re-check overdue")),IF(N301="Amber",IF(I301="Partly met","Partly met","Re-check due ≤30 days"),""))</f>
        <v/>
      </c>
      <c r="P301" s="21" t="n"/>
    </row>
    <row r="302">
      <c r="A302" s="21" t="n"/>
      <c r="B302" s="22" t="n"/>
      <c r="C302" s="23" t="n"/>
      <c r="D302" s="23" t="n"/>
      <c r="E302" s="21" t="n"/>
      <c r="F302" s="21" t="n"/>
      <c r="G302" s="21" t="n"/>
      <c r="H302" s="24" t="n"/>
      <c r="I302" s="21" t="n"/>
      <c r="J302" s="21" t="n"/>
      <c r="K302" s="22" t="n"/>
      <c r="L302" s="25">
        <f>IF(ISNUMBER(H302),EDATE(H302,IF(ISNUMBER(K302),K302,3)),"")</f>
        <v/>
      </c>
      <c r="M302" s="26">
        <f>IF(L302="","",IF(ISNUMBER(L302),L302-TODAY(),"Check date"))</f>
        <v/>
      </c>
      <c r="N302" s="27">
        <f>IF(LEN(C302)=0,"",IF(I302="N/A","N/A",IF(OR(I302="",NOT(ISNUMBER(H302))),"Not checked",IF(OR(I302="Not met",LEN(J302)=0,M302&lt;0),"Red",IF(OR(I302="Partly met",M302&lt;=30),"Amber","Green")))))</f>
        <v/>
      </c>
      <c r="O302" s="27">
        <f>IF(N302="Red",IF(I302="Not met","Not met",IF(LEN(J302)=0,"No evidence location","Re-check overdue")),IF(N302="Amber",IF(I302="Partly met","Partly met","Re-check due ≤30 days"),""))</f>
        <v/>
      </c>
      <c r="P302" s="21" t="n"/>
    </row>
    <row r="303">
      <c r="A303" s="21" t="n"/>
      <c r="B303" s="22" t="n"/>
      <c r="C303" s="23" t="n"/>
      <c r="D303" s="23" t="n"/>
      <c r="E303" s="21" t="n"/>
      <c r="F303" s="21" t="n"/>
      <c r="G303" s="21" t="n"/>
      <c r="H303" s="24" t="n"/>
      <c r="I303" s="21" t="n"/>
      <c r="J303" s="21" t="n"/>
      <c r="K303" s="22" t="n"/>
      <c r="L303" s="25">
        <f>IF(ISNUMBER(H303),EDATE(H303,IF(ISNUMBER(K303),K303,3)),"")</f>
        <v/>
      </c>
      <c r="M303" s="26">
        <f>IF(L303="","",IF(ISNUMBER(L303),L303-TODAY(),"Check date"))</f>
        <v/>
      </c>
      <c r="N303" s="27">
        <f>IF(LEN(C303)=0,"",IF(I303="N/A","N/A",IF(OR(I303="",NOT(ISNUMBER(H303))),"Not checked",IF(OR(I303="Not met",LEN(J303)=0,M303&lt;0),"Red",IF(OR(I303="Partly met",M303&lt;=30),"Amber","Green")))))</f>
        <v/>
      </c>
      <c r="O303" s="27">
        <f>IF(N303="Red",IF(I303="Not met","Not met",IF(LEN(J303)=0,"No evidence location","Re-check overdue")),IF(N303="Amber",IF(I303="Partly met","Partly met","Re-check due ≤30 days"),""))</f>
        <v/>
      </c>
      <c r="P303" s="21" t="n"/>
    </row>
    <row r="304">
      <c r="A304" s="21" t="n"/>
      <c r="B304" s="22" t="n"/>
      <c r="C304" s="23" t="n"/>
      <c r="D304" s="23" t="n"/>
      <c r="E304" s="21" t="n"/>
      <c r="F304" s="21" t="n"/>
      <c r="G304" s="21" t="n"/>
      <c r="H304" s="24" t="n"/>
      <c r="I304" s="21" t="n"/>
      <c r="J304" s="21" t="n"/>
      <c r="K304" s="22" t="n"/>
      <c r="L304" s="25">
        <f>IF(ISNUMBER(H304),EDATE(H304,IF(ISNUMBER(K304),K304,3)),"")</f>
        <v/>
      </c>
      <c r="M304" s="26">
        <f>IF(L304="","",IF(ISNUMBER(L304),L304-TODAY(),"Check date"))</f>
        <v/>
      </c>
      <c r="N304" s="27">
        <f>IF(LEN(C304)=0,"",IF(I304="N/A","N/A",IF(OR(I304="",NOT(ISNUMBER(H304))),"Not checked",IF(OR(I304="Not met",LEN(J304)=0,M304&lt;0),"Red",IF(OR(I304="Partly met",M304&lt;=30),"Amber","Green")))))</f>
        <v/>
      </c>
      <c r="O304" s="27">
        <f>IF(N304="Red",IF(I304="Not met","Not met",IF(LEN(J304)=0,"No evidence location","Re-check overdue")),IF(N304="Amber",IF(I304="Partly met","Partly met","Re-check due ≤30 days"),""))</f>
        <v/>
      </c>
      <c r="P304" s="21" t="n"/>
    </row>
    <row r="305">
      <c r="A305" s="21" t="n"/>
      <c r="B305" s="22" t="n"/>
      <c r="C305" s="23" t="n"/>
      <c r="D305" s="23" t="n"/>
      <c r="E305" s="21" t="n"/>
      <c r="F305" s="21" t="n"/>
      <c r="G305" s="21" t="n"/>
      <c r="H305" s="24" t="n"/>
      <c r="I305" s="21" t="n"/>
      <c r="J305" s="21" t="n"/>
      <c r="K305" s="22" t="n"/>
      <c r="L305" s="25">
        <f>IF(ISNUMBER(H305),EDATE(H305,IF(ISNUMBER(K305),K305,3)),"")</f>
        <v/>
      </c>
      <c r="M305" s="26">
        <f>IF(L305="","",IF(ISNUMBER(L305),L305-TODAY(),"Check date"))</f>
        <v/>
      </c>
      <c r="N305" s="27">
        <f>IF(LEN(C305)=0,"",IF(I305="N/A","N/A",IF(OR(I305="",NOT(ISNUMBER(H305))),"Not checked",IF(OR(I305="Not met",LEN(J305)=0,M305&lt;0),"Red",IF(OR(I305="Partly met",M305&lt;=30),"Amber","Green")))))</f>
        <v/>
      </c>
      <c r="O305" s="27">
        <f>IF(N305="Red",IF(I305="Not met","Not met",IF(LEN(J305)=0,"No evidence location","Re-check overdue")),IF(N305="Amber",IF(I305="Partly met","Partly met","Re-check due ≤30 days"),""))</f>
        <v/>
      </c>
      <c r="P305" s="21" t="n"/>
    </row>
    <row r="306">
      <c r="A306" s="21" t="n"/>
      <c r="B306" s="22" t="n"/>
      <c r="C306" s="23" t="n"/>
      <c r="D306" s="23" t="n"/>
      <c r="E306" s="21" t="n"/>
      <c r="F306" s="21" t="n"/>
      <c r="G306" s="21" t="n"/>
      <c r="H306" s="24" t="n"/>
      <c r="I306" s="21" t="n"/>
      <c r="J306" s="21" t="n"/>
      <c r="K306" s="22" t="n"/>
      <c r="L306" s="25">
        <f>IF(ISNUMBER(H306),EDATE(H306,IF(ISNUMBER(K306),K306,3)),"")</f>
        <v/>
      </c>
      <c r="M306" s="26">
        <f>IF(L306="","",IF(ISNUMBER(L306),L306-TODAY(),"Check date"))</f>
        <v/>
      </c>
      <c r="N306" s="27">
        <f>IF(LEN(C306)=0,"",IF(I306="N/A","N/A",IF(OR(I306="",NOT(ISNUMBER(H306))),"Not checked",IF(OR(I306="Not met",LEN(J306)=0,M306&lt;0),"Red",IF(OR(I306="Partly met",M306&lt;=30),"Amber","Green")))))</f>
        <v/>
      </c>
      <c r="O306" s="27">
        <f>IF(N306="Red",IF(I306="Not met","Not met",IF(LEN(J306)=0,"No evidence location","Re-check overdue")),IF(N306="Amber",IF(I306="Partly met","Partly met","Re-check due ≤30 days"),""))</f>
        <v/>
      </c>
      <c r="P306" s="21" t="n"/>
    </row>
    <row r="307">
      <c r="A307" s="21" t="n"/>
      <c r="B307" s="22" t="n"/>
      <c r="C307" s="23" t="n"/>
      <c r="D307" s="23" t="n"/>
      <c r="E307" s="21" t="n"/>
      <c r="F307" s="21" t="n"/>
      <c r="G307" s="21" t="n"/>
      <c r="H307" s="24" t="n"/>
      <c r="I307" s="21" t="n"/>
      <c r="J307" s="21" t="n"/>
      <c r="K307" s="22" t="n"/>
      <c r="L307" s="25">
        <f>IF(ISNUMBER(H307),EDATE(H307,IF(ISNUMBER(K307),K307,3)),"")</f>
        <v/>
      </c>
      <c r="M307" s="26">
        <f>IF(L307="","",IF(ISNUMBER(L307),L307-TODAY(),"Check date"))</f>
        <v/>
      </c>
      <c r="N307" s="27">
        <f>IF(LEN(C307)=0,"",IF(I307="N/A","N/A",IF(OR(I307="",NOT(ISNUMBER(H307))),"Not checked",IF(OR(I307="Not met",LEN(J307)=0,M307&lt;0),"Red",IF(OR(I307="Partly met",M307&lt;=30),"Amber","Green")))))</f>
        <v/>
      </c>
      <c r="O307" s="27">
        <f>IF(N307="Red",IF(I307="Not met","Not met",IF(LEN(J307)=0,"No evidence location","Re-check overdue")),IF(N307="Amber",IF(I307="Partly met","Partly met","Re-check due ≤30 days"),""))</f>
        <v/>
      </c>
      <c r="P307" s="21" t="n"/>
    </row>
    <row r="308">
      <c r="A308" s="21" t="n"/>
      <c r="B308" s="22" t="n"/>
      <c r="C308" s="23" t="n"/>
      <c r="D308" s="23" t="n"/>
      <c r="E308" s="21" t="n"/>
      <c r="F308" s="21" t="n"/>
      <c r="G308" s="21" t="n"/>
      <c r="H308" s="24" t="n"/>
      <c r="I308" s="21" t="n"/>
      <c r="J308" s="21" t="n"/>
      <c r="K308" s="22" t="n"/>
      <c r="L308" s="25">
        <f>IF(ISNUMBER(H308),EDATE(H308,IF(ISNUMBER(K308),K308,3)),"")</f>
        <v/>
      </c>
      <c r="M308" s="26">
        <f>IF(L308="","",IF(ISNUMBER(L308),L308-TODAY(),"Check date"))</f>
        <v/>
      </c>
      <c r="N308" s="27">
        <f>IF(LEN(C308)=0,"",IF(I308="N/A","N/A",IF(OR(I308="",NOT(ISNUMBER(H308))),"Not checked",IF(OR(I308="Not met",LEN(J308)=0,M308&lt;0),"Red",IF(OR(I308="Partly met",M308&lt;=30),"Amber","Green")))))</f>
        <v/>
      </c>
      <c r="O308" s="27">
        <f>IF(N308="Red",IF(I308="Not met","Not met",IF(LEN(J308)=0,"No evidence location","Re-check overdue")),IF(N308="Amber",IF(I308="Partly met","Partly met","Re-check due ≤30 days"),""))</f>
        <v/>
      </c>
      <c r="P308" s="21" t="n"/>
    </row>
    <row r="309">
      <c r="A309" s="21" t="n"/>
      <c r="B309" s="22" t="n"/>
      <c r="C309" s="23" t="n"/>
      <c r="D309" s="23" t="n"/>
      <c r="E309" s="21" t="n"/>
      <c r="F309" s="21" t="n"/>
      <c r="G309" s="21" t="n"/>
      <c r="H309" s="24" t="n"/>
      <c r="I309" s="21" t="n"/>
      <c r="J309" s="21" t="n"/>
      <c r="K309" s="22" t="n"/>
      <c r="L309" s="25">
        <f>IF(ISNUMBER(H309),EDATE(H309,IF(ISNUMBER(K309),K309,3)),"")</f>
        <v/>
      </c>
      <c r="M309" s="26">
        <f>IF(L309="","",IF(ISNUMBER(L309),L309-TODAY(),"Check date"))</f>
        <v/>
      </c>
      <c r="N309" s="27">
        <f>IF(LEN(C309)=0,"",IF(I309="N/A","N/A",IF(OR(I309="",NOT(ISNUMBER(H309))),"Not checked",IF(OR(I309="Not met",LEN(J309)=0,M309&lt;0),"Red",IF(OR(I309="Partly met",M309&lt;=30),"Amber","Green")))))</f>
        <v/>
      </c>
      <c r="O309" s="27">
        <f>IF(N309="Red",IF(I309="Not met","Not met",IF(LEN(J309)=0,"No evidence location","Re-check overdue")),IF(N309="Amber",IF(I309="Partly met","Partly met","Re-check due ≤30 days"),""))</f>
        <v/>
      </c>
      <c r="P309" s="21" t="n"/>
    </row>
    <row r="310">
      <c r="A310" s="21" t="n"/>
      <c r="B310" s="22" t="n"/>
      <c r="C310" s="23" t="n"/>
      <c r="D310" s="23" t="n"/>
      <c r="E310" s="21" t="n"/>
      <c r="F310" s="21" t="n"/>
      <c r="G310" s="21" t="n"/>
      <c r="H310" s="24" t="n"/>
      <c r="I310" s="21" t="n"/>
      <c r="J310" s="21" t="n"/>
      <c r="K310" s="22" t="n"/>
      <c r="L310" s="25">
        <f>IF(ISNUMBER(H310),EDATE(H310,IF(ISNUMBER(K310),K310,3)),"")</f>
        <v/>
      </c>
      <c r="M310" s="26">
        <f>IF(L310="","",IF(ISNUMBER(L310),L310-TODAY(),"Check date"))</f>
        <v/>
      </c>
      <c r="N310" s="27">
        <f>IF(LEN(C310)=0,"",IF(I310="N/A","N/A",IF(OR(I310="",NOT(ISNUMBER(H310))),"Not checked",IF(OR(I310="Not met",LEN(J310)=0,M310&lt;0),"Red",IF(OR(I310="Partly met",M310&lt;=30),"Amber","Green")))))</f>
        <v/>
      </c>
      <c r="O310" s="27">
        <f>IF(N310="Red",IF(I310="Not met","Not met",IF(LEN(J310)=0,"No evidence location","Re-check overdue")),IF(N310="Amber",IF(I310="Partly met","Partly met","Re-check due ≤30 days"),""))</f>
        <v/>
      </c>
      <c r="P310" s="21" t="n"/>
    </row>
    <row r="311">
      <c r="A311" s="21" t="n"/>
      <c r="B311" s="22" t="n"/>
      <c r="C311" s="23" t="n"/>
      <c r="D311" s="23" t="n"/>
      <c r="E311" s="21" t="n"/>
      <c r="F311" s="21" t="n"/>
      <c r="G311" s="21" t="n"/>
      <c r="H311" s="24" t="n"/>
      <c r="I311" s="21" t="n"/>
      <c r="J311" s="21" t="n"/>
      <c r="K311" s="22" t="n"/>
      <c r="L311" s="25">
        <f>IF(ISNUMBER(H311),EDATE(H311,IF(ISNUMBER(K311),K311,3)),"")</f>
        <v/>
      </c>
      <c r="M311" s="26">
        <f>IF(L311="","",IF(ISNUMBER(L311),L311-TODAY(),"Check date"))</f>
        <v/>
      </c>
      <c r="N311" s="27">
        <f>IF(LEN(C311)=0,"",IF(I311="N/A","N/A",IF(OR(I311="",NOT(ISNUMBER(H311))),"Not checked",IF(OR(I311="Not met",LEN(J311)=0,M311&lt;0),"Red",IF(OR(I311="Partly met",M311&lt;=30),"Amber","Green")))))</f>
        <v/>
      </c>
      <c r="O311" s="27">
        <f>IF(N311="Red",IF(I311="Not met","Not met",IF(LEN(J311)=0,"No evidence location","Re-check overdue")),IF(N311="Amber",IF(I311="Partly met","Partly met","Re-check due ≤30 days"),""))</f>
        <v/>
      </c>
      <c r="P311" s="21" t="n"/>
    </row>
    <row r="312">
      <c r="A312" s="21" t="n"/>
      <c r="B312" s="22" t="n"/>
      <c r="C312" s="23" t="n"/>
      <c r="D312" s="23" t="n"/>
      <c r="E312" s="21" t="n"/>
      <c r="F312" s="21" t="n"/>
      <c r="G312" s="21" t="n"/>
      <c r="H312" s="24" t="n"/>
      <c r="I312" s="21" t="n"/>
      <c r="J312" s="21" t="n"/>
      <c r="K312" s="22" t="n"/>
      <c r="L312" s="25">
        <f>IF(ISNUMBER(H312),EDATE(H312,IF(ISNUMBER(K312),K312,3)),"")</f>
        <v/>
      </c>
      <c r="M312" s="26">
        <f>IF(L312="","",IF(ISNUMBER(L312),L312-TODAY(),"Check date"))</f>
        <v/>
      </c>
      <c r="N312" s="27">
        <f>IF(LEN(C312)=0,"",IF(I312="N/A","N/A",IF(OR(I312="",NOT(ISNUMBER(H312))),"Not checked",IF(OR(I312="Not met",LEN(J312)=0,M312&lt;0),"Red",IF(OR(I312="Partly met",M312&lt;=30),"Amber","Green")))))</f>
        <v/>
      </c>
      <c r="O312" s="27">
        <f>IF(N312="Red",IF(I312="Not met","Not met",IF(LEN(J312)=0,"No evidence location","Re-check overdue")),IF(N312="Amber",IF(I312="Partly met","Partly met","Re-check due ≤30 days"),""))</f>
        <v/>
      </c>
      <c r="P312" s="21" t="n"/>
    </row>
    <row r="313">
      <c r="A313" s="21" t="n"/>
      <c r="B313" s="22" t="n"/>
      <c r="C313" s="23" t="n"/>
      <c r="D313" s="23" t="n"/>
      <c r="E313" s="21" t="n"/>
      <c r="F313" s="21" t="n"/>
      <c r="G313" s="21" t="n"/>
      <c r="H313" s="24" t="n"/>
      <c r="I313" s="21" t="n"/>
      <c r="J313" s="21" t="n"/>
      <c r="K313" s="22" t="n"/>
      <c r="L313" s="25">
        <f>IF(ISNUMBER(H313),EDATE(H313,IF(ISNUMBER(K313),K313,3)),"")</f>
        <v/>
      </c>
      <c r="M313" s="26">
        <f>IF(L313="","",IF(ISNUMBER(L313),L313-TODAY(),"Check date"))</f>
        <v/>
      </c>
      <c r="N313" s="27">
        <f>IF(LEN(C313)=0,"",IF(I313="N/A","N/A",IF(OR(I313="",NOT(ISNUMBER(H313))),"Not checked",IF(OR(I313="Not met",LEN(J313)=0,M313&lt;0),"Red",IF(OR(I313="Partly met",M313&lt;=30),"Amber","Green")))))</f>
        <v/>
      </c>
      <c r="O313" s="27">
        <f>IF(N313="Red",IF(I313="Not met","Not met",IF(LEN(J313)=0,"No evidence location","Re-check overdue")),IF(N313="Amber",IF(I313="Partly met","Partly met","Re-check due ≤30 days"),""))</f>
        <v/>
      </c>
      <c r="P313" s="21" t="n"/>
    </row>
    <row r="314">
      <c r="A314" s="21" t="n"/>
      <c r="B314" s="22" t="n"/>
      <c r="C314" s="23" t="n"/>
      <c r="D314" s="23" t="n"/>
      <c r="E314" s="21" t="n"/>
      <c r="F314" s="21" t="n"/>
      <c r="G314" s="21" t="n"/>
      <c r="H314" s="24" t="n"/>
      <c r="I314" s="21" t="n"/>
      <c r="J314" s="21" t="n"/>
      <c r="K314" s="22" t="n"/>
      <c r="L314" s="25">
        <f>IF(ISNUMBER(H314),EDATE(H314,IF(ISNUMBER(K314),K314,3)),"")</f>
        <v/>
      </c>
      <c r="M314" s="26">
        <f>IF(L314="","",IF(ISNUMBER(L314),L314-TODAY(),"Check date"))</f>
        <v/>
      </c>
      <c r="N314" s="27">
        <f>IF(LEN(C314)=0,"",IF(I314="N/A","N/A",IF(OR(I314="",NOT(ISNUMBER(H314))),"Not checked",IF(OR(I314="Not met",LEN(J314)=0,M314&lt;0),"Red",IF(OR(I314="Partly met",M314&lt;=30),"Amber","Green")))))</f>
        <v/>
      </c>
      <c r="O314" s="27">
        <f>IF(N314="Red",IF(I314="Not met","Not met",IF(LEN(J314)=0,"No evidence location","Re-check overdue")),IF(N314="Amber",IF(I314="Partly met","Partly met","Re-check due ≤30 days"),""))</f>
        <v/>
      </c>
      <c r="P314" s="21" t="n"/>
    </row>
    <row r="315">
      <c r="A315" s="21" t="n"/>
      <c r="B315" s="22" t="n"/>
      <c r="C315" s="23" t="n"/>
      <c r="D315" s="23" t="n"/>
      <c r="E315" s="21" t="n"/>
      <c r="F315" s="21" t="n"/>
      <c r="G315" s="21" t="n"/>
      <c r="H315" s="24" t="n"/>
      <c r="I315" s="21" t="n"/>
      <c r="J315" s="21" t="n"/>
      <c r="K315" s="22" t="n"/>
      <c r="L315" s="25">
        <f>IF(ISNUMBER(H315),EDATE(H315,IF(ISNUMBER(K315),K315,3)),"")</f>
        <v/>
      </c>
      <c r="M315" s="26">
        <f>IF(L315="","",IF(ISNUMBER(L315),L315-TODAY(),"Check date"))</f>
        <v/>
      </c>
      <c r="N315" s="27">
        <f>IF(LEN(C315)=0,"",IF(I315="N/A","N/A",IF(OR(I315="",NOT(ISNUMBER(H315))),"Not checked",IF(OR(I315="Not met",LEN(J315)=0,M315&lt;0),"Red",IF(OR(I315="Partly met",M315&lt;=30),"Amber","Green")))))</f>
        <v/>
      </c>
      <c r="O315" s="27">
        <f>IF(N315="Red",IF(I315="Not met","Not met",IF(LEN(J315)=0,"No evidence location","Re-check overdue")),IF(N315="Amber",IF(I315="Partly met","Partly met","Re-check due ≤30 days"),""))</f>
        <v/>
      </c>
      <c r="P315" s="21" t="n"/>
    </row>
    <row r="316">
      <c r="A316" s="21" t="n"/>
      <c r="B316" s="22" t="n"/>
      <c r="C316" s="23" t="n"/>
      <c r="D316" s="23" t="n"/>
      <c r="E316" s="21" t="n"/>
      <c r="F316" s="21" t="n"/>
      <c r="G316" s="21" t="n"/>
      <c r="H316" s="24" t="n"/>
      <c r="I316" s="21" t="n"/>
      <c r="J316" s="21" t="n"/>
      <c r="K316" s="22" t="n"/>
      <c r="L316" s="25">
        <f>IF(ISNUMBER(H316),EDATE(H316,IF(ISNUMBER(K316),K316,3)),"")</f>
        <v/>
      </c>
      <c r="M316" s="26">
        <f>IF(L316="","",IF(ISNUMBER(L316),L316-TODAY(),"Check date"))</f>
        <v/>
      </c>
      <c r="N316" s="27">
        <f>IF(LEN(C316)=0,"",IF(I316="N/A","N/A",IF(OR(I316="",NOT(ISNUMBER(H316))),"Not checked",IF(OR(I316="Not met",LEN(J316)=0,M316&lt;0),"Red",IF(OR(I316="Partly met",M316&lt;=30),"Amber","Green")))))</f>
        <v/>
      </c>
      <c r="O316" s="27">
        <f>IF(N316="Red",IF(I316="Not met","Not met",IF(LEN(J316)=0,"No evidence location","Re-check overdue")),IF(N316="Amber",IF(I316="Partly met","Partly met","Re-check due ≤30 days"),""))</f>
        <v/>
      </c>
      <c r="P316" s="21" t="n"/>
    </row>
    <row r="317">
      <c r="A317" s="21" t="n"/>
      <c r="B317" s="22" t="n"/>
      <c r="C317" s="23" t="n"/>
      <c r="D317" s="23" t="n"/>
      <c r="E317" s="21" t="n"/>
      <c r="F317" s="21" t="n"/>
      <c r="G317" s="21" t="n"/>
      <c r="H317" s="24" t="n"/>
      <c r="I317" s="21" t="n"/>
      <c r="J317" s="21" t="n"/>
      <c r="K317" s="22" t="n"/>
      <c r="L317" s="25">
        <f>IF(ISNUMBER(H317),EDATE(H317,IF(ISNUMBER(K317),K317,3)),"")</f>
        <v/>
      </c>
      <c r="M317" s="26">
        <f>IF(L317="","",IF(ISNUMBER(L317),L317-TODAY(),"Check date"))</f>
        <v/>
      </c>
      <c r="N317" s="27">
        <f>IF(LEN(C317)=0,"",IF(I317="N/A","N/A",IF(OR(I317="",NOT(ISNUMBER(H317))),"Not checked",IF(OR(I317="Not met",LEN(J317)=0,M317&lt;0),"Red",IF(OR(I317="Partly met",M317&lt;=30),"Amber","Green")))))</f>
        <v/>
      </c>
      <c r="O317" s="27">
        <f>IF(N317="Red",IF(I317="Not met","Not met",IF(LEN(J317)=0,"No evidence location","Re-check overdue")),IF(N317="Amber",IF(I317="Partly met","Partly met","Re-check due ≤30 days"),""))</f>
        <v/>
      </c>
      <c r="P317" s="21" t="n"/>
    </row>
    <row r="318">
      <c r="A318" s="21" t="n"/>
      <c r="B318" s="22" t="n"/>
      <c r="C318" s="23" t="n"/>
      <c r="D318" s="23" t="n"/>
      <c r="E318" s="21" t="n"/>
      <c r="F318" s="21" t="n"/>
      <c r="G318" s="21" t="n"/>
      <c r="H318" s="24" t="n"/>
      <c r="I318" s="21" t="n"/>
      <c r="J318" s="21" t="n"/>
      <c r="K318" s="22" t="n"/>
      <c r="L318" s="25">
        <f>IF(ISNUMBER(H318),EDATE(H318,IF(ISNUMBER(K318),K318,3)),"")</f>
        <v/>
      </c>
      <c r="M318" s="26">
        <f>IF(L318="","",IF(ISNUMBER(L318),L318-TODAY(),"Check date"))</f>
        <v/>
      </c>
      <c r="N318" s="27">
        <f>IF(LEN(C318)=0,"",IF(I318="N/A","N/A",IF(OR(I318="",NOT(ISNUMBER(H318))),"Not checked",IF(OR(I318="Not met",LEN(J318)=0,M318&lt;0),"Red",IF(OR(I318="Partly met",M318&lt;=30),"Amber","Green")))))</f>
        <v/>
      </c>
      <c r="O318" s="27">
        <f>IF(N318="Red",IF(I318="Not met","Not met",IF(LEN(J318)=0,"No evidence location","Re-check overdue")),IF(N318="Amber",IF(I318="Partly met","Partly met","Re-check due ≤30 days"),""))</f>
        <v/>
      </c>
      <c r="P318" s="21" t="n"/>
    </row>
    <row r="319">
      <c r="A319" s="21" t="n"/>
      <c r="B319" s="22" t="n"/>
      <c r="C319" s="23" t="n"/>
      <c r="D319" s="23" t="n"/>
      <c r="E319" s="21" t="n"/>
      <c r="F319" s="21" t="n"/>
      <c r="G319" s="21" t="n"/>
      <c r="H319" s="24" t="n"/>
      <c r="I319" s="21" t="n"/>
      <c r="J319" s="21" t="n"/>
      <c r="K319" s="22" t="n"/>
      <c r="L319" s="25">
        <f>IF(ISNUMBER(H319),EDATE(H319,IF(ISNUMBER(K319),K319,3)),"")</f>
        <v/>
      </c>
      <c r="M319" s="26">
        <f>IF(L319="","",IF(ISNUMBER(L319),L319-TODAY(),"Check date"))</f>
        <v/>
      </c>
      <c r="N319" s="27">
        <f>IF(LEN(C319)=0,"",IF(I319="N/A","N/A",IF(OR(I319="",NOT(ISNUMBER(H319))),"Not checked",IF(OR(I319="Not met",LEN(J319)=0,M319&lt;0),"Red",IF(OR(I319="Partly met",M319&lt;=30),"Amber","Green")))))</f>
        <v/>
      </c>
      <c r="O319" s="27">
        <f>IF(N319="Red",IF(I319="Not met","Not met",IF(LEN(J319)=0,"No evidence location","Re-check overdue")),IF(N319="Amber",IF(I319="Partly met","Partly met","Re-check due ≤30 days"),""))</f>
        <v/>
      </c>
      <c r="P319" s="21" t="n"/>
    </row>
    <row r="320">
      <c r="A320" s="21" t="n"/>
      <c r="B320" s="22" t="n"/>
      <c r="C320" s="23" t="n"/>
      <c r="D320" s="23" t="n"/>
      <c r="E320" s="21" t="n"/>
      <c r="F320" s="21" t="n"/>
      <c r="G320" s="21" t="n"/>
      <c r="H320" s="24" t="n"/>
      <c r="I320" s="21" t="n"/>
      <c r="J320" s="21" t="n"/>
      <c r="K320" s="22" t="n"/>
      <c r="L320" s="25">
        <f>IF(ISNUMBER(H320),EDATE(H320,IF(ISNUMBER(K320),K320,3)),"")</f>
        <v/>
      </c>
      <c r="M320" s="26">
        <f>IF(L320="","",IF(ISNUMBER(L320),L320-TODAY(),"Check date"))</f>
        <v/>
      </c>
      <c r="N320" s="27">
        <f>IF(LEN(C320)=0,"",IF(I320="N/A","N/A",IF(OR(I320="",NOT(ISNUMBER(H320))),"Not checked",IF(OR(I320="Not met",LEN(J320)=0,M320&lt;0),"Red",IF(OR(I320="Partly met",M320&lt;=30),"Amber","Green")))))</f>
        <v/>
      </c>
      <c r="O320" s="27">
        <f>IF(N320="Red",IF(I320="Not met","Not met",IF(LEN(J320)=0,"No evidence location","Re-check overdue")),IF(N320="Amber",IF(I320="Partly met","Partly met","Re-check due ≤30 days"),""))</f>
        <v/>
      </c>
      <c r="P320" s="21" t="n"/>
    </row>
    <row r="321">
      <c r="A321" s="21" t="n"/>
      <c r="B321" s="22" t="n"/>
      <c r="C321" s="23" t="n"/>
      <c r="D321" s="23" t="n"/>
      <c r="E321" s="21" t="n"/>
      <c r="F321" s="21" t="n"/>
      <c r="G321" s="21" t="n"/>
      <c r="H321" s="24" t="n"/>
      <c r="I321" s="21" t="n"/>
      <c r="J321" s="21" t="n"/>
      <c r="K321" s="22" t="n"/>
      <c r="L321" s="25">
        <f>IF(ISNUMBER(H321),EDATE(H321,IF(ISNUMBER(K321),K321,3)),"")</f>
        <v/>
      </c>
      <c r="M321" s="26">
        <f>IF(L321="","",IF(ISNUMBER(L321),L321-TODAY(),"Check date"))</f>
        <v/>
      </c>
      <c r="N321" s="27">
        <f>IF(LEN(C321)=0,"",IF(I321="N/A","N/A",IF(OR(I321="",NOT(ISNUMBER(H321))),"Not checked",IF(OR(I321="Not met",LEN(J321)=0,M321&lt;0),"Red",IF(OR(I321="Partly met",M321&lt;=30),"Amber","Green")))))</f>
        <v/>
      </c>
      <c r="O321" s="27">
        <f>IF(N321="Red",IF(I321="Not met","Not met",IF(LEN(J321)=0,"No evidence location","Re-check overdue")),IF(N321="Amber",IF(I321="Partly met","Partly met","Re-check due ≤30 days"),""))</f>
        <v/>
      </c>
      <c r="P321" s="21" t="n"/>
    </row>
    <row r="322">
      <c r="A322" s="21" t="n"/>
      <c r="B322" s="22" t="n"/>
      <c r="C322" s="23" t="n"/>
      <c r="D322" s="23" t="n"/>
      <c r="E322" s="21" t="n"/>
      <c r="F322" s="21" t="n"/>
      <c r="G322" s="21" t="n"/>
      <c r="H322" s="24" t="n"/>
      <c r="I322" s="21" t="n"/>
      <c r="J322" s="21" t="n"/>
      <c r="K322" s="22" t="n"/>
      <c r="L322" s="25">
        <f>IF(ISNUMBER(H322),EDATE(H322,IF(ISNUMBER(K322),K322,3)),"")</f>
        <v/>
      </c>
      <c r="M322" s="26">
        <f>IF(L322="","",IF(ISNUMBER(L322),L322-TODAY(),"Check date"))</f>
        <v/>
      </c>
      <c r="N322" s="27">
        <f>IF(LEN(C322)=0,"",IF(I322="N/A","N/A",IF(OR(I322="",NOT(ISNUMBER(H322))),"Not checked",IF(OR(I322="Not met",LEN(J322)=0,M322&lt;0),"Red",IF(OR(I322="Partly met",M322&lt;=30),"Amber","Green")))))</f>
        <v/>
      </c>
      <c r="O322" s="27">
        <f>IF(N322="Red",IF(I322="Not met","Not met",IF(LEN(J322)=0,"No evidence location","Re-check overdue")),IF(N322="Amber",IF(I322="Partly met","Partly met","Re-check due ≤30 days"),""))</f>
        <v/>
      </c>
      <c r="P322" s="21" t="n"/>
    </row>
    <row r="323">
      <c r="A323" s="21" t="n"/>
      <c r="B323" s="22" t="n"/>
      <c r="C323" s="23" t="n"/>
      <c r="D323" s="23" t="n"/>
      <c r="E323" s="21" t="n"/>
      <c r="F323" s="21" t="n"/>
      <c r="G323" s="21" t="n"/>
      <c r="H323" s="24" t="n"/>
      <c r="I323" s="21" t="n"/>
      <c r="J323" s="21" t="n"/>
      <c r="K323" s="22" t="n"/>
      <c r="L323" s="25">
        <f>IF(ISNUMBER(H323),EDATE(H323,IF(ISNUMBER(K323),K323,3)),"")</f>
        <v/>
      </c>
      <c r="M323" s="26">
        <f>IF(L323="","",IF(ISNUMBER(L323),L323-TODAY(),"Check date"))</f>
        <v/>
      </c>
      <c r="N323" s="27">
        <f>IF(LEN(C323)=0,"",IF(I323="N/A","N/A",IF(OR(I323="",NOT(ISNUMBER(H323))),"Not checked",IF(OR(I323="Not met",LEN(J323)=0,M323&lt;0),"Red",IF(OR(I323="Partly met",M323&lt;=30),"Amber","Green")))))</f>
        <v/>
      </c>
      <c r="O323" s="27">
        <f>IF(N323="Red",IF(I323="Not met","Not met",IF(LEN(J323)=0,"No evidence location","Re-check overdue")),IF(N323="Amber",IF(I323="Partly met","Partly met","Re-check due ≤30 days"),""))</f>
        <v/>
      </c>
      <c r="P323" s="21" t="n"/>
    </row>
    <row r="324">
      <c r="A324" s="21" t="n"/>
      <c r="B324" s="22" t="n"/>
      <c r="C324" s="23" t="n"/>
      <c r="D324" s="23" t="n"/>
      <c r="E324" s="21" t="n"/>
      <c r="F324" s="21" t="n"/>
      <c r="G324" s="21" t="n"/>
      <c r="H324" s="24" t="n"/>
      <c r="I324" s="21" t="n"/>
      <c r="J324" s="21" t="n"/>
      <c r="K324" s="22" t="n"/>
      <c r="L324" s="25">
        <f>IF(ISNUMBER(H324),EDATE(H324,IF(ISNUMBER(K324),K324,3)),"")</f>
        <v/>
      </c>
      <c r="M324" s="26">
        <f>IF(L324="","",IF(ISNUMBER(L324),L324-TODAY(),"Check date"))</f>
        <v/>
      </c>
      <c r="N324" s="27">
        <f>IF(LEN(C324)=0,"",IF(I324="N/A","N/A",IF(OR(I324="",NOT(ISNUMBER(H324))),"Not checked",IF(OR(I324="Not met",LEN(J324)=0,M324&lt;0),"Red",IF(OR(I324="Partly met",M324&lt;=30),"Amber","Green")))))</f>
        <v/>
      </c>
      <c r="O324" s="27">
        <f>IF(N324="Red",IF(I324="Not met","Not met",IF(LEN(J324)=0,"No evidence location","Re-check overdue")),IF(N324="Amber",IF(I324="Partly met","Partly met","Re-check due ≤30 days"),""))</f>
        <v/>
      </c>
      <c r="P324" s="21" t="n"/>
    </row>
    <row r="325">
      <c r="A325" s="21" t="n"/>
      <c r="B325" s="22" t="n"/>
      <c r="C325" s="23" t="n"/>
      <c r="D325" s="23" t="n"/>
      <c r="E325" s="21" t="n"/>
      <c r="F325" s="21" t="n"/>
      <c r="G325" s="21" t="n"/>
      <c r="H325" s="24" t="n"/>
      <c r="I325" s="21" t="n"/>
      <c r="J325" s="21" t="n"/>
      <c r="K325" s="22" t="n"/>
      <c r="L325" s="25">
        <f>IF(ISNUMBER(H325),EDATE(H325,IF(ISNUMBER(K325),K325,3)),"")</f>
        <v/>
      </c>
      <c r="M325" s="26">
        <f>IF(L325="","",IF(ISNUMBER(L325),L325-TODAY(),"Check date"))</f>
        <v/>
      </c>
      <c r="N325" s="27">
        <f>IF(LEN(C325)=0,"",IF(I325="N/A","N/A",IF(OR(I325="",NOT(ISNUMBER(H325))),"Not checked",IF(OR(I325="Not met",LEN(J325)=0,M325&lt;0),"Red",IF(OR(I325="Partly met",M325&lt;=30),"Amber","Green")))))</f>
        <v/>
      </c>
      <c r="O325" s="27">
        <f>IF(N325="Red",IF(I325="Not met","Not met",IF(LEN(J325)=0,"No evidence location","Re-check overdue")),IF(N325="Amber",IF(I325="Partly met","Partly met","Re-check due ≤30 days"),""))</f>
        <v/>
      </c>
      <c r="P325" s="21" t="n"/>
    </row>
    <row r="326">
      <c r="A326" s="21" t="n"/>
      <c r="B326" s="22" t="n"/>
      <c r="C326" s="23" t="n"/>
      <c r="D326" s="23" t="n"/>
      <c r="E326" s="21" t="n"/>
      <c r="F326" s="21" t="n"/>
      <c r="G326" s="21" t="n"/>
      <c r="H326" s="24" t="n"/>
      <c r="I326" s="21" t="n"/>
      <c r="J326" s="21" t="n"/>
      <c r="K326" s="22" t="n"/>
      <c r="L326" s="25">
        <f>IF(ISNUMBER(H326),EDATE(H326,IF(ISNUMBER(K326),K326,3)),"")</f>
        <v/>
      </c>
      <c r="M326" s="26">
        <f>IF(L326="","",IF(ISNUMBER(L326),L326-TODAY(),"Check date"))</f>
        <v/>
      </c>
      <c r="N326" s="27">
        <f>IF(LEN(C326)=0,"",IF(I326="N/A","N/A",IF(OR(I326="",NOT(ISNUMBER(H326))),"Not checked",IF(OR(I326="Not met",LEN(J326)=0,M326&lt;0),"Red",IF(OR(I326="Partly met",M326&lt;=30),"Amber","Green")))))</f>
        <v/>
      </c>
      <c r="O326" s="27">
        <f>IF(N326="Red",IF(I326="Not met","Not met",IF(LEN(J326)=0,"No evidence location","Re-check overdue")),IF(N326="Amber",IF(I326="Partly met","Partly met","Re-check due ≤30 days"),""))</f>
        <v/>
      </c>
      <c r="P326" s="21" t="n"/>
    </row>
    <row r="327">
      <c r="A327" s="21" t="n"/>
      <c r="B327" s="22" t="n"/>
      <c r="C327" s="23" t="n"/>
      <c r="D327" s="23" t="n"/>
      <c r="E327" s="21" t="n"/>
      <c r="F327" s="21" t="n"/>
      <c r="G327" s="21" t="n"/>
      <c r="H327" s="24" t="n"/>
      <c r="I327" s="21" t="n"/>
      <c r="J327" s="21" t="n"/>
      <c r="K327" s="22" t="n"/>
      <c r="L327" s="25">
        <f>IF(ISNUMBER(H327),EDATE(H327,IF(ISNUMBER(K327),K327,3)),"")</f>
        <v/>
      </c>
      <c r="M327" s="26">
        <f>IF(L327="","",IF(ISNUMBER(L327),L327-TODAY(),"Check date"))</f>
        <v/>
      </c>
      <c r="N327" s="27">
        <f>IF(LEN(C327)=0,"",IF(I327="N/A","N/A",IF(OR(I327="",NOT(ISNUMBER(H327))),"Not checked",IF(OR(I327="Not met",LEN(J327)=0,M327&lt;0),"Red",IF(OR(I327="Partly met",M327&lt;=30),"Amber","Green")))))</f>
        <v/>
      </c>
      <c r="O327" s="27">
        <f>IF(N327="Red",IF(I327="Not met","Not met",IF(LEN(J327)=0,"No evidence location","Re-check overdue")),IF(N327="Amber",IF(I327="Partly met","Partly met","Re-check due ≤30 days"),""))</f>
        <v/>
      </c>
      <c r="P327" s="21" t="n"/>
    </row>
    <row r="328">
      <c r="A328" s="21" t="n"/>
      <c r="B328" s="22" t="n"/>
      <c r="C328" s="23" t="n"/>
      <c r="D328" s="23" t="n"/>
      <c r="E328" s="21" t="n"/>
      <c r="F328" s="21" t="n"/>
      <c r="G328" s="21" t="n"/>
      <c r="H328" s="24" t="n"/>
      <c r="I328" s="21" t="n"/>
      <c r="J328" s="21" t="n"/>
      <c r="K328" s="22" t="n"/>
      <c r="L328" s="25">
        <f>IF(ISNUMBER(H328),EDATE(H328,IF(ISNUMBER(K328),K328,3)),"")</f>
        <v/>
      </c>
      <c r="M328" s="26">
        <f>IF(L328="","",IF(ISNUMBER(L328),L328-TODAY(),"Check date"))</f>
        <v/>
      </c>
      <c r="N328" s="27">
        <f>IF(LEN(C328)=0,"",IF(I328="N/A","N/A",IF(OR(I328="",NOT(ISNUMBER(H328))),"Not checked",IF(OR(I328="Not met",LEN(J328)=0,M328&lt;0),"Red",IF(OR(I328="Partly met",M328&lt;=30),"Amber","Green")))))</f>
        <v/>
      </c>
      <c r="O328" s="27">
        <f>IF(N328="Red",IF(I328="Not met","Not met",IF(LEN(J328)=0,"No evidence location","Re-check overdue")),IF(N328="Amber",IF(I328="Partly met","Partly met","Re-check due ≤30 days"),""))</f>
        <v/>
      </c>
      <c r="P328" s="21" t="n"/>
    </row>
    <row r="329">
      <c r="A329" s="21" t="n"/>
      <c r="B329" s="22" t="n"/>
      <c r="C329" s="23" t="n"/>
      <c r="D329" s="23" t="n"/>
      <c r="E329" s="21" t="n"/>
      <c r="F329" s="21" t="n"/>
      <c r="G329" s="21" t="n"/>
      <c r="H329" s="24" t="n"/>
      <c r="I329" s="21" t="n"/>
      <c r="J329" s="21" t="n"/>
      <c r="K329" s="22" t="n"/>
      <c r="L329" s="25">
        <f>IF(ISNUMBER(H329),EDATE(H329,IF(ISNUMBER(K329),K329,3)),"")</f>
        <v/>
      </c>
      <c r="M329" s="26">
        <f>IF(L329="","",IF(ISNUMBER(L329),L329-TODAY(),"Check date"))</f>
        <v/>
      </c>
      <c r="N329" s="27">
        <f>IF(LEN(C329)=0,"",IF(I329="N/A","N/A",IF(OR(I329="",NOT(ISNUMBER(H329))),"Not checked",IF(OR(I329="Not met",LEN(J329)=0,M329&lt;0),"Red",IF(OR(I329="Partly met",M329&lt;=30),"Amber","Green")))))</f>
        <v/>
      </c>
      <c r="O329" s="27">
        <f>IF(N329="Red",IF(I329="Not met","Not met",IF(LEN(J329)=0,"No evidence location","Re-check overdue")),IF(N329="Amber",IF(I329="Partly met","Partly met","Re-check due ≤30 days"),""))</f>
        <v/>
      </c>
      <c r="P329" s="21" t="n"/>
    </row>
    <row r="330">
      <c r="A330" s="21" t="n"/>
      <c r="B330" s="22" t="n"/>
      <c r="C330" s="23" t="n"/>
      <c r="D330" s="23" t="n"/>
      <c r="E330" s="21" t="n"/>
      <c r="F330" s="21" t="n"/>
      <c r="G330" s="21" t="n"/>
      <c r="H330" s="24" t="n"/>
      <c r="I330" s="21" t="n"/>
      <c r="J330" s="21" t="n"/>
      <c r="K330" s="22" t="n"/>
      <c r="L330" s="25">
        <f>IF(ISNUMBER(H330),EDATE(H330,IF(ISNUMBER(K330),K330,3)),"")</f>
        <v/>
      </c>
      <c r="M330" s="26">
        <f>IF(L330="","",IF(ISNUMBER(L330),L330-TODAY(),"Check date"))</f>
        <v/>
      </c>
      <c r="N330" s="27">
        <f>IF(LEN(C330)=0,"",IF(I330="N/A","N/A",IF(OR(I330="",NOT(ISNUMBER(H330))),"Not checked",IF(OR(I330="Not met",LEN(J330)=0,M330&lt;0),"Red",IF(OR(I330="Partly met",M330&lt;=30),"Amber","Green")))))</f>
        <v/>
      </c>
      <c r="O330" s="27">
        <f>IF(N330="Red",IF(I330="Not met","Not met",IF(LEN(J330)=0,"No evidence location","Re-check overdue")),IF(N330="Amber",IF(I330="Partly met","Partly met","Re-check due ≤30 days"),""))</f>
        <v/>
      </c>
      <c r="P330" s="21" t="n"/>
    </row>
    <row r="331">
      <c r="A331" s="21" t="n"/>
      <c r="B331" s="22" t="n"/>
      <c r="C331" s="23" t="n"/>
      <c r="D331" s="23" t="n"/>
      <c r="E331" s="21" t="n"/>
      <c r="F331" s="21" t="n"/>
      <c r="G331" s="21" t="n"/>
      <c r="H331" s="24" t="n"/>
      <c r="I331" s="21" t="n"/>
      <c r="J331" s="21" t="n"/>
      <c r="K331" s="22" t="n"/>
      <c r="L331" s="25">
        <f>IF(ISNUMBER(H331),EDATE(H331,IF(ISNUMBER(K331),K331,3)),"")</f>
        <v/>
      </c>
      <c r="M331" s="26">
        <f>IF(L331="","",IF(ISNUMBER(L331),L331-TODAY(),"Check date"))</f>
        <v/>
      </c>
      <c r="N331" s="27">
        <f>IF(LEN(C331)=0,"",IF(I331="N/A","N/A",IF(OR(I331="",NOT(ISNUMBER(H331))),"Not checked",IF(OR(I331="Not met",LEN(J331)=0,M331&lt;0),"Red",IF(OR(I331="Partly met",M331&lt;=30),"Amber","Green")))))</f>
        <v/>
      </c>
      <c r="O331" s="27">
        <f>IF(N331="Red",IF(I331="Not met","Not met",IF(LEN(J331)=0,"No evidence location","Re-check overdue")),IF(N331="Amber",IF(I331="Partly met","Partly met","Re-check due ≤30 days"),""))</f>
        <v/>
      </c>
      <c r="P331" s="21" t="n"/>
    </row>
    <row r="332">
      <c r="A332" s="21" t="n"/>
      <c r="B332" s="22" t="n"/>
      <c r="C332" s="23" t="n"/>
      <c r="D332" s="23" t="n"/>
      <c r="E332" s="21" t="n"/>
      <c r="F332" s="21" t="n"/>
      <c r="G332" s="21" t="n"/>
      <c r="H332" s="24" t="n"/>
      <c r="I332" s="21" t="n"/>
      <c r="J332" s="21" t="n"/>
      <c r="K332" s="22" t="n"/>
      <c r="L332" s="25">
        <f>IF(ISNUMBER(H332),EDATE(H332,IF(ISNUMBER(K332),K332,3)),"")</f>
        <v/>
      </c>
      <c r="M332" s="26">
        <f>IF(L332="","",IF(ISNUMBER(L332),L332-TODAY(),"Check date"))</f>
        <v/>
      </c>
      <c r="N332" s="27">
        <f>IF(LEN(C332)=0,"",IF(I332="N/A","N/A",IF(OR(I332="",NOT(ISNUMBER(H332))),"Not checked",IF(OR(I332="Not met",LEN(J332)=0,M332&lt;0),"Red",IF(OR(I332="Partly met",M332&lt;=30),"Amber","Green")))))</f>
        <v/>
      </c>
      <c r="O332" s="27">
        <f>IF(N332="Red",IF(I332="Not met","Not met",IF(LEN(J332)=0,"No evidence location","Re-check overdue")),IF(N332="Amber",IF(I332="Partly met","Partly met","Re-check due ≤30 days"),""))</f>
        <v/>
      </c>
      <c r="P332" s="21" t="n"/>
    </row>
    <row r="333">
      <c r="A333" s="21" t="n"/>
      <c r="B333" s="22" t="n"/>
      <c r="C333" s="23" t="n"/>
      <c r="D333" s="23" t="n"/>
      <c r="E333" s="21" t="n"/>
      <c r="F333" s="21" t="n"/>
      <c r="G333" s="21" t="n"/>
      <c r="H333" s="24" t="n"/>
      <c r="I333" s="21" t="n"/>
      <c r="J333" s="21" t="n"/>
      <c r="K333" s="22" t="n"/>
      <c r="L333" s="25">
        <f>IF(ISNUMBER(H333),EDATE(H333,IF(ISNUMBER(K333),K333,3)),"")</f>
        <v/>
      </c>
      <c r="M333" s="26">
        <f>IF(L333="","",IF(ISNUMBER(L333),L333-TODAY(),"Check date"))</f>
        <v/>
      </c>
      <c r="N333" s="27">
        <f>IF(LEN(C333)=0,"",IF(I333="N/A","N/A",IF(OR(I333="",NOT(ISNUMBER(H333))),"Not checked",IF(OR(I333="Not met",LEN(J333)=0,M333&lt;0),"Red",IF(OR(I333="Partly met",M333&lt;=30),"Amber","Green")))))</f>
        <v/>
      </c>
      <c r="O333" s="27">
        <f>IF(N333="Red",IF(I333="Not met","Not met",IF(LEN(J333)=0,"No evidence location","Re-check overdue")),IF(N333="Amber",IF(I333="Partly met","Partly met","Re-check due ≤30 days"),""))</f>
        <v/>
      </c>
      <c r="P333" s="21" t="n"/>
    </row>
    <row r="334">
      <c r="A334" s="21" t="n"/>
      <c r="B334" s="22" t="n"/>
      <c r="C334" s="23" t="n"/>
      <c r="D334" s="23" t="n"/>
      <c r="E334" s="21" t="n"/>
      <c r="F334" s="21" t="n"/>
      <c r="G334" s="21" t="n"/>
      <c r="H334" s="24" t="n"/>
      <c r="I334" s="21" t="n"/>
      <c r="J334" s="21" t="n"/>
      <c r="K334" s="22" t="n"/>
      <c r="L334" s="25">
        <f>IF(ISNUMBER(H334),EDATE(H334,IF(ISNUMBER(K334),K334,3)),"")</f>
        <v/>
      </c>
      <c r="M334" s="26">
        <f>IF(L334="","",IF(ISNUMBER(L334),L334-TODAY(),"Check date"))</f>
        <v/>
      </c>
      <c r="N334" s="27">
        <f>IF(LEN(C334)=0,"",IF(I334="N/A","N/A",IF(OR(I334="",NOT(ISNUMBER(H334))),"Not checked",IF(OR(I334="Not met",LEN(J334)=0,M334&lt;0),"Red",IF(OR(I334="Partly met",M334&lt;=30),"Amber","Green")))))</f>
        <v/>
      </c>
      <c r="O334" s="27">
        <f>IF(N334="Red",IF(I334="Not met","Not met",IF(LEN(J334)=0,"No evidence location","Re-check overdue")),IF(N334="Amber",IF(I334="Partly met","Partly met","Re-check due ≤30 days"),""))</f>
        <v/>
      </c>
      <c r="P334" s="21" t="n"/>
    </row>
    <row r="335">
      <c r="A335" s="21" t="n"/>
      <c r="B335" s="22" t="n"/>
      <c r="C335" s="23" t="n"/>
      <c r="D335" s="23" t="n"/>
      <c r="E335" s="21" t="n"/>
      <c r="F335" s="21" t="n"/>
      <c r="G335" s="21" t="n"/>
      <c r="H335" s="24" t="n"/>
      <c r="I335" s="21" t="n"/>
      <c r="J335" s="21" t="n"/>
      <c r="K335" s="22" t="n"/>
      <c r="L335" s="25">
        <f>IF(ISNUMBER(H335),EDATE(H335,IF(ISNUMBER(K335),K335,3)),"")</f>
        <v/>
      </c>
      <c r="M335" s="26">
        <f>IF(L335="","",IF(ISNUMBER(L335),L335-TODAY(),"Check date"))</f>
        <v/>
      </c>
      <c r="N335" s="27">
        <f>IF(LEN(C335)=0,"",IF(I335="N/A","N/A",IF(OR(I335="",NOT(ISNUMBER(H335))),"Not checked",IF(OR(I335="Not met",LEN(J335)=0,M335&lt;0),"Red",IF(OR(I335="Partly met",M335&lt;=30),"Amber","Green")))))</f>
        <v/>
      </c>
      <c r="O335" s="27">
        <f>IF(N335="Red",IF(I335="Not met","Not met",IF(LEN(J335)=0,"No evidence location","Re-check overdue")),IF(N335="Amber",IF(I335="Partly met","Partly met","Re-check due ≤30 days"),""))</f>
        <v/>
      </c>
      <c r="P335" s="21" t="n"/>
    </row>
    <row r="336">
      <c r="A336" s="21" t="n"/>
      <c r="B336" s="22" t="n"/>
      <c r="C336" s="23" t="n"/>
      <c r="D336" s="23" t="n"/>
      <c r="E336" s="21" t="n"/>
      <c r="F336" s="21" t="n"/>
      <c r="G336" s="21" t="n"/>
      <c r="H336" s="24" t="n"/>
      <c r="I336" s="21" t="n"/>
      <c r="J336" s="21" t="n"/>
      <c r="K336" s="22" t="n"/>
      <c r="L336" s="25">
        <f>IF(ISNUMBER(H336),EDATE(H336,IF(ISNUMBER(K336),K336,3)),"")</f>
        <v/>
      </c>
      <c r="M336" s="26">
        <f>IF(L336="","",IF(ISNUMBER(L336),L336-TODAY(),"Check date"))</f>
        <v/>
      </c>
      <c r="N336" s="27">
        <f>IF(LEN(C336)=0,"",IF(I336="N/A","N/A",IF(OR(I336="",NOT(ISNUMBER(H336))),"Not checked",IF(OR(I336="Not met",LEN(J336)=0,M336&lt;0),"Red",IF(OR(I336="Partly met",M336&lt;=30),"Amber","Green")))))</f>
        <v/>
      </c>
      <c r="O336" s="27">
        <f>IF(N336="Red",IF(I336="Not met","Not met",IF(LEN(J336)=0,"No evidence location","Re-check overdue")),IF(N336="Amber",IF(I336="Partly met","Partly met","Re-check due ≤30 days"),""))</f>
        <v/>
      </c>
      <c r="P336" s="21" t="n"/>
    </row>
    <row r="337">
      <c r="A337" s="21" t="n"/>
      <c r="B337" s="22" t="n"/>
      <c r="C337" s="23" t="n"/>
      <c r="D337" s="23" t="n"/>
      <c r="E337" s="21" t="n"/>
      <c r="F337" s="21" t="n"/>
      <c r="G337" s="21" t="n"/>
      <c r="H337" s="24" t="n"/>
      <c r="I337" s="21" t="n"/>
      <c r="J337" s="21" t="n"/>
      <c r="K337" s="22" t="n"/>
      <c r="L337" s="25">
        <f>IF(ISNUMBER(H337),EDATE(H337,IF(ISNUMBER(K337),K337,3)),"")</f>
        <v/>
      </c>
      <c r="M337" s="26">
        <f>IF(L337="","",IF(ISNUMBER(L337),L337-TODAY(),"Check date"))</f>
        <v/>
      </c>
      <c r="N337" s="27">
        <f>IF(LEN(C337)=0,"",IF(I337="N/A","N/A",IF(OR(I337="",NOT(ISNUMBER(H337))),"Not checked",IF(OR(I337="Not met",LEN(J337)=0,M337&lt;0),"Red",IF(OR(I337="Partly met",M337&lt;=30),"Amber","Green")))))</f>
        <v/>
      </c>
      <c r="O337" s="27">
        <f>IF(N337="Red",IF(I337="Not met","Not met",IF(LEN(J337)=0,"No evidence location","Re-check overdue")),IF(N337="Amber",IF(I337="Partly met","Partly met","Re-check due ≤30 days"),""))</f>
        <v/>
      </c>
      <c r="P337" s="21" t="n"/>
    </row>
    <row r="338">
      <c r="A338" s="21" t="n"/>
      <c r="B338" s="22" t="n"/>
      <c r="C338" s="23" t="n"/>
      <c r="D338" s="23" t="n"/>
      <c r="E338" s="21" t="n"/>
      <c r="F338" s="21" t="n"/>
      <c r="G338" s="21" t="n"/>
      <c r="H338" s="24" t="n"/>
      <c r="I338" s="21" t="n"/>
      <c r="J338" s="21" t="n"/>
      <c r="K338" s="22" t="n"/>
      <c r="L338" s="25">
        <f>IF(ISNUMBER(H338),EDATE(H338,IF(ISNUMBER(K338),K338,3)),"")</f>
        <v/>
      </c>
      <c r="M338" s="26">
        <f>IF(L338="","",IF(ISNUMBER(L338),L338-TODAY(),"Check date"))</f>
        <v/>
      </c>
      <c r="N338" s="27">
        <f>IF(LEN(C338)=0,"",IF(I338="N/A","N/A",IF(OR(I338="",NOT(ISNUMBER(H338))),"Not checked",IF(OR(I338="Not met",LEN(J338)=0,M338&lt;0),"Red",IF(OR(I338="Partly met",M338&lt;=30),"Amber","Green")))))</f>
        <v/>
      </c>
      <c r="O338" s="27">
        <f>IF(N338="Red",IF(I338="Not met","Not met",IF(LEN(J338)=0,"No evidence location","Re-check overdue")),IF(N338="Amber",IF(I338="Partly met","Partly met","Re-check due ≤30 days"),""))</f>
        <v/>
      </c>
      <c r="P338" s="21" t="n"/>
    </row>
    <row r="339">
      <c r="A339" s="21" t="n"/>
      <c r="B339" s="22" t="n"/>
      <c r="C339" s="23" t="n"/>
      <c r="D339" s="23" t="n"/>
      <c r="E339" s="21" t="n"/>
      <c r="F339" s="21" t="n"/>
      <c r="G339" s="21" t="n"/>
      <c r="H339" s="24" t="n"/>
      <c r="I339" s="21" t="n"/>
      <c r="J339" s="21" t="n"/>
      <c r="K339" s="22" t="n"/>
      <c r="L339" s="25">
        <f>IF(ISNUMBER(H339),EDATE(H339,IF(ISNUMBER(K339),K339,3)),"")</f>
        <v/>
      </c>
      <c r="M339" s="26">
        <f>IF(L339="","",IF(ISNUMBER(L339),L339-TODAY(),"Check date"))</f>
        <v/>
      </c>
      <c r="N339" s="27">
        <f>IF(LEN(C339)=0,"",IF(I339="N/A","N/A",IF(OR(I339="",NOT(ISNUMBER(H339))),"Not checked",IF(OR(I339="Not met",LEN(J339)=0,M339&lt;0),"Red",IF(OR(I339="Partly met",M339&lt;=30),"Amber","Green")))))</f>
        <v/>
      </c>
      <c r="O339" s="27">
        <f>IF(N339="Red",IF(I339="Not met","Not met",IF(LEN(J339)=0,"No evidence location","Re-check overdue")),IF(N339="Amber",IF(I339="Partly met","Partly met","Re-check due ≤30 days"),""))</f>
        <v/>
      </c>
      <c r="P339" s="21" t="n"/>
    </row>
    <row r="340">
      <c r="A340" s="21" t="n"/>
      <c r="B340" s="22" t="n"/>
      <c r="C340" s="23" t="n"/>
      <c r="D340" s="23" t="n"/>
      <c r="E340" s="21" t="n"/>
      <c r="F340" s="21" t="n"/>
      <c r="G340" s="21" t="n"/>
      <c r="H340" s="24" t="n"/>
      <c r="I340" s="21" t="n"/>
      <c r="J340" s="21" t="n"/>
      <c r="K340" s="22" t="n"/>
      <c r="L340" s="25">
        <f>IF(ISNUMBER(H340),EDATE(H340,IF(ISNUMBER(K340),K340,3)),"")</f>
        <v/>
      </c>
      <c r="M340" s="26">
        <f>IF(L340="","",IF(ISNUMBER(L340),L340-TODAY(),"Check date"))</f>
        <v/>
      </c>
      <c r="N340" s="27">
        <f>IF(LEN(C340)=0,"",IF(I340="N/A","N/A",IF(OR(I340="",NOT(ISNUMBER(H340))),"Not checked",IF(OR(I340="Not met",LEN(J340)=0,M340&lt;0),"Red",IF(OR(I340="Partly met",M340&lt;=30),"Amber","Green")))))</f>
        <v/>
      </c>
      <c r="O340" s="27">
        <f>IF(N340="Red",IF(I340="Not met","Not met",IF(LEN(J340)=0,"No evidence location","Re-check overdue")),IF(N340="Amber",IF(I340="Partly met","Partly met","Re-check due ≤30 days"),""))</f>
        <v/>
      </c>
      <c r="P340" s="21" t="n"/>
    </row>
    <row r="341">
      <c r="A341" s="21" t="n"/>
      <c r="B341" s="22" t="n"/>
      <c r="C341" s="23" t="n"/>
      <c r="D341" s="23" t="n"/>
      <c r="E341" s="21" t="n"/>
      <c r="F341" s="21" t="n"/>
      <c r="G341" s="21" t="n"/>
      <c r="H341" s="24" t="n"/>
      <c r="I341" s="21" t="n"/>
      <c r="J341" s="21" t="n"/>
      <c r="K341" s="22" t="n"/>
      <c r="L341" s="25">
        <f>IF(ISNUMBER(H341),EDATE(H341,IF(ISNUMBER(K341),K341,3)),"")</f>
        <v/>
      </c>
      <c r="M341" s="26">
        <f>IF(L341="","",IF(ISNUMBER(L341),L341-TODAY(),"Check date"))</f>
        <v/>
      </c>
      <c r="N341" s="27">
        <f>IF(LEN(C341)=0,"",IF(I341="N/A","N/A",IF(OR(I341="",NOT(ISNUMBER(H341))),"Not checked",IF(OR(I341="Not met",LEN(J341)=0,M341&lt;0),"Red",IF(OR(I341="Partly met",M341&lt;=30),"Amber","Green")))))</f>
        <v/>
      </c>
      <c r="O341" s="27">
        <f>IF(N341="Red",IF(I341="Not met","Not met",IF(LEN(J341)=0,"No evidence location","Re-check overdue")),IF(N341="Amber",IF(I341="Partly met","Partly met","Re-check due ≤30 days"),""))</f>
        <v/>
      </c>
      <c r="P341" s="21" t="n"/>
    </row>
    <row r="342">
      <c r="A342" s="21" t="n"/>
      <c r="B342" s="22" t="n"/>
      <c r="C342" s="23" t="n"/>
      <c r="D342" s="23" t="n"/>
      <c r="E342" s="21" t="n"/>
      <c r="F342" s="21" t="n"/>
      <c r="G342" s="21" t="n"/>
      <c r="H342" s="24" t="n"/>
      <c r="I342" s="21" t="n"/>
      <c r="J342" s="21" t="n"/>
      <c r="K342" s="22" t="n"/>
      <c r="L342" s="25">
        <f>IF(ISNUMBER(H342),EDATE(H342,IF(ISNUMBER(K342),K342,3)),"")</f>
        <v/>
      </c>
      <c r="M342" s="26">
        <f>IF(L342="","",IF(ISNUMBER(L342),L342-TODAY(),"Check date"))</f>
        <v/>
      </c>
      <c r="N342" s="27">
        <f>IF(LEN(C342)=0,"",IF(I342="N/A","N/A",IF(OR(I342="",NOT(ISNUMBER(H342))),"Not checked",IF(OR(I342="Not met",LEN(J342)=0,M342&lt;0),"Red",IF(OR(I342="Partly met",M342&lt;=30),"Amber","Green")))))</f>
        <v/>
      </c>
      <c r="O342" s="27">
        <f>IF(N342="Red",IF(I342="Not met","Not met",IF(LEN(J342)=0,"No evidence location","Re-check overdue")),IF(N342="Amber",IF(I342="Partly met","Partly met","Re-check due ≤30 days"),""))</f>
        <v/>
      </c>
      <c r="P342" s="21" t="n"/>
    </row>
    <row r="343">
      <c r="A343" s="21" t="n"/>
      <c r="B343" s="22" t="n"/>
      <c r="C343" s="23" t="n"/>
      <c r="D343" s="23" t="n"/>
      <c r="E343" s="21" t="n"/>
      <c r="F343" s="21" t="n"/>
      <c r="G343" s="21" t="n"/>
      <c r="H343" s="24" t="n"/>
      <c r="I343" s="21" t="n"/>
      <c r="J343" s="21" t="n"/>
      <c r="K343" s="22" t="n"/>
      <c r="L343" s="25">
        <f>IF(ISNUMBER(H343),EDATE(H343,IF(ISNUMBER(K343),K343,3)),"")</f>
        <v/>
      </c>
      <c r="M343" s="26">
        <f>IF(L343="","",IF(ISNUMBER(L343),L343-TODAY(),"Check date"))</f>
        <v/>
      </c>
      <c r="N343" s="27">
        <f>IF(LEN(C343)=0,"",IF(I343="N/A","N/A",IF(OR(I343="",NOT(ISNUMBER(H343))),"Not checked",IF(OR(I343="Not met",LEN(J343)=0,M343&lt;0),"Red",IF(OR(I343="Partly met",M343&lt;=30),"Amber","Green")))))</f>
        <v/>
      </c>
      <c r="O343" s="27">
        <f>IF(N343="Red",IF(I343="Not met","Not met",IF(LEN(J343)=0,"No evidence location","Re-check overdue")),IF(N343="Amber",IF(I343="Partly met","Partly met","Re-check due ≤30 days"),""))</f>
        <v/>
      </c>
      <c r="P343" s="21" t="n"/>
    </row>
    <row r="344">
      <c r="A344" s="21" t="n"/>
      <c r="B344" s="22" t="n"/>
      <c r="C344" s="23" t="n"/>
      <c r="D344" s="23" t="n"/>
      <c r="E344" s="21" t="n"/>
      <c r="F344" s="21" t="n"/>
      <c r="G344" s="21" t="n"/>
      <c r="H344" s="24" t="n"/>
      <c r="I344" s="21" t="n"/>
      <c r="J344" s="21" t="n"/>
      <c r="K344" s="22" t="n"/>
      <c r="L344" s="25">
        <f>IF(ISNUMBER(H344),EDATE(H344,IF(ISNUMBER(K344),K344,3)),"")</f>
        <v/>
      </c>
      <c r="M344" s="26">
        <f>IF(L344="","",IF(ISNUMBER(L344),L344-TODAY(),"Check date"))</f>
        <v/>
      </c>
      <c r="N344" s="27">
        <f>IF(LEN(C344)=0,"",IF(I344="N/A","N/A",IF(OR(I344="",NOT(ISNUMBER(H344))),"Not checked",IF(OR(I344="Not met",LEN(J344)=0,M344&lt;0),"Red",IF(OR(I344="Partly met",M344&lt;=30),"Amber","Green")))))</f>
        <v/>
      </c>
      <c r="O344" s="27">
        <f>IF(N344="Red",IF(I344="Not met","Not met",IF(LEN(J344)=0,"No evidence location","Re-check overdue")),IF(N344="Amber",IF(I344="Partly met","Partly met","Re-check due ≤30 days"),""))</f>
        <v/>
      </c>
      <c r="P344" s="21" t="n"/>
    </row>
    <row r="345">
      <c r="A345" s="21" t="n"/>
      <c r="B345" s="22" t="n"/>
      <c r="C345" s="23" t="n"/>
      <c r="D345" s="23" t="n"/>
      <c r="E345" s="21" t="n"/>
      <c r="F345" s="21" t="n"/>
      <c r="G345" s="21" t="n"/>
      <c r="H345" s="24" t="n"/>
      <c r="I345" s="21" t="n"/>
      <c r="J345" s="21" t="n"/>
      <c r="K345" s="22" t="n"/>
      <c r="L345" s="25">
        <f>IF(ISNUMBER(H345),EDATE(H345,IF(ISNUMBER(K345),K345,3)),"")</f>
        <v/>
      </c>
      <c r="M345" s="26">
        <f>IF(L345="","",IF(ISNUMBER(L345),L345-TODAY(),"Check date"))</f>
        <v/>
      </c>
      <c r="N345" s="27">
        <f>IF(LEN(C345)=0,"",IF(I345="N/A","N/A",IF(OR(I345="",NOT(ISNUMBER(H345))),"Not checked",IF(OR(I345="Not met",LEN(J345)=0,M345&lt;0),"Red",IF(OR(I345="Partly met",M345&lt;=30),"Amber","Green")))))</f>
        <v/>
      </c>
      <c r="O345" s="27">
        <f>IF(N345="Red",IF(I345="Not met","Not met",IF(LEN(J345)=0,"No evidence location","Re-check overdue")),IF(N345="Amber",IF(I345="Partly met","Partly met","Re-check due ≤30 days"),""))</f>
        <v/>
      </c>
      <c r="P345" s="21" t="n"/>
    </row>
    <row r="346">
      <c r="A346" s="21" t="n"/>
      <c r="B346" s="22" t="n"/>
      <c r="C346" s="23" t="n"/>
      <c r="D346" s="23" t="n"/>
      <c r="E346" s="21" t="n"/>
      <c r="F346" s="21" t="n"/>
      <c r="G346" s="21" t="n"/>
      <c r="H346" s="24" t="n"/>
      <c r="I346" s="21" t="n"/>
      <c r="J346" s="21" t="n"/>
      <c r="K346" s="22" t="n"/>
      <c r="L346" s="25">
        <f>IF(ISNUMBER(H346),EDATE(H346,IF(ISNUMBER(K346),K346,3)),"")</f>
        <v/>
      </c>
      <c r="M346" s="26">
        <f>IF(L346="","",IF(ISNUMBER(L346),L346-TODAY(),"Check date"))</f>
        <v/>
      </c>
      <c r="N346" s="27">
        <f>IF(LEN(C346)=0,"",IF(I346="N/A","N/A",IF(OR(I346="",NOT(ISNUMBER(H346))),"Not checked",IF(OR(I346="Not met",LEN(J346)=0,M346&lt;0),"Red",IF(OR(I346="Partly met",M346&lt;=30),"Amber","Green")))))</f>
        <v/>
      </c>
      <c r="O346" s="27">
        <f>IF(N346="Red",IF(I346="Not met","Not met",IF(LEN(J346)=0,"No evidence location","Re-check overdue")),IF(N346="Amber",IF(I346="Partly met","Partly met","Re-check due ≤30 days"),""))</f>
        <v/>
      </c>
      <c r="P346" s="21" t="n"/>
    </row>
    <row r="347">
      <c r="A347" s="21" t="n"/>
      <c r="B347" s="22" t="n"/>
      <c r="C347" s="23" t="n"/>
      <c r="D347" s="23" t="n"/>
      <c r="E347" s="21" t="n"/>
      <c r="F347" s="21" t="n"/>
      <c r="G347" s="21" t="n"/>
      <c r="H347" s="24" t="n"/>
      <c r="I347" s="21" t="n"/>
      <c r="J347" s="21" t="n"/>
      <c r="K347" s="22" t="n"/>
      <c r="L347" s="25">
        <f>IF(ISNUMBER(H347),EDATE(H347,IF(ISNUMBER(K347),K347,3)),"")</f>
        <v/>
      </c>
      <c r="M347" s="26">
        <f>IF(L347="","",IF(ISNUMBER(L347),L347-TODAY(),"Check date"))</f>
        <v/>
      </c>
      <c r="N347" s="27">
        <f>IF(LEN(C347)=0,"",IF(I347="N/A","N/A",IF(OR(I347="",NOT(ISNUMBER(H347))),"Not checked",IF(OR(I347="Not met",LEN(J347)=0,M347&lt;0),"Red",IF(OR(I347="Partly met",M347&lt;=30),"Amber","Green")))))</f>
        <v/>
      </c>
      <c r="O347" s="27">
        <f>IF(N347="Red",IF(I347="Not met","Not met",IF(LEN(J347)=0,"No evidence location","Re-check overdue")),IF(N347="Amber",IF(I347="Partly met","Partly met","Re-check due ≤30 days"),""))</f>
        <v/>
      </c>
      <c r="P347" s="21" t="n"/>
    </row>
    <row r="348">
      <c r="A348" s="21" t="n"/>
      <c r="B348" s="22" t="n"/>
      <c r="C348" s="23" t="n"/>
      <c r="D348" s="23" t="n"/>
      <c r="E348" s="21" t="n"/>
      <c r="F348" s="21" t="n"/>
      <c r="G348" s="21" t="n"/>
      <c r="H348" s="24" t="n"/>
      <c r="I348" s="21" t="n"/>
      <c r="J348" s="21" t="n"/>
      <c r="K348" s="22" t="n"/>
      <c r="L348" s="25">
        <f>IF(ISNUMBER(H348),EDATE(H348,IF(ISNUMBER(K348),K348,3)),"")</f>
        <v/>
      </c>
      <c r="M348" s="26">
        <f>IF(L348="","",IF(ISNUMBER(L348),L348-TODAY(),"Check date"))</f>
        <v/>
      </c>
      <c r="N348" s="27">
        <f>IF(LEN(C348)=0,"",IF(I348="N/A","N/A",IF(OR(I348="",NOT(ISNUMBER(H348))),"Not checked",IF(OR(I348="Not met",LEN(J348)=0,M348&lt;0),"Red",IF(OR(I348="Partly met",M348&lt;=30),"Amber","Green")))))</f>
        <v/>
      </c>
      <c r="O348" s="27">
        <f>IF(N348="Red",IF(I348="Not met","Not met",IF(LEN(J348)=0,"No evidence location","Re-check overdue")),IF(N348="Amber",IF(I348="Partly met","Partly met","Re-check due ≤30 days"),""))</f>
        <v/>
      </c>
      <c r="P348" s="21" t="n"/>
    </row>
    <row r="349">
      <c r="A349" s="21" t="n"/>
      <c r="B349" s="22" t="n"/>
      <c r="C349" s="23" t="n"/>
      <c r="D349" s="23" t="n"/>
      <c r="E349" s="21" t="n"/>
      <c r="F349" s="21" t="n"/>
      <c r="G349" s="21" t="n"/>
      <c r="H349" s="24" t="n"/>
      <c r="I349" s="21" t="n"/>
      <c r="J349" s="21" t="n"/>
      <c r="K349" s="22" t="n"/>
      <c r="L349" s="25">
        <f>IF(ISNUMBER(H349),EDATE(H349,IF(ISNUMBER(K349),K349,3)),"")</f>
        <v/>
      </c>
      <c r="M349" s="26">
        <f>IF(L349="","",IF(ISNUMBER(L349),L349-TODAY(),"Check date"))</f>
        <v/>
      </c>
      <c r="N349" s="27">
        <f>IF(LEN(C349)=0,"",IF(I349="N/A","N/A",IF(OR(I349="",NOT(ISNUMBER(H349))),"Not checked",IF(OR(I349="Not met",LEN(J349)=0,M349&lt;0),"Red",IF(OR(I349="Partly met",M349&lt;=30),"Amber","Green")))))</f>
        <v/>
      </c>
      <c r="O349" s="27">
        <f>IF(N349="Red",IF(I349="Not met","Not met",IF(LEN(J349)=0,"No evidence location","Re-check overdue")),IF(N349="Amber",IF(I349="Partly met","Partly met","Re-check due ≤30 days"),""))</f>
        <v/>
      </c>
      <c r="P349" s="21" t="n"/>
    </row>
    <row r="350">
      <c r="A350" s="21" t="n"/>
      <c r="B350" s="22" t="n"/>
      <c r="C350" s="23" t="n"/>
      <c r="D350" s="23" t="n"/>
      <c r="E350" s="21" t="n"/>
      <c r="F350" s="21" t="n"/>
      <c r="G350" s="21" t="n"/>
      <c r="H350" s="24" t="n"/>
      <c r="I350" s="21" t="n"/>
      <c r="J350" s="21" t="n"/>
      <c r="K350" s="22" t="n"/>
      <c r="L350" s="25">
        <f>IF(ISNUMBER(H350),EDATE(H350,IF(ISNUMBER(K350),K350,3)),"")</f>
        <v/>
      </c>
      <c r="M350" s="26">
        <f>IF(L350="","",IF(ISNUMBER(L350),L350-TODAY(),"Check date"))</f>
        <v/>
      </c>
      <c r="N350" s="27">
        <f>IF(LEN(C350)=0,"",IF(I350="N/A","N/A",IF(OR(I350="",NOT(ISNUMBER(H350))),"Not checked",IF(OR(I350="Not met",LEN(J350)=0,M350&lt;0),"Red",IF(OR(I350="Partly met",M350&lt;=30),"Amber","Green")))))</f>
        <v/>
      </c>
      <c r="O350" s="27">
        <f>IF(N350="Red",IF(I350="Not met","Not met",IF(LEN(J350)=0,"No evidence location","Re-check overdue")),IF(N350="Amber",IF(I350="Partly met","Partly met","Re-check due ≤30 days"),""))</f>
        <v/>
      </c>
      <c r="P350" s="21" t="n"/>
    </row>
    <row r="351">
      <c r="A351" s="21" t="n"/>
      <c r="B351" s="22" t="n"/>
      <c r="C351" s="23" t="n"/>
      <c r="D351" s="23" t="n"/>
      <c r="E351" s="21" t="n"/>
      <c r="F351" s="21" t="n"/>
      <c r="G351" s="21" t="n"/>
      <c r="H351" s="24" t="n"/>
      <c r="I351" s="21" t="n"/>
      <c r="J351" s="21" t="n"/>
      <c r="K351" s="22" t="n"/>
      <c r="L351" s="25">
        <f>IF(ISNUMBER(H351),EDATE(H351,IF(ISNUMBER(K351),K351,3)),"")</f>
        <v/>
      </c>
      <c r="M351" s="26">
        <f>IF(L351="","",IF(ISNUMBER(L351),L351-TODAY(),"Check date"))</f>
        <v/>
      </c>
      <c r="N351" s="27">
        <f>IF(LEN(C351)=0,"",IF(I351="N/A","N/A",IF(OR(I351="",NOT(ISNUMBER(H351))),"Not checked",IF(OR(I351="Not met",LEN(J351)=0,M351&lt;0),"Red",IF(OR(I351="Partly met",M351&lt;=30),"Amber","Green")))))</f>
        <v/>
      </c>
      <c r="O351" s="27">
        <f>IF(N351="Red",IF(I351="Not met","Not met",IF(LEN(J351)=0,"No evidence location","Re-check overdue")),IF(N351="Amber",IF(I351="Partly met","Partly met","Re-check due ≤30 days"),""))</f>
        <v/>
      </c>
      <c r="P351" s="21" t="n"/>
    </row>
    <row r="352">
      <c r="A352" s="21" t="n"/>
      <c r="B352" s="22" t="n"/>
      <c r="C352" s="23" t="n"/>
      <c r="D352" s="23" t="n"/>
      <c r="E352" s="21" t="n"/>
      <c r="F352" s="21" t="n"/>
      <c r="G352" s="21" t="n"/>
      <c r="H352" s="24" t="n"/>
      <c r="I352" s="21" t="n"/>
      <c r="J352" s="21" t="n"/>
      <c r="K352" s="22" t="n"/>
      <c r="L352" s="25">
        <f>IF(ISNUMBER(H352),EDATE(H352,IF(ISNUMBER(K352),K352,3)),"")</f>
        <v/>
      </c>
      <c r="M352" s="26">
        <f>IF(L352="","",IF(ISNUMBER(L352),L352-TODAY(),"Check date"))</f>
        <v/>
      </c>
      <c r="N352" s="27">
        <f>IF(LEN(C352)=0,"",IF(I352="N/A","N/A",IF(OR(I352="",NOT(ISNUMBER(H352))),"Not checked",IF(OR(I352="Not met",LEN(J352)=0,M352&lt;0),"Red",IF(OR(I352="Partly met",M352&lt;=30),"Amber","Green")))))</f>
        <v/>
      </c>
      <c r="O352" s="27">
        <f>IF(N352="Red",IF(I352="Not met","Not met",IF(LEN(J352)=0,"No evidence location","Re-check overdue")),IF(N352="Amber",IF(I352="Partly met","Partly met","Re-check due ≤30 days"),""))</f>
        <v/>
      </c>
      <c r="P352" s="21" t="n"/>
    </row>
    <row r="353">
      <c r="A353" s="21" t="n"/>
      <c r="B353" s="22" t="n"/>
      <c r="C353" s="23" t="n"/>
      <c r="D353" s="23" t="n"/>
      <c r="E353" s="21" t="n"/>
      <c r="F353" s="21" t="n"/>
      <c r="G353" s="21" t="n"/>
      <c r="H353" s="24" t="n"/>
      <c r="I353" s="21" t="n"/>
      <c r="J353" s="21" t="n"/>
      <c r="K353" s="22" t="n"/>
      <c r="L353" s="25">
        <f>IF(ISNUMBER(H353),EDATE(H353,IF(ISNUMBER(K353),K353,3)),"")</f>
        <v/>
      </c>
      <c r="M353" s="26">
        <f>IF(L353="","",IF(ISNUMBER(L353),L353-TODAY(),"Check date"))</f>
        <v/>
      </c>
      <c r="N353" s="27">
        <f>IF(LEN(C353)=0,"",IF(I353="N/A","N/A",IF(OR(I353="",NOT(ISNUMBER(H353))),"Not checked",IF(OR(I353="Not met",LEN(J353)=0,M353&lt;0),"Red",IF(OR(I353="Partly met",M353&lt;=30),"Amber","Green")))))</f>
        <v/>
      </c>
      <c r="O353" s="27">
        <f>IF(N353="Red",IF(I353="Not met","Not met",IF(LEN(J353)=0,"No evidence location","Re-check overdue")),IF(N353="Amber",IF(I353="Partly met","Partly met","Re-check due ≤30 days"),""))</f>
        <v/>
      </c>
      <c r="P353" s="21" t="n"/>
    </row>
    <row r="354">
      <c r="A354" s="21" t="n"/>
      <c r="B354" s="22" t="n"/>
      <c r="C354" s="23" t="n"/>
      <c r="D354" s="23" t="n"/>
      <c r="E354" s="21" t="n"/>
      <c r="F354" s="21" t="n"/>
      <c r="G354" s="21" t="n"/>
      <c r="H354" s="24" t="n"/>
      <c r="I354" s="21" t="n"/>
      <c r="J354" s="21" t="n"/>
      <c r="K354" s="22" t="n"/>
      <c r="L354" s="25">
        <f>IF(ISNUMBER(H354),EDATE(H354,IF(ISNUMBER(K354),K354,3)),"")</f>
        <v/>
      </c>
      <c r="M354" s="26">
        <f>IF(L354="","",IF(ISNUMBER(L354),L354-TODAY(),"Check date"))</f>
        <v/>
      </c>
      <c r="N354" s="27">
        <f>IF(LEN(C354)=0,"",IF(I354="N/A","N/A",IF(OR(I354="",NOT(ISNUMBER(H354))),"Not checked",IF(OR(I354="Not met",LEN(J354)=0,M354&lt;0),"Red",IF(OR(I354="Partly met",M354&lt;=30),"Amber","Green")))))</f>
        <v/>
      </c>
      <c r="O354" s="27">
        <f>IF(N354="Red",IF(I354="Not met","Not met",IF(LEN(J354)=0,"No evidence location","Re-check overdue")),IF(N354="Amber",IF(I354="Partly met","Partly met","Re-check due ≤30 days"),""))</f>
        <v/>
      </c>
      <c r="P354" s="21" t="n"/>
    </row>
    <row r="355">
      <c r="A355" s="21" t="n"/>
      <c r="B355" s="22" t="n"/>
      <c r="C355" s="23" t="n"/>
      <c r="D355" s="23" t="n"/>
      <c r="E355" s="21" t="n"/>
      <c r="F355" s="21" t="n"/>
      <c r="G355" s="21" t="n"/>
      <c r="H355" s="24" t="n"/>
      <c r="I355" s="21" t="n"/>
      <c r="J355" s="21" t="n"/>
      <c r="K355" s="22" t="n"/>
      <c r="L355" s="25">
        <f>IF(ISNUMBER(H355),EDATE(H355,IF(ISNUMBER(K355),K355,3)),"")</f>
        <v/>
      </c>
      <c r="M355" s="26">
        <f>IF(L355="","",IF(ISNUMBER(L355),L355-TODAY(),"Check date"))</f>
        <v/>
      </c>
      <c r="N355" s="27">
        <f>IF(LEN(C355)=0,"",IF(I355="N/A","N/A",IF(OR(I355="",NOT(ISNUMBER(H355))),"Not checked",IF(OR(I355="Not met",LEN(J355)=0,M355&lt;0),"Red",IF(OR(I355="Partly met",M355&lt;=30),"Amber","Green")))))</f>
        <v/>
      </c>
      <c r="O355" s="27">
        <f>IF(N355="Red",IF(I355="Not met","Not met",IF(LEN(J355)=0,"No evidence location","Re-check overdue")),IF(N355="Amber",IF(I355="Partly met","Partly met","Re-check due ≤30 days"),""))</f>
        <v/>
      </c>
      <c r="P355" s="21" t="n"/>
    </row>
    <row r="356">
      <c r="A356" s="21" t="n"/>
      <c r="B356" s="22" t="n"/>
      <c r="C356" s="23" t="n"/>
      <c r="D356" s="23" t="n"/>
      <c r="E356" s="21" t="n"/>
      <c r="F356" s="21" t="n"/>
      <c r="G356" s="21" t="n"/>
      <c r="H356" s="24" t="n"/>
      <c r="I356" s="21" t="n"/>
      <c r="J356" s="21" t="n"/>
      <c r="K356" s="22" t="n"/>
      <c r="L356" s="25">
        <f>IF(ISNUMBER(H356),EDATE(H356,IF(ISNUMBER(K356),K356,3)),"")</f>
        <v/>
      </c>
      <c r="M356" s="26">
        <f>IF(L356="","",IF(ISNUMBER(L356),L356-TODAY(),"Check date"))</f>
        <v/>
      </c>
      <c r="N356" s="27">
        <f>IF(LEN(C356)=0,"",IF(I356="N/A","N/A",IF(OR(I356="",NOT(ISNUMBER(H356))),"Not checked",IF(OR(I356="Not met",LEN(J356)=0,M356&lt;0),"Red",IF(OR(I356="Partly met",M356&lt;=30),"Amber","Green")))))</f>
        <v/>
      </c>
      <c r="O356" s="27">
        <f>IF(N356="Red",IF(I356="Not met","Not met",IF(LEN(J356)=0,"No evidence location","Re-check overdue")),IF(N356="Amber",IF(I356="Partly met","Partly met","Re-check due ≤30 days"),""))</f>
        <v/>
      </c>
      <c r="P356" s="21" t="n"/>
    </row>
    <row r="357">
      <c r="A357" s="21" t="n"/>
      <c r="B357" s="22" t="n"/>
      <c r="C357" s="23" t="n"/>
      <c r="D357" s="23" t="n"/>
      <c r="E357" s="21" t="n"/>
      <c r="F357" s="21" t="n"/>
      <c r="G357" s="21" t="n"/>
      <c r="H357" s="24" t="n"/>
      <c r="I357" s="21" t="n"/>
      <c r="J357" s="21" t="n"/>
      <c r="K357" s="22" t="n"/>
      <c r="L357" s="25">
        <f>IF(ISNUMBER(H357),EDATE(H357,IF(ISNUMBER(K357),K357,3)),"")</f>
        <v/>
      </c>
      <c r="M357" s="26">
        <f>IF(L357="","",IF(ISNUMBER(L357),L357-TODAY(),"Check date"))</f>
        <v/>
      </c>
      <c r="N357" s="27">
        <f>IF(LEN(C357)=0,"",IF(I357="N/A","N/A",IF(OR(I357="",NOT(ISNUMBER(H357))),"Not checked",IF(OR(I357="Not met",LEN(J357)=0,M357&lt;0),"Red",IF(OR(I357="Partly met",M357&lt;=30),"Amber","Green")))))</f>
        <v/>
      </c>
      <c r="O357" s="27">
        <f>IF(N357="Red",IF(I357="Not met","Not met",IF(LEN(J357)=0,"No evidence location","Re-check overdue")),IF(N357="Amber",IF(I357="Partly met","Partly met","Re-check due ≤30 days"),""))</f>
        <v/>
      </c>
      <c r="P357" s="21" t="n"/>
    </row>
    <row r="358">
      <c r="A358" s="21" t="n"/>
      <c r="B358" s="22" t="n"/>
      <c r="C358" s="23" t="n"/>
      <c r="D358" s="23" t="n"/>
      <c r="E358" s="21" t="n"/>
      <c r="F358" s="21" t="n"/>
      <c r="G358" s="21" t="n"/>
      <c r="H358" s="24" t="n"/>
      <c r="I358" s="21" t="n"/>
      <c r="J358" s="21" t="n"/>
      <c r="K358" s="22" t="n"/>
      <c r="L358" s="25">
        <f>IF(ISNUMBER(H358),EDATE(H358,IF(ISNUMBER(K358),K358,3)),"")</f>
        <v/>
      </c>
      <c r="M358" s="26">
        <f>IF(L358="","",IF(ISNUMBER(L358),L358-TODAY(),"Check date"))</f>
        <v/>
      </c>
      <c r="N358" s="27">
        <f>IF(LEN(C358)=0,"",IF(I358="N/A","N/A",IF(OR(I358="",NOT(ISNUMBER(H358))),"Not checked",IF(OR(I358="Not met",LEN(J358)=0,M358&lt;0),"Red",IF(OR(I358="Partly met",M358&lt;=30),"Amber","Green")))))</f>
        <v/>
      </c>
      <c r="O358" s="27">
        <f>IF(N358="Red",IF(I358="Not met","Not met",IF(LEN(J358)=0,"No evidence location","Re-check overdue")),IF(N358="Amber",IF(I358="Partly met","Partly met","Re-check due ≤30 days"),""))</f>
        <v/>
      </c>
      <c r="P358" s="21" t="n"/>
    </row>
    <row r="359">
      <c r="A359" s="21" t="n"/>
      <c r="B359" s="22" t="n"/>
      <c r="C359" s="23" t="n"/>
      <c r="D359" s="23" t="n"/>
      <c r="E359" s="21" t="n"/>
      <c r="F359" s="21" t="n"/>
      <c r="G359" s="21" t="n"/>
      <c r="H359" s="24" t="n"/>
      <c r="I359" s="21" t="n"/>
      <c r="J359" s="21" t="n"/>
      <c r="K359" s="22" t="n"/>
      <c r="L359" s="25">
        <f>IF(ISNUMBER(H359),EDATE(H359,IF(ISNUMBER(K359),K359,3)),"")</f>
        <v/>
      </c>
      <c r="M359" s="26">
        <f>IF(L359="","",IF(ISNUMBER(L359),L359-TODAY(),"Check date"))</f>
        <v/>
      </c>
      <c r="N359" s="27">
        <f>IF(LEN(C359)=0,"",IF(I359="N/A","N/A",IF(OR(I359="",NOT(ISNUMBER(H359))),"Not checked",IF(OR(I359="Not met",LEN(J359)=0,M359&lt;0),"Red",IF(OR(I359="Partly met",M359&lt;=30),"Amber","Green")))))</f>
        <v/>
      </c>
      <c r="O359" s="27">
        <f>IF(N359="Red",IF(I359="Not met","Not met",IF(LEN(J359)=0,"No evidence location","Re-check overdue")),IF(N359="Amber",IF(I359="Partly met","Partly met","Re-check due ≤30 days"),""))</f>
        <v/>
      </c>
      <c r="P359" s="21" t="n"/>
    </row>
    <row r="360">
      <c r="A360" s="21" t="n"/>
      <c r="B360" s="22" t="n"/>
      <c r="C360" s="23" t="n"/>
      <c r="D360" s="23" t="n"/>
      <c r="E360" s="21" t="n"/>
      <c r="F360" s="21" t="n"/>
      <c r="G360" s="21" t="n"/>
      <c r="H360" s="24" t="n"/>
      <c r="I360" s="21" t="n"/>
      <c r="J360" s="21" t="n"/>
      <c r="K360" s="22" t="n"/>
      <c r="L360" s="25">
        <f>IF(ISNUMBER(H360),EDATE(H360,IF(ISNUMBER(K360),K360,3)),"")</f>
        <v/>
      </c>
      <c r="M360" s="26">
        <f>IF(L360="","",IF(ISNUMBER(L360),L360-TODAY(),"Check date"))</f>
        <v/>
      </c>
      <c r="N360" s="27">
        <f>IF(LEN(C360)=0,"",IF(I360="N/A","N/A",IF(OR(I360="",NOT(ISNUMBER(H360))),"Not checked",IF(OR(I360="Not met",LEN(J360)=0,M360&lt;0),"Red",IF(OR(I360="Partly met",M360&lt;=30),"Amber","Green")))))</f>
        <v/>
      </c>
      <c r="O360" s="27">
        <f>IF(N360="Red",IF(I360="Not met","Not met",IF(LEN(J360)=0,"No evidence location","Re-check overdue")),IF(N360="Amber",IF(I360="Partly met","Partly met","Re-check due ≤30 days"),""))</f>
        <v/>
      </c>
      <c r="P360" s="21" t="n"/>
    </row>
    <row r="361">
      <c r="A361" s="21" t="n"/>
      <c r="B361" s="22" t="n"/>
      <c r="C361" s="23" t="n"/>
      <c r="D361" s="23" t="n"/>
      <c r="E361" s="21" t="n"/>
      <c r="F361" s="21" t="n"/>
      <c r="G361" s="21" t="n"/>
      <c r="H361" s="24" t="n"/>
      <c r="I361" s="21" t="n"/>
      <c r="J361" s="21" t="n"/>
      <c r="K361" s="22" t="n"/>
      <c r="L361" s="25">
        <f>IF(ISNUMBER(H361),EDATE(H361,IF(ISNUMBER(K361),K361,3)),"")</f>
        <v/>
      </c>
      <c r="M361" s="26">
        <f>IF(L361="","",IF(ISNUMBER(L361),L361-TODAY(),"Check date"))</f>
        <v/>
      </c>
      <c r="N361" s="27">
        <f>IF(LEN(C361)=0,"",IF(I361="N/A","N/A",IF(OR(I361="",NOT(ISNUMBER(H361))),"Not checked",IF(OR(I361="Not met",LEN(J361)=0,M361&lt;0),"Red",IF(OR(I361="Partly met",M361&lt;=30),"Amber","Green")))))</f>
        <v/>
      </c>
      <c r="O361" s="27">
        <f>IF(N361="Red",IF(I361="Not met","Not met",IF(LEN(J361)=0,"No evidence location","Re-check overdue")),IF(N361="Amber",IF(I361="Partly met","Partly met","Re-check due ≤30 days"),""))</f>
        <v/>
      </c>
      <c r="P361" s="21" t="n"/>
    </row>
    <row r="362">
      <c r="A362" s="21" t="n"/>
      <c r="B362" s="22" t="n"/>
      <c r="C362" s="23" t="n"/>
      <c r="D362" s="23" t="n"/>
      <c r="E362" s="21" t="n"/>
      <c r="F362" s="21" t="n"/>
      <c r="G362" s="21" t="n"/>
      <c r="H362" s="24" t="n"/>
      <c r="I362" s="21" t="n"/>
      <c r="J362" s="21" t="n"/>
      <c r="K362" s="22" t="n"/>
      <c r="L362" s="25">
        <f>IF(ISNUMBER(H362),EDATE(H362,IF(ISNUMBER(K362),K362,3)),"")</f>
        <v/>
      </c>
      <c r="M362" s="26">
        <f>IF(L362="","",IF(ISNUMBER(L362),L362-TODAY(),"Check date"))</f>
        <v/>
      </c>
      <c r="N362" s="27">
        <f>IF(LEN(C362)=0,"",IF(I362="N/A","N/A",IF(OR(I362="",NOT(ISNUMBER(H362))),"Not checked",IF(OR(I362="Not met",LEN(J362)=0,M362&lt;0),"Red",IF(OR(I362="Partly met",M362&lt;=30),"Amber","Green")))))</f>
        <v/>
      </c>
      <c r="O362" s="27">
        <f>IF(N362="Red",IF(I362="Not met","Not met",IF(LEN(J362)=0,"No evidence location","Re-check overdue")),IF(N362="Amber",IF(I362="Partly met","Partly met","Re-check due ≤30 days"),""))</f>
        <v/>
      </c>
      <c r="P362" s="21" t="n"/>
    </row>
    <row r="363">
      <c r="A363" s="21" t="n"/>
      <c r="B363" s="22" t="n"/>
      <c r="C363" s="23" t="n"/>
      <c r="D363" s="23" t="n"/>
      <c r="E363" s="21" t="n"/>
      <c r="F363" s="21" t="n"/>
      <c r="G363" s="21" t="n"/>
      <c r="H363" s="24" t="n"/>
      <c r="I363" s="21" t="n"/>
      <c r="J363" s="21" t="n"/>
      <c r="K363" s="22" t="n"/>
      <c r="L363" s="25">
        <f>IF(ISNUMBER(H363),EDATE(H363,IF(ISNUMBER(K363),K363,3)),"")</f>
        <v/>
      </c>
      <c r="M363" s="26">
        <f>IF(L363="","",IF(ISNUMBER(L363),L363-TODAY(),"Check date"))</f>
        <v/>
      </c>
      <c r="N363" s="27">
        <f>IF(LEN(C363)=0,"",IF(I363="N/A","N/A",IF(OR(I363="",NOT(ISNUMBER(H363))),"Not checked",IF(OR(I363="Not met",LEN(J363)=0,M363&lt;0),"Red",IF(OR(I363="Partly met",M363&lt;=30),"Amber","Green")))))</f>
        <v/>
      </c>
      <c r="O363" s="27">
        <f>IF(N363="Red",IF(I363="Not met","Not met",IF(LEN(J363)=0,"No evidence location","Re-check overdue")),IF(N363="Amber",IF(I363="Partly met","Partly met","Re-check due ≤30 days"),""))</f>
        <v/>
      </c>
      <c r="P363" s="21" t="n"/>
    </row>
    <row r="364">
      <c r="A364" s="21" t="n"/>
      <c r="B364" s="22" t="n"/>
      <c r="C364" s="23" t="n"/>
      <c r="D364" s="23" t="n"/>
      <c r="E364" s="21" t="n"/>
      <c r="F364" s="21" t="n"/>
      <c r="G364" s="21" t="n"/>
      <c r="H364" s="24" t="n"/>
      <c r="I364" s="21" t="n"/>
      <c r="J364" s="21" t="n"/>
      <c r="K364" s="22" t="n"/>
      <c r="L364" s="25">
        <f>IF(ISNUMBER(H364),EDATE(H364,IF(ISNUMBER(K364),K364,3)),"")</f>
        <v/>
      </c>
      <c r="M364" s="26">
        <f>IF(L364="","",IF(ISNUMBER(L364),L364-TODAY(),"Check date"))</f>
        <v/>
      </c>
      <c r="N364" s="27">
        <f>IF(LEN(C364)=0,"",IF(I364="N/A","N/A",IF(OR(I364="",NOT(ISNUMBER(H364))),"Not checked",IF(OR(I364="Not met",LEN(J364)=0,M364&lt;0),"Red",IF(OR(I364="Partly met",M364&lt;=30),"Amber","Green")))))</f>
        <v/>
      </c>
      <c r="O364" s="27">
        <f>IF(N364="Red",IF(I364="Not met","Not met",IF(LEN(J364)=0,"No evidence location","Re-check overdue")),IF(N364="Amber",IF(I364="Partly met","Partly met","Re-check due ≤30 days"),""))</f>
        <v/>
      </c>
      <c r="P364" s="21" t="n"/>
    </row>
    <row r="365">
      <c r="A365" s="21" t="n"/>
      <c r="B365" s="22" t="n"/>
      <c r="C365" s="23" t="n"/>
      <c r="D365" s="23" t="n"/>
      <c r="E365" s="21" t="n"/>
      <c r="F365" s="21" t="n"/>
      <c r="G365" s="21" t="n"/>
      <c r="H365" s="24" t="n"/>
      <c r="I365" s="21" t="n"/>
      <c r="J365" s="21" t="n"/>
      <c r="K365" s="22" t="n"/>
      <c r="L365" s="25">
        <f>IF(ISNUMBER(H365),EDATE(H365,IF(ISNUMBER(K365),K365,3)),"")</f>
        <v/>
      </c>
      <c r="M365" s="26">
        <f>IF(L365="","",IF(ISNUMBER(L365),L365-TODAY(),"Check date"))</f>
        <v/>
      </c>
      <c r="N365" s="27">
        <f>IF(LEN(C365)=0,"",IF(I365="N/A","N/A",IF(OR(I365="",NOT(ISNUMBER(H365))),"Not checked",IF(OR(I365="Not met",LEN(J365)=0,M365&lt;0),"Red",IF(OR(I365="Partly met",M365&lt;=30),"Amber","Green")))))</f>
        <v/>
      </c>
      <c r="O365" s="27">
        <f>IF(N365="Red",IF(I365="Not met","Not met",IF(LEN(J365)=0,"No evidence location","Re-check overdue")),IF(N365="Amber",IF(I365="Partly met","Partly met","Re-check due ≤30 days"),""))</f>
        <v/>
      </c>
      <c r="P365" s="21" t="n"/>
    </row>
    <row r="366">
      <c r="A366" s="21" t="n"/>
      <c r="B366" s="22" t="n"/>
      <c r="C366" s="23" t="n"/>
      <c r="D366" s="23" t="n"/>
      <c r="E366" s="21" t="n"/>
      <c r="F366" s="21" t="n"/>
      <c r="G366" s="21" t="n"/>
      <c r="H366" s="24" t="n"/>
      <c r="I366" s="21" t="n"/>
      <c r="J366" s="21" t="n"/>
      <c r="K366" s="22" t="n"/>
      <c r="L366" s="25">
        <f>IF(ISNUMBER(H366),EDATE(H366,IF(ISNUMBER(K366),K366,3)),"")</f>
        <v/>
      </c>
      <c r="M366" s="26">
        <f>IF(L366="","",IF(ISNUMBER(L366),L366-TODAY(),"Check date"))</f>
        <v/>
      </c>
      <c r="N366" s="27">
        <f>IF(LEN(C366)=0,"",IF(I366="N/A","N/A",IF(OR(I366="",NOT(ISNUMBER(H366))),"Not checked",IF(OR(I366="Not met",LEN(J366)=0,M366&lt;0),"Red",IF(OR(I366="Partly met",M366&lt;=30),"Amber","Green")))))</f>
        <v/>
      </c>
      <c r="O366" s="27">
        <f>IF(N366="Red",IF(I366="Not met","Not met",IF(LEN(J366)=0,"No evidence location","Re-check overdue")),IF(N366="Amber",IF(I366="Partly met","Partly met","Re-check due ≤30 days"),""))</f>
        <v/>
      </c>
      <c r="P366" s="21" t="n"/>
    </row>
    <row r="367">
      <c r="A367" s="21" t="n"/>
      <c r="B367" s="22" t="n"/>
      <c r="C367" s="23" t="n"/>
      <c r="D367" s="23" t="n"/>
      <c r="E367" s="21" t="n"/>
      <c r="F367" s="21" t="n"/>
      <c r="G367" s="21" t="n"/>
      <c r="H367" s="24" t="n"/>
      <c r="I367" s="21" t="n"/>
      <c r="J367" s="21" t="n"/>
      <c r="K367" s="22" t="n"/>
      <c r="L367" s="25">
        <f>IF(ISNUMBER(H367),EDATE(H367,IF(ISNUMBER(K367),K367,3)),"")</f>
        <v/>
      </c>
      <c r="M367" s="26">
        <f>IF(L367="","",IF(ISNUMBER(L367),L367-TODAY(),"Check date"))</f>
        <v/>
      </c>
      <c r="N367" s="27">
        <f>IF(LEN(C367)=0,"",IF(I367="N/A","N/A",IF(OR(I367="",NOT(ISNUMBER(H367))),"Not checked",IF(OR(I367="Not met",LEN(J367)=0,M367&lt;0),"Red",IF(OR(I367="Partly met",M367&lt;=30),"Amber","Green")))))</f>
        <v/>
      </c>
      <c r="O367" s="27">
        <f>IF(N367="Red",IF(I367="Not met","Not met",IF(LEN(J367)=0,"No evidence location","Re-check overdue")),IF(N367="Amber",IF(I367="Partly met","Partly met","Re-check due ≤30 days"),""))</f>
        <v/>
      </c>
      <c r="P367" s="21" t="n"/>
    </row>
    <row r="368">
      <c r="A368" s="21" t="n"/>
      <c r="B368" s="22" t="n"/>
      <c r="C368" s="23" t="n"/>
      <c r="D368" s="23" t="n"/>
      <c r="E368" s="21" t="n"/>
      <c r="F368" s="21" t="n"/>
      <c r="G368" s="21" t="n"/>
      <c r="H368" s="24" t="n"/>
      <c r="I368" s="21" t="n"/>
      <c r="J368" s="21" t="n"/>
      <c r="K368" s="22" t="n"/>
      <c r="L368" s="25">
        <f>IF(ISNUMBER(H368),EDATE(H368,IF(ISNUMBER(K368),K368,3)),"")</f>
        <v/>
      </c>
      <c r="M368" s="26">
        <f>IF(L368="","",IF(ISNUMBER(L368),L368-TODAY(),"Check date"))</f>
        <v/>
      </c>
      <c r="N368" s="27">
        <f>IF(LEN(C368)=0,"",IF(I368="N/A","N/A",IF(OR(I368="",NOT(ISNUMBER(H368))),"Not checked",IF(OR(I368="Not met",LEN(J368)=0,M368&lt;0),"Red",IF(OR(I368="Partly met",M368&lt;=30),"Amber","Green")))))</f>
        <v/>
      </c>
      <c r="O368" s="27">
        <f>IF(N368="Red",IF(I368="Not met","Not met",IF(LEN(J368)=0,"No evidence location","Re-check overdue")),IF(N368="Amber",IF(I368="Partly met","Partly met","Re-check due ≤30 days"),""))</f>
        <v/>
      </c>
      <c r="P368" s="21" t="n"/>
    </row>
    <row r="369">
      <c r="A369" s="21" t="n"/>
      <c r="B369" s="22" t="n"/>
      <c r="C369" s="23" t="n"/>
      <c r="D369" s="23" t="n"/>
      <c r="E369" s="21" t="n"/>
      <c r="F369" s="21" t="n"/>
      <c r="G369" s="21" t="n"/>
      <c r="H369" s="24" t="n"/>
      <c r="I369" s="21" t="n"/>
      <c r="J369" s="21" t="n"/>
      <c r="K369" s="22" t="n"/>
      <c r="L369" s="25">
        <f>IF(ISNUMBER(H369),EDATE(H369,IF(ISNUMBER(K369),K369,3)),"")</f>
        <v/>
      </c>
      <c r="M369" s="26">
        <f>IF(L369="","",IF(ISNUMBER(L369),L369-TODAY(),"Check date"))</f>
        <v/>
      </c>
      <c r="N369" s="27">
        <f>IF(LEN(C369)=0,"",IF(I369="N/A","N/A",IF(OR(I369="",NOT(ISNUMBER(H369))),"Not checked",IF(OR(I369="Not met",LEN(J369)=0,M369&lt;0),"Red",IF(OR(I369="Partly met",M369&lt;=30),"Amber","Green")))))</f>
        <v/>
      </c>
      <c r="O369" s="27">
        <f>IF(N369="Red",IF(I369="Not met","Not met",IF(LEN(J369)=0,"No evidence location","Re-check overdue")),IF(N369="Amber",IF(I369="Partly met","Partly met","Re-check due ≤30 days"),""))</f>
        <v/>
      </c>
      <c r="P369" s="21" t="n"/>
    </row>
    <row r="370">
      <c r="A370" s="21" t="n"/>
      <c r="B370" s="22" t="n"/>
      <c r="C370" s="23" t="n"/>
      <c r="D370" s="23" t="n"/>
      <c r="E370" s="21" t="n"/>
      <c r="F370" s="21" t="n"/>
      <c r="G370" s="21" t="n"/>
      <c r="H370" s="24" t="n"/>
      <c r="I370" s="21" t="n"/>
      <c r="J370" s="21" t="n"/>
      <c r="K370" s="22" t="n"/>
      <c r="L370" s="25">
        <f>IF(ISNUMBER(H370),EDATE(H370,IF(ISNUMBER(K370),K370,3)),"")</f>
        <v/>
      </c>
      <c r="M370" s="26">
        <f>IF(L370="","",IF(ISNUMBER(L370),L370-TODAY(),"Check date"))</f>
        <v/>
      </c>
      <c r="N370" s="27">
        <f>IF(LEN(C370)=0,"",IF(I370="N/A","N/A",IF(OR(I370="",NOT(ISNUMBER(H370))),"Not checked",IF(OR(I370="Not met",LEN(J370)=0,M370&lt;0),"Red",IF(OR(I370="Partly met",M370&lt;=30),"Amber","Green")))))</f>
        <v/>
      </c>
      <c r="O370" s="27">
        <f>IF(N370="Red",IF(I370="Not met","Not met",IF(LEN(J370)=0,"No evidence location","Re-check overdue")),IF(N370="Amber",IF(I370="Partly met","Partly met","Re-check due ≤30 days"),""))</f>
        <v/>
      </c>
      <c r="P370" s="21" t="n"/>
    </row>
    <row r="371">
      <c r="A371" s="21" t="n"/>
      <c r="B371" s="22" t="n"/>
      <c r="C371" s="23" t="n"/>
      <c r="D371" s="23" t="n"/>
      <c r="E371" s="21" t="n"/>
      <c r="F371" s="21" t="n"/>
      <c r="G371" s="21" t="n"/>
      <c r="H371" s="24" t="n"/>
      <c r="I371" s="21" t="n"/>
      <c r="J371" s="21" t="n"/>
      <c r="K371" s="22" t="n"/>
      <c r="L371" s="25">
        <f>IF(ISNUMBER(H371),EDATE(H371,IF(ISNUMBER(K371),K371,3)),"")</f>
        <v/>
      </c>
      <c r="M371" s="26">
        <f>IF(L371="","",IF(ISNUMBER(L371),L371-TODAY(),"Check date"))</f>
        <v/>
      </c>
      <c r="N371" s="27">
        <f>IF(LEN(C371)=0,"",IF(I371="N/A","N/A",IF(OR(I371="",NOT(ISNUMBER(H371))),"Not checked",IF(OR(I371="Not met",LEN(J371)=0,M371&lt;0),"Red",IF(OR(I371="Partly met",M371&lt;=30),"Amber","Green")))))</f>
        <v/>
      </c>
      <c r="O371" s="27">
        <f>IF(N371="Red",IF(I371="Not met","Not met",IF(LEN(J371)=0,"No evidence location","Re-check overdue")),IF(N371="Amber",IF(I371="Partly met","Partly met","Re-check due ≤30 days"),""))</f>
        <v/>
      </c>
      <c r="P371" s="21" t="n"/>
    </row>
    <row r="372">
      <c r="A372" s="21" t="n"/>
      <c r="B372" s="22" t="n"/>
      <c r="C372" s="23" t="n"/>
      <c r="D372" s="23" t="n"/>
      <c r="E372" s="21" t="n"/>
      <c r="F372" s="21" t="n"/>
      <c r="G372" s="21" t="n"/>
      <c r="H372" s="24" t="n"/>
      <c r="I372" s="21" t="n"/>
      <c r="J372" s="21" t="n"/>
      <c r="K372" s="22" t="n"/>
      <c r="L372" s="25">
        <f>IF(ISNUMBER(H372),EDATE(H372,IF(ISNUMBER(K372),K372,3)),"")</f>
        <v/>
      </c>
      <c r="M372" s="26">
        <f>IF(L372="","",IF(ISNUMBER(L372),L372-TODAY(),"Check date"))</f>
        <v/>
      </c>
      <c r="N372" s="27">
        <f>IF(LEN(C372)=0,"",IF(I372="N/A","N/A",IF(OR(I372="",NOT(ISNUMBER(H372))),"Not checked",IF(OR(I372="Not met",LEN(J372)=0,M372&lt;0),"Red",IF(OR(I372="Partly met",M372&lt;=30),"Amber","Green")))))</f>
        <v/>
      </c>
      <c r="O372" s="27">
        <f>IF(N372="Red",IF(I372="Not met","Not met",IF(LEN(J372)=0,"No evidence location","Re-check overdue")),IF(N372="Amber",IF(I372="Partly met","Partly met","Re-check due ≤30 days"),""))</f>
        <v/>
      </c>
      <c r="P372" s="21" t="n"/>
    </row>
    <row r="373">
      <c r="A373" s="21" t="n"/>
      <c r="B373" s="22" t="n"/>
      <c r="C373" s="23" t="n"/>
      <c r="D373" s="23" t="n"/>
      <c r="E373" s="21" t="n"/>
      <c r="F373" s="21" t="n"/>
      <c r="G373" s="21" t="n"/>
      <c r="H373" s="24" t="n"/>
      <c r="I373" s="21" t="n"/>
      <c r="J373" s="21" t="n"/>
      <c r="K373" s="22" t="n"/>
      <c r="L373" s="25">
        <f>IF(ISNUMBER(H373),EDATE(H373,IF(ISNUMBER(K373),K373,3)),"")</f>
        <v/>
      </c>
      <c r="M373" s="26">
        <f>IF(L373="","",IF(ISNUMBER(L373),L373-TODAY(),"Check date"))</f>
        <v/>
      </c>
      <c r="N373" s="27">
        <f>IF(LEN(C373)=0,"",IF(I373="N/A","N/A",IF(OR(I373="",NOT(ISNUMBER(H373))),"Not checked",IF(OR(I373="Not met",LEN(J373)=0,M373&lt;0),"Red",IF(OR(I373="Partly met",M373&lt;=30),"Amber","Green")))))</f>
        <v/>
      </c>
      <c r="O373" s="27">
        <f>IF(N373="Red",IF(I373="Not met","Not met",IF(LEN(J373)=0,"No evidence location","Re-check overdue")),IF(N373="Amber",IF(I373="Partly met","Partly met","Re-check due ≤30 days"),""))</f>
        <v/>
      </c>
      <c r="P373" s="21" t="n"/>
    </row>
    <row r="374">
      <c r="A374" s="21" t="n"/>
      <c r="B374" s="22" t="n"/>
      <c r="C374" s="23" t="n"/>
      <c r="D374" s="23" t="n"/>
      <c r="E374" s="21" t="n"/>
      <c r="F374" s="21" t="n"/>
      <c r="G374" s="21" t="n"/>
      <c r="H374" s="24" t="n"/>
      <c r="I374" s="21" t="n"/>
      <c r="J374" s="21" t="n"/>
      <c r="K374" s="22" t="n"/>
      <c r="L374" s="25">
        <f>IF(ISNUMBER(H374),EDATE(H374,IF(ISNUMBER(K374),K374,3)),"")</f>
        <v/>
      </c>
      <c r="M374" s="26">
        <f>IF(L374="","",IF(ISNUMBER(L374),L374-TODAY(),"Check date"))</f>
        <v/>
      </c>
      <c r="N374" s="27">
        <f>IF(LEN(C374)=0,"",IF(I374="N/A","N/A",IF(OR(I374="",NOT(ISNUMBER(H374))),"Not checked",IF(OR(I374="Not met",LEN(J374)=0,M374&lt;0),"Red",IF(OR(I374="Partly met",M374&lt;=30),"Amber","Green")))))</f>
        <v/>
      </c>
      <c r="O374" s="27">
        <f>IF(N374="Red",IF(I374="Not met","Not met",IF(LEN(J374)=0,"No evidence location","Re-check overdue")),IF(N374="Amber",IF(I374="Partly met","Partly met","Re-check due ≤30 days"),""))</f>
        <v/>
      </c>
      <c r="P374" s="21" t="n"/>
    </row>
    <row r="375">
      <c r="A375" s="21" t="n"/>
      <c r="B375" s="22" t="n"/>
      <c r="C375" s="23" t="n"/>
      <c r="D375" s="23" t="n"/>
      <c r="E375" s="21" t="n"/>
      <c r="F375" s="21" t="n"/>
      <c r="G375" s="21" t="n"/>
      <c r="H375" s="24" t="n"/>
      <c r="I375" s="21" t="n"/>
      <c r="J375" s="21" t="n"/>
      <c r="K375" s="22" t="n"/>
      <c r="L375" s="25">
        <f>IF(ISNUMBER(H375),EDATE(H375,IF(ISNUMBER(K375),K375,3)),"")</f>
        <v/>
      </c>
      <c r="M375" s="26">
        <f>IF(L375="","",IF(ISNUMBER(L375),L375-TODAY(),"Check date"))</f>
        <v/>
      </c>
      <c r="N375" s="27">
        <f>IF(LEN(C375)=0,"",IF(I375="N/A","N/A",IF(OR(I375="",NOT(ISNUMBER(H375))),"Not checked",IF(OR(I375="Not met",LEN(J375)=0,M375&lt;0),"Red",IF(OR(I375="Partly met",M375&lt;=30),"Amber","Green")))))</f>
        <v/>
      </c>
      <c r="O375" s="27">
        <f>IF(N375="Red",IF(I375="Not met","Not met",IF(LEN(J375)=0,"No evidence location","Re-check overdue")),IF(N375="Amber",IF(I375="Partly met","Partly met","Re-check due ≤30 days"),""))</f>
        <v/>
      </c>
      <c r="P375" s="21" t="n"/>
    </row>
    <row r="376">
      <c r="A376" s="21" t="n"/>
      <c r="B376" s="22" t="n"/>
      <c r="C376" s="23" t="n"/>
      <c r="D376" s="23" t="n"/>
      <c r="E376" s="21" t="n"/>
      <c r="F376" s="21" t="n"/>
      <c r="G376" s="21" t="n"/>
      <c r="H376" s="24" t="n"/>
      <c r="I376" s="21" t="n"/>
      <c r="J376" s="21" t="n"/>
      <c r="K376" s="22" t="n"/>
      <c r="L376" s="25">
        <f>IF(ISNUMBER(H376),EDATE(H376,IF(ISNUMBER(K376),K376,3)),"")</f>
        <v/>
      </c>
      <c r="M376" s="26">
        <f>IF(L376="","",IF(ISNUMBER(L376),L376-TODAY(),"Check date"))</f>
        <v/>
      </c>
      <c r="N376" s="27">
        <f>IF(LEN(C376)=0,"",IF(I376="N/A","N/A",IF(OR(I376="",NOT(ISNUMBER(H376))),"Not checked",IF(OR(I376="Not met",LEN(J376)=0,M376&lt;0),"Red",IF(OR(I376="Partly met",M376&lt;=30),"Amber","Green")))))</f>
        <v/>
      </c>
      <c r="O376" s="27">
        <f>IF(N376="Red",IF(I376="Not met","Not met",IF(LEN(J376)=0,"No evidence location","Re-check overdue")),IF(N376="Amber",IF(I376="Partly met","Partly met","Re-check due ≤30 days"),""))</f>
        <v/>
      </c>
      <c r="P376" s="21" t="n"/>
    </row>
    <row r="377">
      <c r="A377" s="21" t="n"/>
      <c r="B377" s="22" t="n"/>
      <c r="C377" s="23" t="n"/>
      <c r="D377" s="23" t="n"/>
      <c r="E377" s="21" t="n"/>
      <c r="F377" s="21" t="n"/>
      <c r="G377" s="21" t="n"/>
      <c r="H377" s="24" t="n"/>
      <c r="I377" s="21" t="n"/>
      <c r="J377" s="21" t="n"/>
      <c r="K377" s="22" t="n"/>
      <c r="L377" s="25">
        <f>IF(ISNUMBER(H377),EDATE(H377,IF(ISNUMBER(K377),K377,3)),"")</f>
        <v/>
      </c>
      <c r="M377" s="26">
        <f>IF(L377="","",IF(ISNUMBER(L377),L377-TODAY(),"Check date"))</f>
        <v/>
      </c>
      <c r="N377" s="27">
        <f>IF(LEN(C377)=0,"",IF(I377="N/A","N/A",IF(OR(I377="",NOT(ISNUMBER(H377))),"Not checked",IF(OR(I377="Not met",LEN(J377)=0,M377&lt;0),"Red",IF(OR(I377="Partly met",M377&lt;=30),"Amber","Green")))))</f>
        <v/>
      </c>
      <c r="O377" s="27">
        <f>IF(N377="Red",IF(I377="Not met","Not met",IF(LEN(J377)=0,"No evidence location","Re-check overdue")),IF(N377="Amber",IF(I377="Partly met","Partly met","Re-check due ≤30 days"),""))</f>
        <v/>
      </c>
      <c r="P377" s="21" t="n"/>
    </row>
    <row r="378">
      <c r="A378" s="21" t="n"/>
      <c r="B378" s="22" t="n"/>
      <c r="C378" s="23" t="n"/>
      <c r="D378" s="23" t="n"/>
      <c r="E378" s="21" t="n"/>
      <c r="F378" s="21" t="n"/>
      <c r="G378" s="21" t="n"/>
      <c r="H378" s="24" t="n"/>
      <c r="I378" s="21" t="n"/>
      <c r="J378" s="21" t="n"/>
      <c r="K378" s="22" t="n"/>
      <c r="L378" s="25">
        <f>IF(ISNUMBER(H378),EDATE(H378,IF(ISNUMBER(K378),K378,3)),"")</f>
        <v/>
      </c>
      <c r="M378" s="26">
        <f>IF(L378="","",IF(ISNUMBER(L378),L378-TODAY(),"Check date"))</f>
        <v/>
      </c>
      <c r="N378" s="27">
        <f>IF(LEN(C378)=0,"",IF(I378="N/A","N/A",IF(OR(I378="",NOT(ISNUMBER(H378))),"Not checked",IF(OR(I378="Not met",LEN(J378)=0,M378&lt;0),"Red",IF(OR(I378="Partly met",M378&lt;=30),"Amber","Green")))))</f>
        <v/>
      </c>
      <c r="O378" s="27">
        <f>IF(N378="Red",IF(I378="Not met","Not met",IF(LEN(J378)=0,"No evidence location","Re-check overdue")),IF(N378="Amber",IF(I378="Partly met","Partly met","Re-check due ≤30 days"),""))</f>
        <v/>
      </c>
      <c r="P378" s="21" t="n"/>
    </row>
    <row r="379">
      <c r="A379" s="21" t="n"/>
      <c r="B379" s="22" t="n"/>
      <c r="C379" s="23" t="n"/>
      <c r="D379" s="23" t="n"/>
      <c r="E379" s="21" t="n"/>
      <c r="F379" s="21" t="n"/>
      <c r="G379" s="21" t="n"/>
      <c r="H379" s="24" t="n"/>
      <c r="I379" s="21" t="n"/>
      <c r="J379" s="21" t="n"/>
      <c r="K379" s="22" t="n"/>
      <c r="L379" s="25">
        <f>IF(ISNUMBER(H379),EDATE(H379,IF(ISNUMBER(K379),K379,3)),"")</f>
        <v/>
      </c>
      <c r="M379" s="26">
        <f>IF(L379="","",IF(ISNUMBER(L379),L379-TODAY(),"Check date"))</f>
        <v/>
      </c>
      <c r="N379" s="27">
        <f>IF(LEN(C379)=0,"",IF(I379="N/A","N/A",IF(OR(I379="",NOT(ISNUMBER(H379))),"Not checked",IF(OR(I379="Not met",LEN(J379)=0,M379&lt;0),"Red",IF(OR(I379="Partly met",M379&lt;=30),"Amber","Green")))))</f>
        <v/>
      </c>
      <c r="O379" s="27">
        <f>IF(N379="Red",IF(I379="Not met","Not met",IF(LEN(J379)=0,"No evidence location","Re-check overdue")),IF(N379="Amber",IF(I379="Partly met","Partly met","Re-check due ≤30 days"),""))</f>
        <v/>
      </c>
      <c r="P379" s="21" t="n"/>
    </row>
    <row r="380">
      <c r="A380" s="21" t="n"/>
      <c r="B380" s="22" t="n"/>
      <c r="C380" s="23" t="n"/>
      <c r="D380" s="23" t="n"/>
      <c r="E380" s="21" t="n"/>
      <c r="F380" s="21" t="n"/>
      <c r="G380" s="21" t="n"/>
      <c r="H380" s="24" t="n"/>
      <c r="I380" s="21" t="n"/>
      <c r="J380" s="21" t="n"/>
      <c r="K380" s="22" t="n"/>
      <c r="L380" s="25">
        <f>IF(ISNUMBER(H380),EDATE(H380,IF(ISNUMBER(K380),K380,3)),"")</f>
        <v/>
      </c>
      <c r="M380" s="26">
        <f>IF(L380="","",IF(ISNUMBER(L380),L380-TODAY(),"Check date"))</f>
        <v/>
      </c>
      <c r="N380" s="27">
        <f>IF(LEN(C380)=0,"",IF(I380="N/A","N/A",IF(OR(I380="",NOT(ISNUMBER(H380))),"Not checked",IF(OR(I380="Not met",LEN(J380)=0,M380&lt;0),"Red",IF(OR(I380="Partly met",M380&lt;=30),"Amber","Green")))))</f>
        <v/>
      </c>
      <c r="O380" s="27">
        <f>IF(N380="Red",IF(I380="Not met","Not met",IF(LEN(J380)=0,"No evidence location","Re-check overdue")),IF(N380="Amber",IF(I380="Partly met","Partly met","Re-check due ≤30 days"),""))</f>
        <v/>
      </c>
      <c r="P380" s="21" t="n"/>
    </row>
    <row r="381">
      <c r="A381" s="21" t="n"/>
      <c r="B381" s="22" t="n"/>
      <c r="C381" s="23" t="n"/>
      <c r="D381" s="23" t="n"/>
      <c r="E381" s="21" t="n"/>
      <c r="F381" s="21" t="n"/>
      <c r="G381" s="21" t="n"/>
      <c r="H381" s="24" t="n"/>
      <c r="I381" s="21" t="n"/>
      <c r="J381" s="21" t="n"/>
      <c r="K381" s="22" t="n"/>
      <c r="L381" s="25">
        <f>IF(ISNUMBER(H381),EDATE(H381,IF(ISNUMBER(K381),K381,3)),"")</f>
        <v/>
      </c>
      <c r="M381" s="26">
        <f>IF(L381="","",IF(ISNUMBER(L381),L381-TODAY(),"Check date"))</f>
        <v/>
      </c>
      <c r="N381" s="27">
        <f>IF(LEN(C381)=0,"",IF(I381="N/A","N/A",IF(OR(I381="",NOT(ISNUMBER(H381))),"Not checked",IF(OR(I381="Not met",LEN(J381)=0,M381&lt;0),"Red",IF(OR(I381="Partly met",M381&lt;=30),"Amber","Green")))))</f>
        <v/>
      </c>
      <c r="O381" s="27">
        <f>IF(N381="Red",IF(I381="Not met","Not met",IF(LEN(J381)=0,"No evidence location","Re-check overdue")),IF(N381="Amber",IF(I381="Partly met","Partly met","Re-check due ≤30 days"),""))</f>
        <v/>
      </c>
      <c r="P381" s="21" t="n"/>
    </row>
    <row r="382">
      <c r="A382" s="21" t="n"/>
      <c r="B382" s="22" t="n"/>
      <c r="C382" s="23" t="n"/>
      <c r="D382" s="23" t="n"/>
      <c r="E382" s="21" t="n"/>
      <c r="F382" s="21" t="n"/>
      <c r="G382" s="21" t="n"/>
      <c r="H382" s="24" t="n"/>
      <c r="I382" s="21" t="n"/>
      <c r="J382" s="21" t="n"/>
      <c r="K382" s="22" t="n"/>
      <c r="L382" s="25">
        <f>IF(ISNUMBER(H382),EDATE(H382,IF(ISNUMBER(K382),K382,3)),"")</f>
        <v/>
      </c>
      <c r="M382" s="26">
        <f>IF(L382="","",IF(ISNUMBER(L382),L382-TODAY(),"Check date"))</f>
        <v/>
      </c>
      <c r="N382" s="27">
        <f>IF(LEN(C382)=0,"",IF(I382="N/A","N/A",IF(OR(I382="",NOT(ISNUMBER(H382))),"Not checked",IF(OR(I382="Not met",LEN(J382)=0,M382&lt;0),"Red",IF(OR(I382="Partly met",M382&lt;=30),"Amber","Green")))))</f>
        <v/>
      </c>
      <c r="O382" s="27">
        <f>IF(N382="Red",IF(I382="Not met","Not met",IF(LEN(J382)=0,"No evidence location","Re-check overdue")),IF(N382="Amber",IF(I382="Partly met","Partly met","Re-check due ≤30 days"),""))</f>
        <v/>
      </c>
      <c r="P382" s="21" t="n"/>
    </row>
    <row r="383">
      <c r="A383" s="21" t="n"/>
      <c r="B383" s="22" t="n"/>
      <c r="C383" s="23" t="n"/>
      <c r="D383" s="23" t="n"/>
      <c r="E383" s="21" t="n"/>
      <c r="F383" s="21" t="n"/>
      <c r="G383" s="21" t="n"/>
      <c r="H383" s="24" t="n"/>
      <c r="I383" s="21" t="n"/>
      <c r="J383" s="21" t="n"/>
      <c r="K383" s="22" t="n"/>
      <c r="L383" s="25">
        <f>IF(ISNUMBER(H383),EDATE(H383,IF(ISNUMBER(K383),K383,3)),"")</f>
        <v/>
      </c>
      <c r="M383" s="26">
        <f>IF(L383="","",IF(ISNUMBER(L383),L383-TODAY(),"Check date"))</f>
        <v/>
      </c>
      <c r="N383" s="27">
        <f>IF(LEN(C383)=0,"",IF(I383="N/A","N/A",IF(OR(I383="",NOT(ISNUMBER(H383))),"Not checked",IF(OR(I383="Not met",LEN(J383)=0,M383&lt;0),"Red",IF(OR(I383="Partly met",M383&lt;=30),"Amber","Green")))))</f>
        <v/>
      </c>
      <c r="O383" s="27">
        <f>IF(N383="Red",IF(I383="Not met","Not met",IF(LEN(J383)=0,"No evidence location","Re-check overdue")),IF(N383="Amber",IF(I383="Partly met","Partly met","Re-check due ≤30 days"),""))</f>
        <v/>
      </c>
      <c r="P383" s="21" t="n"/>
    </row>
    <row r="384">
      <c r="A384" s="21" t="n"/>
      <c r="B384" s="22" t="n"/>
      <c r="C384" s="23" t="n"/>
      <c r="D384" s="23" t="n"/>
      <c r="E384" s="21" t="n"/>
      <c r="F384" s="21" t="n"/>
      <c r="G384" s="21" t="n"/>
      <c r="H384" s="24" t="n"/>
      <c r="I384" s="21" t="n"/>
      <c r="J384" s="21" t="n"/>
      <c r="K384" s="22" t="n"/>
      <c r="L384" s="25">
        <f>IF(ISNUMBER(H384),EDATE(H384,IF(ISNUMBER(K384),K384,3)),"")</f>
        <v/>
      </c>
      <c r="M384" s="26">
        <f>IF(L384="","",IF(ISNUMBER(L384),L384-TODAY(),"Check date"))</f>
        <v/>
      </c>
      <c r="N384" s="27">
        <f>IF(LEN(C384)=0,"",IF(I384="N/A","N/A",IF(OR(I384="",NOT(ISNUMBER(H384))),"Not checked",IF(OR(I384="Not met",LEN(J384)=0,M384&lt;0),"Red",IF(OR(I384="Partly met",M384&lt;=30),"Amber","Green")))))</f>
        <v/>
      </c>
      <c r="O384" s="27">
        <f>IF(N384="Red",IF(I384="Not met","Not met",IF(LEN(J384)=0,"No evidence location","Re-check overdue")),IF(N384="Amber",IF(I384="Partly met","Partly met","Re-check due ≤30 days"),""))</f>
        <v/>
      </c>
      <c r="P384" s="21" t="n"/>
    </row>
    <row r="385">
      <c r="A385" s="21" t="n"/>
      <c r="B385" s="22" t="n"/>
      <c r="C385" s="23" t="n"/>
      <c r="D385" s="23" t="n"/>
      <c r="E385" s="21" t="n"/>
      <c r="F385" s="21" t="n"/>
      <c r="G385" s="21" t="n"/>
      <c r="H385" s="24" t="n"/>
      <c r="I385" s="21" t="n"/>
      <c r="J385" s="21" t="n"/>
      <c r="K385" s="22" t="n"/>
      <c r="L385" s="25">
        <f>IF(ISNUMBER(H385),EDATE(H385,IF(ISNUMBER(K385),K385,3)),"")</f>
        <v/>
      </c>
      <c r="M385" s="26">
        <f>IF(L385="","",IF(ISNUMBER(L385),L385-TODAY(),"Check date"))</f>
        <v/>
      </c>
      <c r="N385" s="27">
        <f>IF(LEN(C385)=0,"",IF(I385="N/A","N/A",IF(OR(I385="",NOT(ISNUMBER(H385))),"Not checked",IF(OR(I385="Not met",LEN(J385)=0,M385&lt;0),"Red",IF(OR(I385="Partly met",M385&lt;=30),"Amber","Green")))))</f>
        <v/>
      </c>
      <c r="O385" s="27">
        <f>IF(N385="Red",IF(I385="Not met","Not met",IF(LEN(J385)=0,"No evidence location","Re-check overdue")),IF(N385="Amber",IF(I385="Partly met","Partly met","Re-check due ≤30 days"),""))</f>
        <v/>
      </c>
      <c r="P385" s="21" t="n"/>
    </row>
    <row r="386">
      <c r="A386" s="21" t="n"/>
      <c r="B386" s="22" t="n"/>
      <c r="C386" s="23" t="n"/>
      <c r="D386" s="23" t="n"/>
      <c r="E386" s="21" t="n"/>
      <c r="F386" s="21" t="n"/>
      <c r="G386" s="21" t="n"/>
      <c r="H386" s="24" t="n"/>
      <c r="I386" s="21" t="n"/>
      <c r="J386" s="21" t="n"/>
      <c r="K386" s="22" t="n"/>
      <c r="L386" s="25">
        <f>IF(ISNUMBER(H386),EDATE(H386,IF(ISNUMBER(K386),K386,3)),"")</f>
        <v/>
      </c>
      <c r="M386" s="26">
        <f>IF(L386="","",IF(ISNUMBER(L386),L386-TODAY(),"Check date"))</f>
        <v/>
      </c>
      <c r="N386" s="27">
        <f>IF(LEN(C386)=0,"",IF(I386="N/A","N/A",IF(OR(I386="",NOT(ISNUMBER(H386))),"Not checked",IF(OR(I386="Not met",LEN(J386)=0,M386&lt;0),"Red",IF(OR(I386="Partly met",M386&lt;=30),"Amber","Green")))))</f>
        <v/>
      </c>
      <c r="O386" s="27">
        <f>IF(N386="Red",IF(I386="Not met","Not met",IF(LEN(J386)=0,"No evidence location","Re-check overdue")),IF(N386="Amber",IF(I386="Partly met","Partly met","Re-check due ≤30 days"),""))</f>
        <v/>
      </c>
      <c r="P386" s="21" t="n"/>
    </row>
    <row r="387">
      <c r="A387" s="21" t="n"/>
      <c r="B387" s="22" t="n"/>
      <c r="C387" s="23" t="n"/>
      <c r="D387" s="23" t="n"/>
      <c r="E387" s="21" t="n"/>
      <c r="F387" s="21" t="n"/>
      <c r="G387" s="21" t="n"/>
      <c r="H387" s="24" t="n"/>
      <c r="I387" s="21" t="n"/>
      <c r="J387" s="21" t="n"/>
      <c r="K387" s="22" t="n"/>
      <c r="L387" s="25">
        <f>IF(ISNUMBER(H387),EDATE(H387,IF(ISNUMBER(K387),K387,3)),"")</f>
        <v/>
      </c>
      <c r="M387" s="26">
        <f>IF(L387="","",IF(ISNUMBER(L387),L387-TODAY(),"Check date"))</f>
        <v/>
      </c>
      <c r="N387" s="27">
        <f>IF(LEN(C387)=0,"",IF(I387="N/A","N/A",IF(OR(I387="",NOT(ISNUMBER(H387))),"Not checked",IF(OR(I387="Not met",LEN(J387)=0,M387&lt;0),"Red",IF(OR(I387="Partly met",M387&lt;=30),"Amber","Green")))))</f>
        <v/>
      </c>
      <c r="O387" s="27">
        <f>IF(N387="Red",IF(I387="Not met","Not met",IF(LEN(J387)=0,"No evidence location","Re-check overdue")),IF(N387="Amber",IF(I387="Partly met","Partly met","Re-check due ≤30 days"),""))</f>
        <v/>
      </c>
      <c r="P387" s="21" t="n"/>
    </row>
    <row r="388">
      <c r="A388" s="21" t="n"/>
      <c r="B388" s="22" t="n"/>
      <c r="C388" s="23" t="n"/>
      <c r="D388" s="23" t="n"/>
      <c r="E388" s="21" t="n"/>
      <c r="F388" s="21" t="n"/>
      <c r="G388" s="21" t="n"/>
      <c r="H388" s="24" t="n"/>
      <c r="I388" s="21" t="n"/>
      <c r="J388" s="21" t="n"/>
      <c r="K388" s="22" t="n"/>
      <c r="L388" s="25">
        <f>IF(ISNUMBER(H388),EDATE(H388,IF(ISNUMBER(K388),K388,3)),"")</f>
        <v/>
      </c>
      <c r="M388" s="26">
        <f>IF(L388="","",IF(ISNUMBER(L388),L388-TODAY(),"Check date"))</f>
        <v/>
      </c>
      <c r="N388" s="27">
        <f>IF(LEN(C388)=0,"",IF(I388="N/A","N/A",IF(OR(I388="",NOT(ISNUMBER(H388))),"Not checked",IF(OR(I388="Not met",LEN(J388)=0,M388&lt;0),"Red",IF(OR(I388="Partly met",M388&lt;=30),"Amber","Green")))))</f>
        <v/>
      </c>
      <c r="O388" s="27">
        <f>IF(N388="Red",IF(I388="Not met","Not met",IF(LEN(J388)=0,"No evidence location","Re-check overdue")),IF(N388="Amber",IF(I388="Partly met","Partly met","Re-check due ≤30 days"),""))</f>
        <v/>
      </c>
      <c r="P388" s="21" t="n"/>
    </row>
    <row r="389">
      <c r="A389" s="21" t="n"/>
      <c r="B389" s="22" t="n"/>
      <c r="C389" s="23" t="n"/>
      <c r="D389" s="23" t="n"/>
      <c r="E389" s="21" t="n"/>
      <c r="F389" s="21" t="n"/>
      <c r="G389" s="21" t="n"/>
      <c r="H389" s="24" t="n"/>
      <c r="I389" s="21" t="n"/>
      <c r="J389" s="21" t="n"/>
      <c r="K389" s="22" t="n"/>
      <c r="L389" s="25">
        <f>IF(ISNUMBER(H389),EDATE(H389,IF(ISNUMBER(K389),K389,3)),"")</f>
        <v/>
      </c>
      <c r="M389" s="26">
        <f>IF(L389="","",IF(ISNUMBER(L389),L389-TODAY(),"Check date"))</f>
        <v/>
      </c>
      <c r="N389" s="27">
        <f>IF(LEN(C389)=0,"",IF(I389="N/A","N/A",IF(OR(I389="",NOT(ISNUMBER(H389))),"Not checked",IF(OR(I389="Not met",LEN(J389)=0,M389&lt;0),"Red",IF(OR(I389="Partly met",M389&lt;=30),"Amber","Green")))))</f>
        <v/>
      </c>
      <c r="O389" s="27">
        <f>IF(N389="Red",IF(I389="Not met","Not met",IF(LEN(J389)=0,"No evidence location","Re-check overdue")),IF(N389="Amber",IF(I389="Partly met","Partly met","Re-check due ≤30 days"),""))</f>
        <v/>
      </c>
      <c r="P389" s="21" t="n"/>
    </row>
    <row r="390">
      <c r="A390" s="21" t="n"/>
      <c r="B390" s="22" t="n"/>
      <c r="C390" s="23" t="n"/>
      <c r="D390" s="23" t="n"/>
      <c r="E390" s="21" t="n"/>
      <c r="F390" s="21" t="n"/>
      <c r="G390" s="21" t="n"/>
      <c r="H390" s="24" t="n"/>
      <c r="I390" s="21" t="n"/>
      <c r="J390" s="21" t="n"/>
      <c r="K390" s="22" t="n"/>
      <c r="L390" s="25">
        <f>IF(ISNUMBER(H390),EDATE(H390,IF(ISNUMBER(K390),K390,3)),"")</f>
        <v/>
      </c>
      <c r="M390" s="26">
        <f>IF(L390="","",IF(ISNUMBER(L390),L390-TODAY(),"Check date"))</f>
        <v/>
      </c>
      <c r="N390" s="27">
        <f>IF(LEN(C390)=0,"",IF(I390="N/A","N/A",IF(OR(I390="",NOT(ISNUMBER(H390))),"Not checked",IF(OR(I390="Not met",LEN(J390)=0,M390&lt;0),"Red",IF(OR(I390="Partly met",M390&lt;=30),"Amber","Green")))))</f>
        <v/>
      </c>
      <c r="O390" s="27">
        <f>IF(N390="Red",IF(I390="Not met","Not met",IF(LEN(J390)=0,"No evidence location","Re-check overdue")),IF(N390="Amber",IF(I390="Partly met","Partly met","Re-check due ≤30 days"),""))</f>
        <v/>
      </c>
      <c r="P390" s="21" t="n"/>
    </row>
    <row r="391">
      <c r="A391" s="21" t="n"/>
      <c r="B391" s="22" t="n"/>
      <c r="C391" s="23" t="n"/>
      <c r="D391" s="23" t="n"/>
      <c r="E391" s="21" t="n"/>
      <c r="F391" s="21" t="n"/>
      <c r="G391" s="21" t="n"/>
      <c r="H391" s="24" t="n"/>
      <c r="I391" s="21" t="n"/>
      <c r="J391" s="21" t="n"/>
      <c r="K391" s="22" t="n"/>
      <c r="L391" s="25">
        <f>IF(ISNUMBER(H391),EDATE(H391,IF(ISNUMBER(K391),K391,3)),"")</f>
        <v/>
      </c>
      <c r="M391" s="26">
        <f>IF(L391="","",IF(ISNUMBER(L391),L391-TODAY(),"Check date"))</f>
        <v/>
      </c>
      <c r="N391" s="27">
        <f>IF(LEN(C391)=0,"",IF(I391="N/A","N/A",IF(OR(I391="",NOT(ISNUMBER(H391))),"Not checked",IF(OR(I391="Not met",LEN(J391)=0,M391&lt;0),"Red",IF(OR(I391="Partly met",M391&lt;=30),"Amber","Green")))))</f>
        <v/>
      </c>
      <c r="O391" s="27">
        <f>IF(N391="Red",IF(I391="Not met","Not met",IF(LEN(J391)=0,"No evidence location","Re-check overdue")),IF(N391="Amber",IF(I391="Partly met","Partly met","Re-check due ≤30 days"),""))</f>
        <v/>
      </c>
      <c r="P391" s="21" t="n"/>
    </row>
    <row r="392">
      <c r="A392" s="21" t="n"/>
      <c r="B392" s="22" t="n"/>
      <c r="C392" s="23" t="n"/>
      <c r="D392" s="23" t="n"/>
      <c r="E392" s="21" t="n"/>
      <c r="F392" s="21" t="n"/>
      <c r="G392" s="21" t="n"/>
      <c r="H392" s="24" t="n"/>
      <c r="I392" s="21" t="n"/>
      <c r="J392" s="21" t="n"/>
      <c r="K392" s="22" t="n"/>
      <c r="L392" s="25">
        <f>IF(ISNUMBER(H392),EDATE(H392,IF(ISNUMBER(K392),K392,3)),"")</f>
        <v/>
      </c>
      <c r="M392" s="26">
        <f>IF(L392="","",IF(ISNUMBER(L392),L392-TODAY(),"Check date"))</f>
        <v/>
      </c>
      <c r="N392" s="27">
        <f>IF(LEN(C392)=0,"",IF(I392="N/A","N/A",IF(OR(I392="",NOT(ISNUMBER(H392))),"Not checked",IF(OR(I392="Not met",LEN(J392)=0,M392&lt;0),"Red",IF(OR(I392="Partly met",M392&lt;=30),"Amber","Green")))))</f>
        <v/>
      </c>
      <c r="O392" s="27">
        <f>IF(N392="Red",IF(I392="Not met","Not met",IF(LEN(J392)=0,"No evidence location","Re-check overdue")),IF(N392="Amber",IF(I392="Partly met","Partly met","Re-check due ≤30 days"),""))</f>
        <v/>
      </c>
      <c r="P392" s="21" t="n"/>
    </row>
    <row r="393">
      <c r="A393" s="21" t="n"/>
      <c r="B393" s="22" t="n"/>
      <c r="C393" s="23" t="n"/>
      <c r="D393" s="23" t="n"/>
      <c r="E393" s="21" t="n"/>
      <c r="F393" s="21" t="n"/>
      <c r="G393" s="21" t="n"/>
      <c r="H393" s="24" t="n"/>
      <c r="I393" s="21" t="n"/>
      <c r="J393" s="21" t="n"/>
      <c r="K393" s="22" t="n"/>
      <c r="L393" s="25">
        <f>IF(ISNUMBER(H393),EDATE(H393,IF(ISNUMBER(K393),K393,3)),"")</f>
        <v/>
      </c>
      <c r="M393" s="26">
        <f>IF(L393="","",IF(ISNUMBER(L393),L393-TODAY(),"Check date"))</f>
        <v/>
      </c>
      <c r="N393" s="27">
        <f>IF(LEN(C393)=0,"",IF(I393="N/A","N/A",IF(OR(I393="",NOT(ISNUMBER(H393))),"Not checked",IF(OR(I393="Not met",LEN(J393)=0,M393&lt;0),"Red",IF(OR(I393="Partly met",M393&lt;=30),"Amber","Green")))))</f>
        <v/>
      </c>
      <c r="O393" s="27">
        <f>IF(N393="Red",IF(I393="Not met","Not met",IF(LEN(J393)=0,"No evidence location","Re-check overdue")),IF(N393="Amber",IF(I393="Partly met","Partly met","Re-check due ≤30 days"),""))</f>
        <v/>
      </c>
      <c r="P393" s="21" t="n"/>
    </row>
    <row r="394">
      <c r="A394" s="21" t="n"/>
      <c r="B394" s="22" t="n"/>
      <c r="C394" s="23" t="n"/>
      <c r="D394" s="23" t="n"/>
      <c r="E394" s="21" t="n"/>
      <c r="F394" s="21" t="n"/>
      <c r="G394" s="21" t="n"/>
      <c r="H394" s="24" t="n"/>
      <c r="I394" s="21" t="n"/>
      <c r="J394" s="21" t="n"/>
      <c r="K394" s="22" t="n"/>
      <c r="L394" s="25">
        <f>IF(ISNUMBER(H394),EDATE(H394,IF(ISNUMBER(K394),K394,3)),"")</f>
        <v/>
      </c>
      <c r="M394" s="26">
        <f>IF(L394="","",IF(ISNUMBER(L394),L394-TODAY(),"Check date"))</f>
        <v/>
      </c>
      <c r="N394" s="27">
        <f>IF(LEN(C394)=0,"",IF(I394="N/A","N/A",IF(OR(I394="",NOT(ISNUMBER(H394))),"Not checked",IF(OR(I394="Not met",LEN(J394)=0,M394&lt;0),"Red",IF(OR(I394="Partly met",M394&lt;=30),"Amber","Green")))))</f>
        <v/>
      </c>
      <c r="O394" s="27">
        <f>IF(N394="Red",IF(I394="Not met","Not met",IF(LEN(J394)=0,"No evidence location","Re-check overdue")),IF(N394="Amber",IF(I394="Partly met","Partly met","Re-check due ≤30 days"),""))</f>
        <v/>
      </c>
      <c r="P394" s="21" t="n"/>
    </row>
    <row r="395">
      <c r="A395" s="21" t="n"/>
      <c r="B395" s="22" t="n"/>
      <c r="C395" s="23" t="n"/>
      <c r="D395" s="23" t="n"/>
      <c r="E395" s="21" t="n"/>
      <c r="F395" s="21" t="n"/>
      <c r="G395" s="21" t="n"/>
      <c r="H395" s="24" t="n"/>
      <c r="I395" s="21" t="n"/>
      <c r="J395" s="21" t="n"/>
      <c r="K395" s="22" t="n"/>
      <c r="L395" s="25">
        <f>IF(ISNUMBER(H395),EDATE(H395,IF(ISNUMBER(K395),K395,3)),"")</f>
        <v/>
      </c>
      <c r="M395" s="26">
        <f>IF(L395="","",IF(ISNUMBER(L395),L395-TODAY(),"Check date"))</f>
        <v/>
      </c>
      <c r="N395" s="27">
        <f>IF(LEN(C395)=0,"",IF(I395="N/A","N/A",IF(OR(I395="",NOT(ISNUMBER(H395))),"Not checked",IF(OR(I395="Not met",LEN(J395)=0,M395&lt;0),"Red",IF(OR(I395="Partly met",M395&lt;=30),"Amber","Green")))))</f>
        <v/>
      </c>
      <c r="O395" s="27">
        <f>IF(N395="Red",IF(I395="Not met","Not met",IF(LEN(J395)=0,"No evidence location","Re-check overdue")),IF(N395="Amber",IF(I395="Partly met","Partly met","Re-check due ≤30 days"),""))</f>
        <v/>
      </c>
      <c r="P395" s="21" t="n"/>
    </row>
    <row r="396">
      <c r="A396" s="21" t="n"/>
      <c r="B396" s="22" t="n"/>
      <c r="C396" s="23" t="n"/>
      <c r="D396" s="23" t="n"/>
      <c r="E396" s="21" t="n"/>
      <c r="F396" s="21" t="n"/>
      <c r="G396" s="21" t="n"/>
      <c r="H396" s="24" t="n"/>
      <c r="I396" s="21" t="n"/>
      <c r="J396" s="21" t="n"/>
      <c r="K396" s="22" t="n"/>
      <c r="L396" s="25">
        <f>IF(ISNUMBER(H396),EDATE(H396,IF(ISNUMBER(K396),K396,3)),"")</f>
        <v/>
      </c>
      <c r="M396" s="26">
        <f>IF(L396="","",IF(ISNUMBER(L396),L396-TODAY(),"Check date"))</f>
        <v/>
      </c>
      <c r="N396" s="27">
        <f>IF(LEN(C396)=0,"",IF(I396="N/A","N/A",IF(OR(I396="",NOT(ISNUMBER(H396))),"Not checked",IF(OR(I396="Not met",LEN(J396)=0,M396&lt;0),"Red",IF(OR(I396="Partly met",M396&lt;=30),"Amber","Green")))))</f>
        <v/>
      </c>
      <c r="O396" s="27">
        <f>IF(N396="Red",IF(I396="Not met","Not met",IF(LEN(J396)=0,"No evidence location","Re-check overdue")),IF(N396="Amber",IF(I396="Partly met","Partly met","Re-check due ≤30 days"),""))</f>
        <v/>
      </c>
      <c r="P396" s="21" t="n"/>
    </row>
    <row r="397">
      <c r="A397" s="21" t="n"/>
      <c r="B397" s="22" t="n"/>
      <c r="C397" s="23" t="n"/>
      <c r="D397" s="23" t="n"/>
      <c r="E397" s="21" t="n"/>
      <c r="F397" s="21" t="n"/>
      <c r="G397" s="21" t="n"/>
      <c r="H397" s="24" t="n"/>
      <c r="I397" s="21" t="n"/>
      <c r="J397" s="21" t="n"/>
      <c r="K397" s="22" t="n"/>
      <c r="L397" s="25">
        <f>IF(ISNUMBER(H397),EDATE(H397,IF(ISNUMBER(K397),K397,3)),"")</f>
        <v/>
      </c>
      <c r="M397" s="26">
        <f>IF(L397="","",IF(ISNUMBER(L397),L397-TODAY(),"Check date"))</f>
        <v/>
      </c>
      <c r="N397" s="27">
        <f>IF(LEN(C397)=0,"",IF(I397="N/A","N/A",IF(OR(I397="",NOT(ISNUMBER(H397))),"Not checked",IF(OR(I397="Not met",LEN(J397)=0,M397&lt;0),"Red",IF(OR(I397="Partly met",M397&lt;=30),"Amber","Green")))))</f>
        <v/>
      </c>
      <c r="O397" s="27">
        <f>IF(N397="Red",IF(I397="Not met","Not met",IF(LEN(J397)=0,"No evidence location","Re-check overdue")),IF(N397="Amber",IF(I397="Partly met","Partly met","Re-check due ≤30 days"),""))</f>
        <v/>
      </c>
      <c r="P397" s="21" t="n"/>
    </row>
    <row r="398">
      <c r="A398" s="21" t="n"/>
      <c r="B398" s="22" t="n"/>
      <c r="C398" s="23" t="n"/>
      <c r="D398" s="23" t="n"/>
      <c r="E398" s="21" t="n"/>
      <c r="F398" s="21" t="n"/>
      <c r="G398" s="21" t="n"/>
      <c r="H398" s="24" t="n"/>
      <c r="I398" s="21" t="n"/>
      <c r="J398" s="21" t="n"/>
      <c r="K398" s="22" t="n"/>
      <c r="L398" s="25">
        <f>IF(ISNUMBER(H398),EDATE(H398,IF(ISNUMBER(K398),K398,3)),"")</f>
        <v/>
      </c>
      <c r="M398" s="26">
        <f>IF(L398="","",IF(ISNUMBER(L398),L398-TODAY(),"Check date"))</f>
        <v/>
      </c>
      <c r="N398" s="27">
        <f>IF(LEN(C398)=0,"",IF(I398="N/A","N/A",IF(OR(I398="",NOT(ISNUMBER(H398))),"Not checked",IF(OR(I398="Not met",LEN(J398)=0,M398&lt;0),"Red",IF(OR(I398="Partly met",M398&lt;=30),"Amber","Green")))))</f>
        <v/>
      </c>
      <c r="O398" s="27">
        <f>IF(N398="Red",IF(I398="Not met","Not met",IF(LEN(J398)=0,"No evidence location","Re-check overdue")),IF(N398="Amber",IF(I398="Partly met","Partly met","Re-check due ≤30 days"),""))</f>
        <v/>
      </c>
      <c r="P398" s="21" t="n"/>
    </row>
    <row r="399">
      <c r="A399" s="21" t="n"/>
      <c r="B399" s="22" t="n"/>
      <c r="C399" s="23" t="n"/>
      <c r="D399" s="23" t="n"/>
      <c r="E399" s="21" t="n"/>
      <c r="F399" s="21" t="n"/>
      <c r="G399" s="21" t="n"/>
      <c r="H399" s="24" t="n"/>
      <c r="I399" s="21" t="n"/>
      <c r="J399" s="21" t="n"/>
      <c r="K399" s="22" t="n"/>
      <c r="L399" s="25">
        <f>IF(ISNUMBER(H399),EDATE(H399,IF(ISNUMBER(K399),K399,3)),"")</f>
        <v/>
      </c>
      <c r="M399" s="26">
        <f>IF(L399="","",IF(ISNUMBER(L399),L399-TODAY(),"Check date"))</f>
        <v/>
      </c>
      <c r="N399" s="27">
        <f>IF(LEN(C399)=0,"",IF(I399="N/A","N/A",IF(OR(I399="",NOT(ISNUMBER(H399))),"Not checked",IF(OR(I399="Not met",LEN(J399)=0,M399&lt;0),"Red",IF(OR(I399="Partly met",M399&lt;=30),"Amber","Green")))))</f>
        <v/>
      </c>
      <c r="O399" s="27">
        <f>IF(N399="Red",IF(I399="Not met","Not met",IF(LEN(J399)=0,"No evidence location","Re-check overdue")),IF(N399="Amber",IF(I399="Partly met","Partly met","Re-check due ≤30 days"),""))</f>
        <v/>
      </c>
      <c r="P399" s="21" t="n"/>
    </row>
    <row r="400">
      <c r="A400" s="21" t="n"/>
      <c r="B400" s="22" t="n"/>
      <c r="C400" s="23" t="n"/>
      <c r="D400" s="23" t="n"/>
      <c r="E400" s="21" t="n"/>
      <c r="F400" s="21" t="n"/>
      <c r="G400" s="21" t="n"/>
      <c r="H400" s="24" t="n"/>
      <c r="I400" s="21" t="n"/>
      <c r="J400" s="21" t="n"/>
      <c r="K400" s="22" t="n"/>
      <c r="L400" s="25">
        <f>IF(ISNUMBER(H400),EDATE(H400,IF(ISNUMBER(K400),K400,3)),"")</f>
        <v/>
      </c>
      <c r="M400" s="26">
        <f>IF(L400="","",IF(ISNUMBER(L400),L400-TODAY(),"Check date"))</f>
        <v/>
      </c>
      <c r="N400" s="27">
        <f>IF(LEN(C400)=0,"",IF(I400="N/A","N/A",IF(OR(I400="",NOT(ISNUMBER(H400))),"Not checked",IF(OR(I400="Not met",LEN(J400)=0,M400&lt;0),"Red",IF(OR(I400="Partly met",M400&lt;=30),"Amber","Green")))))</f>
        <v/>
      </c>
      <c r="O400" s="27">
        <f>IF(N400="Red",IF(I400="Not met","Not met",IF(LEN(J400)=0,"No evidence location","Re-check overdue")),IF(N400="Amber",IF(I400="Partly met","Partly met","Re-check due ≤30 days"),""))</f>
        <v/>
      </c>
      <c r="P400" s="21" t="n"/>
    </row>
    <row r="401">
      <c r="A401" s="21" t="n"/>
      <c r="B401" s="22" t="n"/>
      <c r="C401" s="23" t="n"/>
      <c r="D401" s="23" t="n"/>
      <c r="E401" s="21" t="n"/>
      <c r="F401" s="21" t="n"/>
      <c r="G401" s="21" t="n"/>
      <c r="H401" s="24" t="n"/>
      <c r="I401" s="21" t="n"/>
      <c r="J401" s="21" t="n"/>
      <c r="K401" s="22" t="n"/>
      <c r="L401" s="25">
        <f>IF(ISNUMBER(H401),EDATE(H401,IF(ISNUMBER(K401),K401,3)),"")</f>
        <v/>
      </c>
      <c r="M401" s="26">
        <f>IF(L401="","",IF(ISNUMBER(L401),L401-TODAY(),"Check date"))</f>
        <v/>
      </c>
      <c r="N401" s="27">
        <f>IF(LEN(C401)=0,"",IF(I401="N/A","N/A",IF(OR(I401="",NOT(ISNUMBER(H401))),"Not checked",IF(OR(I401="Not met",LEN(J401)=0,M401&lt;0),"Red",IF(OR(I401="Partly met",M401&lt;=30),"Amber","Green")))))</f>
        <v/>
      </c>
      <c r="O401" s="27">
        <f>IF(N401="Red",IF(I401="Not met","Not met",IF(LEN(J401)=0,"No evidence location","Re-check overdue")),IF(N401="Amber",IF(I401="Partly met","Partly met","Re-check due ≤30 days"),""))</f>
        <v/>
      </c>
      <c r="P401" s="21" t="n"/>
    </row>
    <row r="402">
      <c r="A402" s="21" t="n"/>
      <c r="B402" s="22" t="n"/>
      <c r="C402" s="23" t="n"/>
      <c r="D402" s="23" t="n"/>
      <c r="E402" s="21" t="n"/>
      <c r="F402" s="21" t="n"/>
      <c r="G402" s="21" t="n"/>
      <c r="H402" s="24" t="n"/>
      <c r="I402" s="21" t="n"/>
      <c r="J402" s="21" t="n"/>
      <c r="K402" s="22" t="n"/>
      <c r="L402" s="25">
        <f>IF(ISNUMBER(H402),EDATE(H402,IF(ISNUMBER(K402),K402,3)),"")</f>
        <v/>
      </c>
      <c r="M402" s="26">
        <f>IF(L402="","",IF(ISNUMBER(L402),L402-TODAY(),"Check date"))</f>
        <v/>
      </c>
      <c r="N402" s="27">
        <f>IF(LEN(C402)=0,"",IF(I402="N/A","N/A",IF(OR(I402="",NOT(ISNUMBER(H402))),"Not checked",IF(OR(I402="Not met",LEN(J402)=0,M402&lt;0),"Red",IF(OR(I402="Partly met",M402&lt;=30),"Amber","Green")))))</f>
        <v/>
      </c>
      <c r="O402" s="27">
        <f>IF(N402="Red",IF(I402="Not met","Not met",IF(LEN(J402)=0,"No evidence location","Re-check overdue")),IF(N402="Amber",IF(I402="Partly met","Partly met","Re-check due ≤30 days"),""))</f>
        <v/>
      </c>
      <c r="P402" s="21" t="n"/>
    </row>
    <row r="403">
      <c r="A403" s="21" t="n"/>
      <c r="B403" s="22" t="n"/>
      <c r="C403" s="23" t="n"/>
      <c r="D403" s="23" t="n"/>
      <c r="E403" s="21" t="n"/>
      <c r="F403" s="21" t="n"/>
      <c r="G403" s="21" t="n"/>
      <c r="H403" s="24" t="n"/>
      <c r="I403" s="21" t="n"/>
      <c r="J403" s="21" t="n"/>
      <c r="K403" s="22" t="n"/>
      <c r="L403" s="25">
        <f>IF(ISNUMBER(H403),EDATE(H403,IF(ISNUMBER(K403),K403,3)),"")</f>
        <v/>
      </c>
      <c r="M403" s="26">
        <f>IF(L403="","",IF(ISNUMBER(L403),L403-TODAY(),"Check date"))</f>
        <v/>
      </c>
      <c r="N403" s="27">
        <f>IF(LEN(C403)=0,"",IF(I403="N/A","N/A",IF(OR(I403="",NOT(ISNUMBER(H403))),"Not checked",IF(OR(I403="Not met",LEN(J403)=0,M403&lt;0),"Red",IF(OR(I403="Partly met",M403&lt;=30),"Amber","Green")))))</f>
        <v/>
      </c>
      <c r="O403" s="27">
        <f>IF(N403="Red",IF(I403="Not met","Not met",IF(LEN(J403)=0,"No evidence location","Re-check overdue")),IF(N403="Amber",IF(I403="Partly met","Partly met","Re-check due ≤30 days"),""))</f>
        <v/>
      </c>
      <c r="P403" s="21" t="n"/>
    </row>
    <row r="404">
      <c r="A404" s="21" t="n"/>
      <c r="B404" s="22" t="n"/>
      <c r="C404" s="23" t="n"/>
      <c r="D404" s="23" t="n"/>
      <c r="E404" s="21" t="n"/>
      <c r="F404" s="21" t="n"/>
      <c r="G404" s="21" t="n"/>
      <c r="H404" s="24" t="n"/>
      <c r="I404" s="21" t="n"/>
      <c r="J404" s="21" t="n"/>
      <c r="K404" s="22" t="n"/>
      <c r="L404" s="25">
        <f>IF(ISNUMBER(H404),EDATE(H404,IF(ISNUMBER(K404),K404,3)),"")</f>
        <v/>
      </c>
      <c r="M404" s="26">
        <f>IF(L404="","",IF(ISNUMBER(L404),L404-TODAY(),"Check date"))</f>
        <v/>
      </c>
      <c r="N404" s="27">
        <f>IF(LEN(C404)=0,"",IF(I404="N/A","N/A",IF(OR(I404="",NOT(ISNUMBER(H404))),"Not checked",IF(OR(I404="Not met",LEN(J404)=0,M404&lt;0),"Red",IF(OR(I404="Partly met",M404&lt;=30),"Amber","Green")))))</f>
        <v/>
      </c>
      <c r="O404" s="27">
        <f>IF(N404="Red",IF(I404="Not met","Not met",IF(LEN(J404)=0,"No evidence location","Re-check overdue")),IF(N404="Amber",IF(I404="Partly met","Partly met","Re-check due ≤30 days"),""))</f>
        <v/>
      </c>
      <c r="P404" s="21" t="n"/>
    </row>
    <row r="405">
      <c r="A405" s="21" t="n"/>
      <c r="B405" s="22" t="n"/>
      <c r="C405" s="23" t="n"/>
      <c r="D405" s="23" t="n"/>
      <c r="E405" s="21" t="n"/>
      <c r="F405" s="21" t="n"/>
      <c r="G405" s="21" t="n"/>
      <c r="H405" s="24" t="n"/>
      <c r="I405" s="21" t="n"/>
      <c r="J405" s="21" t="n"/>
      <c r="K405" s="22" t="n"/>
      <c r="L405" s="25">
        <f>IF(ISNUMBER(H405),EDATE(H405,IF(ISNUMBER(K405),K405,3)),"")</f>
        <v/>
      </c>
      <c r="M405" s="26">
        <f>IF(L405="","",IF(ISNUMBER(L405),L405-TODAY(),"Check date"))</f>
        <v/>
      </c>
      <c r="N405" s="27">
        <f>IF(LEN(C405)=0,"",IF(I405="N/A","N/A",IF(OR(I405="",NOT(ISNUMBER(H405))),"Not checked",IF(OR(I405="Not met",LEN(J405)=0,M405&lt;0),"Red",IF(OR(I405="Partly met",M405&lt;=30),"Amber","Green")))))</f>
        <v/>
      </c>
      <c r="O405" s="27">
        <f>IF(N405="Red",IF(I405="Not met","Not met",IF(LEN(J405)=0,"No evidence location","Re-check overdue")),IF(N405="Amber",IF(I405="Partly met","Partly met","Re-check due ≤30 days"),""))</f>
        <v/>
      </c>
      <c r="P405" s="21" t="n"/>
    </row>
    <row r="406">
      <c r="A406" s="21" t="n"/>
      <c r="B406" s="22" t="n"/>
      <c r="C406" s="23" t="n"/>
      <c r="D406" s="23" t="n"/>
      <c r="E406" s="21" t="n"/>
      <c r="F406" s="21" t="n"/>
      <c r="G406" s="21" t="n"/>
      <c r="H406" s="24" t="n"/>
      <c r="I406" s="21" t="n"/>
      <c r="J406" s="21" t="n"/>
      <c r="K406" s="22" t="n"/>
      <c r="L406" s="25">
        <f>IF(ISNUMBER(H406),EDATE(H406,IF(ISNUMBER(K406),K406,3)),"")</f>
        <v/>
      </c>
      <c r="M406" s="26">
        <f>IF(L406="","",IF(ISNUMBER(L406),L406-TODAY(),"Check date"))</f>
        <v/>
      </c>
      <c r="N406" s="27">
        <f>IF(LEN(C406)=0,"",IF(I406="N/A","N/A",IF(OR(I406="",NOT(ISNUMBER(H406))),"Not checked",IF(OR(I406="Not met",LEN(J406)=0,M406&lt;0),"Red",IF(OR(I406="Partly met",M406&lt;=30),"Amber","Green")))))</f>
        <v/>
      </c>
      <c r="O406" s="27">
        <f>IF(N406="Red",IF(I406="Not met","Not met",IF(LEN(J406)=0,"No evidence location","Re-check overdue")),IF(N406="Amber",IF(I406="Partly met","Partly met","Re-check due ≤30 days"),""))</f>
        <v/>
      </c>
      <c r="P406" s="21" t="n"/>
    </row>
    <row r="407">
      <c r="A407" s="21" t="n"/>
      <c r="B407" s="22" t="n"/>
      <c r="C407" s="23" t="n"/>
      <c r="D407" s="23" t="n"/>
      <c r="E407" s="21" t="n"/>
      <c r="F407" s="21" t="n"/>
      <c r="G407" s="21" t="n"/>
      <c r="H407" s="24" t="n"/>
      <c r="I407" s="21" t="n"/>
      <c r="J407" s="21" t="n"/>
      <c r="K407" s="22" t="n"/>
      <c r="L407" s="25">
        <f>IF(ISNUMBER(H407),EDATE(H407,IF(ISNUMBER(K407),K407,3)),"")</f>
        <v/>
      </c>
      <c r="M407" s="26">
        <f>IF(L407="","",IF(ISNUMBER(L407),L407-TODAY(),"Check date"))</f>
        <v/>
      </c>
      <c r="N407" s="27">
        <f>IF(LEN(C407)=0,"",IF(I407="N/A","N/A",IF(OR(I407="",NOT(ISNUMBER(H407))),"Not checked",IF(OR(I407="Not met",LEN(J407)=0,M407&lt;0),"Red",IF(OR(I407="Partly met",M407&lt;=30),"Amber","Green")))))</f>
        <v/>
      </c>
      <c r="O407" s="27">
        <f>IF(N407="Red",IF(I407="Not met","Not met",IF(LEN(J407)=0,"No evidence location","Re-check overdue")),IF(N407="Amber",IF(I407="Partly met","Partly met","Re-check due ≤30 days"),""))</f>
        <v/>
      </c>
      <c r="P407" s="21" t="n"/>
    </row>
    <row r="408">
      <c r="A408" s="21" t="n"/>
      <c r="B408" s="22" t="n"/>
      <c r="C408" s="23" t="n"/>
      <c r="D408" s="23" t="n"/>
      <c r="E408" s="21" t="n"/>
      <c r="F408" s="21" t="n"/>
      <c r="G408" s="21" t="n"/>
      <c r="H408" s="24" t="n"/>
      <c r="I408" s="21" t="n"/>
      <c r="J408" s="21" t="n"/>
      <c r="K408" s="22" t="n"/>
      <c r="L408" s="25">
        <f>IF(ISNUMBER(H408),EDATE(H408,IF(ISNUMBER(K408),K408,3)),"")</f>
        <v/>
      </c>
      <c r="M408" s="26">
        <f>IF(L408="","",IF(ISNUMBER(L408),L408-TODAY(),"Check date"))</f>
        <v/>
      </c>
      <c r="N408" s="27">
        <f>IF(LEN(C408)=0,"",IF(I408="N/A","N/A",IF(OR(I408="",NOT(ISNUMBER(H408))),"Not checked",IF(OR(I408="Not met",LEN(J408)=0,M408&lt;0),"Red",IF(OR(I408="Partly met",M408&lt;=30),"Amber","Green")))))</f>
        <v/>
      </c>
      <c r="O408" s="27">
        <f>IF(N408="Red",IF(I408="Not met","Not met",IF(LEN(J408)=0,"No evidence location","Re-check overdue")),IF(N408="Amber",IF(I408="Partly met","Partly met","Re-check due ≤30 days"),""))</f>
        <v/>
      </c>
      <c r="P408" s="21" t="n"/>
    </row>
    <row r="409">
      <c r="A409" s="21" t="n"/>
      <c r="B409" s="22" t="n"/>
      <c r="C409" s="23" t="n"/>
      <c r="D409" s="23" t="n"/>
      <c r="E409" s="21" t="n"/>
      <c r="F409" s="21" t="n"/>
      <c r="G409" s="21" t="n"/>
      <c r="H409" s="24" t="n"/>
      <c r="I409" s="21" t="n"/>
      <c r="J409" s="21" t="n"/>
      <c r="K409" s="22" t="n"/>
      <c r="L409" s="25">
        <f>IF(ISNUMBER(H409),EDATE(H409,IF(ISNUMBER(K409),K409,3)),"")</f>
        <v/>
      </c>
      <c r="M409" s="26">
        <f>IF(L409="","",IF(ISNUMBER(L409),L409-TODAY(),"Check date"))</f>
        <v/>
      </c>
      <c r="N409" s="27">
        <f>IF(LEN(C409)=0,"",IF(I409="N/A","N/A",IF(OR(I409="",NOT(ISNUMBER(H409))),"Not checked",IF(OR(I409="Not met",LEN(J409)=0,M409&lt;0),"Red",IF(OR(I409="Partly met",M409&lt;=30),"Amber","Green")))))</f>
        <v/>
      </c>
      <c r="O409" s="27">
        <f>IF(N409="Red",IF(I409="Not met","Not met",IF(LEN(J409)=0,"No evidence location","Re-check overdue")),IF(N409="Amber",IF(I409="Partly met","Partly met","Re-check due ≤30 days"),""))</f>
        <v/>
      </c>
      <c r="P409" s="21" t="n"/>
    </row>
    <row r="410">
      <c r="A410" s="21" t="n"/>
      <c r="B410" s="22" t="n"/>
      <c r="C410" s="23" t="n"/>
      <c r="D410" s="23" t="n"/>
      <c r="E410" s="21" t="n"/>
      <c r="F410" s="21" t="n"/>
      <c r="G410" s="21" t="n"/>
      <c r="H410" s="24" t="n"/>
      <c r="I410" s="21" t="n"/>
      <c r="J410" s="21" t="n"/>
      <c r="K410" s="22" t="n"/>
      <c r="L410" s="25">
        <f>IF(ISNUMBER(H410),EDATE(H410,IF(ISNUMBER(K410),K410,3)),"")</f>
        <v/>
      </c>
      <c r="M410" s="26">
        <f>IF(L410="","",IF(ISNUMBER(L410),L410-TODAY(),"Check date"))</f>
        <v/>
      </c>
      <c r="N410" s="27">
        <f>IF(LEN(C410)=0,"",IF(I410="N/A","N/A",IF(OR(I410="",NOT(ISNUMBER(H410))),"Not checked",IF(OR(I410="Not met",LEN(J410)=0,M410&lt;0),"Red",IF(OR(I410="Partly met",M410&lt;=30),"Amber","Green")))))</f>
        <v/>
      </c>
      <c r="O410" s="27">
        <f>IF(N410="Red",IF(I410="Not met","Not met",IF(LEN(J410)=0,"No evidence location","Re-check overdue")),IF(N410="Amber",IF(I410="Partly met","Partly met","Re-check due ≤30 days"),""))</f>
        <v/>
      </c>
      <c r="P410" s="21" t="n"/>
    </row>
    <row r="411">
      <c r="A411" s="21" t="n"/>
      <c r="B411" s="22" t="n"/>
      <c r="C411" s="23" t="n"/>
      <c r="D411" s="23" t="n"/>
      <c r="E411" s="21" t="n"/>
      <c r="F411" s="21" t="n"/>
      <c r="G411" s="21" t="n"/>
      <c r="H411" s="24" t="n"/>
      <c r="I411" s="21" t="n"/>
      <c r="J411" s="21" t="n"/>
      <c r="K411" s="22" t="n"/>
      <c r="L411" s="25">
        <f>IF(ISNUMBER(H411),EDATE(H411,IF(ISNUMBER(K411),K411,3)),"")</f>
        <v/>
      </c>
      <c r="M411" s="26">
        <f>IF(L411="","",IF(ISNUMBER(L411),L411-TODAY(),"Check date"))</f>
        <v/>
      </c>
      <c r="N411" s="27">
        <f>IF(LEN(C411)=0,"",IF(I411="N/A","N/A",IF(OR(I411="",NOT(ISNUMBER(H411))),"Not checked",IF(OR(I411="Not met",LEN(J411)=0,M411&lt;0),"Red",IF(OR(I411="Partly met",M411&lt;=30),"Amber","Green")))))</f>
        <v/>
      </c>
      <c r="O411" s="27">
        <f>IF(N411="Red",IF(I411="Not met","Not met",IF(LEN(J411)=0,"No evidence location","Re-check overdue")),IF(N411="Amber",IF(I411="Partly met","Partly met","Re-check due ≤30 days"),""))</f>
        <v/>
      </c>
      <c r="P411" s="21" t="n"/>
    </row>
    <row r="412">
      <c r="A412" s="21" t="n"/>
      <c r="B412" s="22" t="n"/>
      <c r="C412" s="23" t="n"/>
      <c r="D412" s="23" t="n"/>
      <c r="E412" s="21" t="n"/>
      <c r="F412" s="21" t="n"/>
      <c r="G412" s="21" t="n"/>
      <c r="H412" s="24" t="n"/>
      <c r="I412" s="21" t="n"/>
      <c r="J412" s="21" t="n"/>
      <c r="K412" s="22" t="n"/>
      <c r="L412" s="25">
        <f>IF(ISNUMBER(H412),EDATE(H412,IF(ISNUMBER(K412),K412,3)),"")</f>
        <v/>
      </c>
      <c r="M412" s="26">
        <f>IF(L412="","",IF(ISNUMBER(L412),L412-TODAY(),"Check date"))</f>
        <v/>
      </c>
      <c r="N412" s="27">
        <f>IF(LEN(C412)=0,"",IF(I412="N/A","N/A",IF(OR(I412="",NOT(ISNUMBER(H412))),"Not checked",IF(OR(I412="Not met",LEN(J412)=0,M412&lt;0),"Red",IF(OR(I412="Partly met",M412&lt;=30),"Amber","Green")))))</f>
        <v/>
      </c>
      <c r="O412" s="27">
        <f>IF(N412="Red",IF(I412="Not met","Not met",IF(LEN(J412)=0,"No evidence location","Re-check overdue")),IF(N412="Amber",IF(I412="Partly met","Partly met","Re-check due ≤30 days"),""))</f>
        <v/>
      </c>
      <c r="P412" s="21" t="n"/>
    </row>
    <row r="413">
      <c r="A413" s="21" t="n"/>
      <c r="B413" s="22" t="n"/>
      <c r="C413" s="23" t="n"/>
      <c r="D413" s="23" t="n"/>
      <c r="E413" s="21" t="n"/>
      <c r="F413" s="21" t="n"/>
      <c r="G413" s="21" t="n"/>
      <c r="H413" s="24" t="n"/>
      <c r="I413" s="21" t="n"/>
      <c r="J413" s="21" t="n"/>
      <c r="K413" s="22" t="n"/>
      <c r="L413" s="25">
        <f>IF(ISNUMBER(H413),EDATE(H413,IF(ISNUMBER(K413),K413,3)),"")</f>
        <v/>
      </c>
      <c r="M413" s="26">
        <f>IF(L413="","",IF(ISNUMBER(L413),L413-TODAY(),"Check date"))</f>
        <v/>
      </c>
      <c r="N413" s="27">
        <f>IF(LEN(C413)=0,"",IF(I413="N/A","N/A",IF(OR(I413="",NOT(ISNUMBER(H413))),"Not checked",IF(OR(I413="Not met",LEN(J413)=0,M413&lt;0),"Red",IF(OR(I413="Partly met",M413&lt;=30),"Amber","Green")))))</f>
        <v/>
      </c>
      <c r="O413" s="27">
        <f>IF(N413="Red",IF(I413="Not met","Not met",IF(LEN(J413)=0,"No evidence location","Re-check overdue")),IF(N413="Amber",IF(I413="Partly met","Partly met","Re-check due ≤30 days"),""))</f>
        <v/>
      </c>
      <c r="P413" s="21" t="n"/>
    </row>
    <row r="414">
      <c r="A414" s="21" t="n"/>
      <c r="B414" s="22" t="n"/>
      <c r="C414" s="23" t="n"/>
      <c r="D414" s="23" t="n"/>
      <c r="E414" s="21" t="n"/>
      <c r="F414" s="21" t="n"/>
      <c r="G414" s="21" t="n"/>
      <c r="H414" s="24" t="n"/>
      <c r="I414" s="21" t="n"/>
      <c r="J414" s="21" t="n"/>
      <c r="K414" s="22" t="n"/>
      <c r="L414" s="25">
        <f>IF(ISNUMBER(H414),EDATE(H414,IF(ISNUMBER(K414),K414,3)),"")</f>
        <v/>
      </c>
      <c r="M414" s="26">
        <f>IF(L414="","",IF(ISNUMBER(L414),L414-TODAY(),"Check date"))</f>
        <v/>
      </c>
      <c r="N414" s="27">
        <f>IF(LEN(C414)=0,"",IF(I414="N/A","N/A",IF(OR(I414="",NOT(ISNUMBER(H414))),"Not checked",IF(OR(I414="Not met",LEN(J414)=0,M414&lt;0),"Red",IF(OR(I414="Partly met",M414&lt;=30),"Amber","Green")))))</f>
        <v/>
      </c>
      <c r="O414" s="27">
        <f>IF(N414="Red",IF(I414="Not met","Not met",IF(LEN(J414)=0,"No evidence location","Re-check overdue")),IF(N414="Amber",IF(I414="Partly met","Partly met","Re-check due ≤30 days"),""))</f>
        <v/>
      </c>
      <c r="P414" s="21" t="n"/>
    </row>
    <row r="415">
      <c r="A415" s="21" t="n"/>
      <c r="B415" s="22" t="n"/>
      <c r="C415" s="23" t="n"/>
      <c r="D415" s="23" t="n"/>
      <c r="E415" s="21" t="n"/>
      <c r="F415" s="21" t="n"/>
      <c r="G415" s="21" t="n"/>
      <c r="H415" s="24" t="n"/>
      <c r="I415" s="21" t="n"/>
      <c r="J415" s="21" t="n"/>
      <c r="K415" s="22" t="n"/>
      <c r="L415" s="25">
        <f>IF(ISNUMBER(H415),EDATE(H415,IF(ISNUMBER(K415),K415,3)),"")</f>
        <v/>
      </c>
      <c r="M415" s="26">
        <f>IF(L415="","",IF(ISNUMBER(L415),L415-TODAY(),"Check date"))</f>
        <v/>
      </c>
      <c r="N415" s="27">
        <f>IF(LEN(C415)=0,"",IF(I415="N/A","N/A",IF(OR(I415="",NOT(ISNUMBER(H415))),"Not checked",IF(OR(I415="Not met",LEN(J415)=0,M415&lt;0),"Red",IF(OR(I415="Partly met",M415&lt;=30),"Amber","Green")))))</f>
        <v/>
      </c>
      <c r="O415" s="27">
        <f>IF(N415="Red",IF(I415="Not met","Not met",IF(LEN(J415)=0,"No evidence location","Re-check overdue")),IF(N415="Amber",IF(I415="Partly met","Partly met","Re-check due ≤30 days"),""))</f>
        <v/>
      </c>
      <c r="P415" s="21" t="n"/>
    </row>
    <row r="416">
      <c r="A416" s="21" t="n"/>
      <c r="B416" s="22" t="n"/>
      <c r="C416" s="23" t="n"/>
      <c r="D416" s="23" t="n"/>
      <c r="E416" s="21" t="n"/>
      <c r="F416" s="21" t="n"/>
      <c r="G416" s="21" t="n"/>
      <c r="H416" s="24" t="n"/>
      <c r="I416" s="21" t="n"/>
      <c r="J416" s="21" t="n"/>
      <c r="K416" s="22" t="n"/>
      <c r="L416" s="25">
        <f>IF(ISNUMBER(H416),EDATE(H416,IF(ISNUMBER(K416),K416,3)),"")</f>
        <v/>
      </c>
      <c r="M416" s="26">
        <f>IF(L416="","",IF(ISNUMBER(L416),L416-TODAY(),"Check date"))</f>
        <v/>
      </c>
      <c r="N416" s="27">
        <f>IF(LEN(C416)=0,"",IF(I416="N/A","N/A",IF(OR(I416="",NOT(ISNUMBER(H416))),"Not checked",IF(OR(I416="Not met",LEN(J416)=0,M416&lt;0),"Red",IF(OR(I416="Partly met",M416&lt;=30),"Amber","Green")))))</f>
        <v/>
      </c>
      <c r="O416" s="27">
        <f>IF(N416="Red",IF(I416="Not met","Not met",IF(LEN(J416)=0,"No evidence location","Re-check overdue")),IF(N416="Amber",IF(I416="Partly met","Partly met","Re-check due ≤30 days"),""))</f>
        <v/>
      </c>
      <c r="P416" s="21" t="n"/>
    </row>
    <row r="417">
      <c r="A417" s="21" t="n"/>
      <c r="B417" s="22" t="n"/>
      <c r="C417" s="23" t="n"/>
      <c r="D417" s="23" t="n"/>
      <c r="E417" s="21" t="n"/>
      <c r="F417" s="21" t="n"/>
      <c r="G417" s="21" t="n"/>
      <c r="H417" s="24" t="n"/>
      <c r="I417" s="21" t="n"/>
      <c r="J417" s="21" t="n"/>
      <c r="K417" s="22" t="n"/>
      <c r="L417" s="25">
        <f>IF(ISNUMBER(H417),EDATE(H417,IF(ISNUMBER(K417),K417,3)),"")</f>
        <v/>
      </c>
      <c r="M417" s="26">
        <f>IF(L417="","",IF(ISNUMBER(L417),L417-TODAY(),"Check date"))</f>
        <v/>
      </c>
      <c r="N417" s="27">
        <f>IF(LEN(C417)=0,"",IF(I417="N/A","N/A",IF(OR(I417="",NOT(ISNUMBER(H417))),"Not checked",IF(OR(I417="Not met",LEN(J417)=0,M417&lt;0),"Red",IF(OR(I417="Partly met",M417&lt;=30),"Amber","Green")))))</f>
        <v/>
      </c>
      <c r="O417" s="27">
        <f>IF(N417="Red",IF(I417="Not met","Not met",IF(LEN(J417)=0,"No evidence location","Re-check overdue")),IF(N417="Amber",IF(I417="Partly met","Partly met","Re-check due ≤30 days"),""))</f>
        <v/>
      </c>
      <c r="P417" s="21" t="n"/>
    </row>
    <row r="418">
      <c r="A418" s="21" t="n"/>
      <c r="B418" s="22" t="n"/>
      <c r="C418" s="23" t="n"/>
      <c r="D418" s="23" t="n"/>
      <c r="E418" s="21" t="n"/>
      <c r="F418" s="21" t="n"/>
      <c r="G418" s="21" t="n"/>
      <c r="H418" s="24" t="n"/>
      <c r="I418" s="21" t="n"/>
      <c r="J418" s="21" t="n"/>
      <c r="K418" s="22" t="n"/>
      <c r="L418" s="25">
        <f>IF(ISNUMBER(H418),EDATE(H418,IF(ISNUMBER(K418),K418,3)),"")</f>
        <v/>
      </c>
      <c r="M418" s="26">
        <f>IF(L418="","",IF(ISNUMBER(L418),L418-TODAY(),"Check date"))</f>
        <v/>
      </c>
      <c r="N418" s="27">
        <f>IF(LEN(C418)=0,"",IF(I418="N/A","N/A",IF(OR(I418="",NOT(ISNUMBER(H418))),"Not checked",IF(OR(I418="Not met",LEN(J418)=0,M418&lt;0),"Red",IF(OR(I418="Partly met",M418&lt;=30),"Amber","Green")))))</f>
        <v/>
      </c>
      <c r="O418" s="27">
        <f>IF(N418="Red",IF(I418="Not met","Not met",IF(LEN(J418)=0,"No evidence location","Re-check overdue")),IF(N418="Amber",IF(I418="Partly met","Partly met","Re-check due ≤30 days"),""))</f>
        <v/>
      </c>
      <c r="P418" s="21" t="n"/>
    </row>
    <row r="419">
      <c r="A419" s="21" t="n"/>
      <c r="B419" s="22" t="n"/>
      <c r="C419" s="23" t="n"/>
      <c r="D419" s="23" t="n"/>
      <c r="E419" s="21" t="n"/>
      <c r="F419" s="21" t="n"/>
      <c r="G419" s="21" t="n"/>
      <c r="H419" s="24" t="n"/>
      <c r="I419" s="21" t="n"/>
      <c r="J419" s="21" t="n"/>
      <c r="K419" s="22" t="n"/>
      <c r="L419" s="25">
        <f>IF(ISNUMBER(H419),EDATE(H419,IF(ISNUMBER(K419),K419,3)),"")</f>
        <v/>
      </c>
      <c r="M419" s="26">
        <f>IF(L419="","",IF(ISNUMBER(L419),L419-TODAY(),"Check date"))</f>
        <v/>
      </c>
      <c r="N419" s="27">
        <f>IF(LEN(C419)=0,"",IF(I419="N/A","N/A",IF(OR(I419="",NOT(ISNUMBER(H419))),"Not checked",IF(OR(I419="Not met",LEN(J419)=0,M419&lt;0),"Red",IF(OR(I419="Partly met",M419&lt;=30),"Amber","Green")))))</f>
        <v/>
      </c>
      <c r="O419" s="27">
        <f>IF(N419="Red",IF(I419="Not met","Not met",IF(LEN(J419)=0,"No evidence location","Re-check overdue")),IF(N419="Amber",IF(I419="Partly met","Partly met","Re-check due ≤30 days"),""))</f>
        <v/>
      </c>
      <c r="P419" s="21" t="n"/>
    </row>
    <row r="420">
      <c r="A420" s="21" t="n"/>
      <c r="B420" s="22" t="n"/>
      <c r="C420" s="23" t="n"/>
      <c r="D420" s="23" t="n"/>
      <c r="E420" s="21" t="n"/>
      <c r="F420" s="21" t="n"/>
      <c r="G420" s="21" t="n"/>
      <c r="H420" s="24" t="n"/>
      <c r="I420" s="21" t="n"/>
      <c r="J420" s="21" t="n"/>
      <c r="K420" s="22" t="n"/>
      <c r="L420" s="25">
        <f>IF(ISNUMBER(H420),EDATE(H420,IF(ISNUMBER(K420),K420,3)),"")</f>
        <v/>
      </c>
      <c r="M420" s="26">
        <f>IF(L420="","",IF(ISNUMBER(L420),L420-TODAY(),"Check date"))</f>
        <v/>
      </c>
      <c r="N420" s="27">
        <f>IF(LEN(C420)=0,"",IF(I420="N/A","N/A",IF(OR(I420="",NOT(ISNUMBER(H420))),"Not checked",IF(OR(I420="Not met",LEN(J420)=0,M420&lt;0),"Red",IF(OR(I420="Partly met",M420&lt;=30),"Amber","Green")))))</f>
        <v/>
      </c>
      <c r="O420" s="27">
        <f>IF(N420="Red",IF(I420="Not met","Not met",IF(LEN(J420)=0,"No evidence location","Re-check overdue")),IF(N420="Amber",IF(I420="Partly met","Partly met","Re-check due ≤30 days"),""))</f>
        <v/>
      </c>
      <c r="P420" s="21" t="n"/>
    </row>
    <row r="421">
      <c r="A421" s="21" t="n"/>
      <c r="B421" s="22" t="n"/>
      <c r="C421" s="23" t="n"/>
      <c r="D421" s="23" t="n"/>
      <c r="E421" s="21" t="n"/>
      <c r="F421" s="21" t="n"/>
      <c r="G421" s="21" t="n"/>
      <c r="H421" s="24" t="n"/>
      <c r="I421" s="21" t="n"/>
      <c r="J421" s="21" t="n"/>
      <c r="K421" s="22" t="n"/>
      <c r="L421" s="25">
        <f>IF(ISNUMBER(H421),EDATE(H421,IF(ISNUMBER(K421),K421,3)),"")</f>
        <v/>
      </c>
      <c r="M421" s="26">
        <f>IF(L421="","",IF(ISNUMBER(L421),L421-TODAY(),"Check date"))</f>
        <v/>
      </c>
      <c r="N421" s="27">
        <f>IF(LEN(C421)=0,"",IF(I421="N/A","N/A",IF(OR(I421="",NOT(ISNUMBER(H421))),"Not checked",IF(OR(I421="Not met",LEN(J421)=0,M421&lt;0),"Red",IF(OR(I421="Partly met",M421&lt;=30),"Amber","Green")))))</f>
        <v/>
      </c>
      <c r="O421" s="27">
        <f>IF(N421="Red",IF(I421="Not met","Not met",IF(LEN(J421)=0,"No evidence location","Re-check overdue")),IF(N421="Amber",IF(I421="Partly met","Partly met","Re-check due ≤30 days"),""))</f>
        <v/>
      </c>
      <c r="P421" s="21" t="n"/>
    </row>
    <row r="422">
      <c r="A422" s="21" t="n"/>
      <c r="B422" s="22" t="n"/>
      <c r="C422" s="23" t="n"/>
      <c r="D422" s="23" t="n"/>
      <c r="E422" s="21" t="n"/>
      <c r="F422" s="21" t="n"/>
      <c r="G422" s="21" t="n"/>
      <c r="H422" s="24" t="n"/>
      <c r="I422" s="21" t="n"/>
      <c r="J422" s="21" t="n"/>
      <c r="K422" s="22" t="n"/>
      <c r="L422" s="25">
        <f>IF(ISNUMBER(H422),EDATE(H422,IF(ISNUMBER(K422),K422,3)),"")</f>
        <v/>
      </c>
      <c r="M422" s="26">
        <f>IF(L422="","",IF(ISNUMBER(L422),L422-TODAY(),"Check date"))</f>
        <v/>
      </c>
      <c r="N422" s="27">
        <f>IF(LEN(C422)=0,"",IF(I422="N/A","N/A",IF(OR(I422="",NOT(ISNUMBER(H422))),"Not checked",IF(OR(I422="Not met",LEN(J422)=0,M422&lt;0),"Red",IF(OR(I422="Partly met",M422&lt;=30),"Amber","Green")))))</f>
        <v/>
      </c>
      <c r="O422" s="27">
        <f>IF(N422="Red",IF(I422="Not met","Not met",IF(LEN(J422)=0,"No evidence location","Re-check overdue")),IF(N422="Amber",IF(I422="Partly met","Partly met","Re-check due ≤30 days"),""))</f>
        <v/>
      </c>
      <c r="P422" s="21" t="n"/>
    </row>
    <row r="423">
      <c r="A423" s="21" t="n"/>
      <c r="B423" s="22" t="n"/>
      <c r="C423" s="23" t="n"/>
      <c r="D423" s="23" t="n"/>
      <c r="E423" s="21" t="n"/>
      <c r="F423" s="21" t="n"/>
      <c r="G423" s="21" t="n"/>
      <c r="H423" s="24" t="n"/>
      <c r="I423" s="21" t="n"/>
      <c r="J423" s="21" t="n"/>
      <c r="K423" s="22" t="n"/>
      <c r="L423" s="25">
        <f>IF(ISNUMBER(H423),EDATE(H423,IF(ISNUMBER(K423),K423,3)),"")</f>
        <v/>
      </c>
      <c r="M423" s="26">
        <f>IF(L423="","",IF(ISNUMBER(L423),L423-TODAY(),"Check date"))</f>
        <v/>
      </c>
      <c r="N423" s="27">
        <f>IF(LEN(C423)=0,"",IF(I423="N/A","N/A",IF(OR(I423="",NOT(ISNUMBER(H423))),"Not checked",IF(OR(I423="Not met",LEN(J423)=0,M423&lt;0),"Red",IF(OR(I423="Partly met",M423&lt;=30),"Amber","Green")))))</f>
        <v/>
      </c>
      <c r="O423" s="27">
        <f>IF(N423="Red",IF(I423="Not met","Not met",IF(LEN(J423)=0,"No evidence location","Re-check overdue")),IF(N423="Amber",IF(I423="Partly met","Partly met","Re-check due ≤30 days"),""))</f>
        <v/>
      </c>
      <c r="P423" s="21" t="n"/>
    </row>
    <row r="424">
      <c r="A424" s="21" t="n"/>
      <c r="B424" s="22" t="n"/>
      <c r="C424" s="23" t="n"/>
      <c r="D424" s="23" t="n"/>
      <c r="E424" s="21" t="n"/>
      <c r="F424" s="21" t="n"/>
      <c r="G424" s="21" t="n"/>
      <c r="H424" s="24" t="n"/>
      <c r="I424" s="21" t="n"/>
      <c r="J424" s="21" t="n"/>
      <c r="K424" s="22" t="n"/>
      <c r="L424" s="25">
        <f>IF(ISNUMBER(H424),EDATE(H424,IF(ISNUMBER(K424),K424,3)),"")</f>
        <v/>
      </c>
      <c r="M424" s="26">
        <f>IF(L424="","",IF(ISNUMBER(L424),L424-TODAY(),"Check date"))</f>
        <v/>
      </c>
      <c r="N424" s="27">
        <f>IF(LEN(C424)=0,"",IF(I424="N/A","N/A",IF(OR(I424="",NOT(ISNUMBER(H424))),"Not checked",IF(OR(I424="Not met",LEN(J424)=0,M424&lt;0),"Red",IF(OR(I424="Partly met",M424&lt;=30),"Amber","Green")))))</f>
        <v/>
      </c>
      <c r="O424" s="27">
        <f>IF(N424="Red",IF(I424="Not met","Not met",IF(LEN(J424)=0,"No evidence location","Re-check overdue")),IF(N424="Amber",IF(I424="Partly met","Partly met","Re-check due ≤30 days"),""))</f>
        <v/>
      </c>
      <c r="P424" s="21" t="n"/>
    </row>
    <row r="425">
      <c r="A425" s="21" t="n"/>
      <c r="B425" s="22" t="n"/>
      <c r="C425" s="23" t="n"/>
      <c r="D425" s="23" t="n"/>
      <c r="E425" s="21" t="n"/>
      <c r="F425" s="21" t="n"/>
      <c r="G425" s="21" t="n"/>
      <c r="H425" s="24" t="n"/>
      <c r="I425" s="21" t="n"/>
      <c r="J425" s="21" t="n"/>
      <c r="K425" s="22" t="n"/>
      <c r="L425" s="25">
        <f>IF(ISNUMBER(H425),EDATE(H425,IF(ISNUMBER(K425),K425,3)),"")</f>
        <v/>
      </c>
      <c r="M425" s="26">
        <f>IF(L425="","",IF(ISNUMBER(L425),L425-TODAY(),"Check date"))</f>
        <v/>
      </c>
      <c r="N425" s="27">
        <f>IF(LEN(C425)=0,"",IF(I425="N/A","N/A",IF(OR(I425="",NOT(ISNUMBER(H425))),"Not checked",IF(OR(I425="Not met",LEN(J425)=0,M425&lt;0),"Red",IF(OR(I425="Partly met",M425&lt;=30),"Amber","Green")))))</f>
        <v/>
      </c>
      <c r="O425" s="27">
        <f>IF(N425="Red",IF(I425="Not met","Not met",IF(LEN(J425)=0,"No evidence location","Re-check overdue")),IF(N425="Amber",IF(I425="Partly met","Partly met","Re-check due ≤30 days"),""))</f>
        <v/>
      </c>
      <c r="P425" s="21" t="n"/>
    </row>
    <row r="426">
      <c r="A426" s="21" t="n"/>
      <c r="B426" s="22" t="n"/>
      <c r="C426" s="23" t="n"/>
      <c r="D426" s="23" t="n"/>
      <c r="E426" s="21" t="n"/>
      <c r="F426" s="21" t="n"/>
      <c r="G426" s="21" t="n"/>
      <c r="H426" s="24" t="n"/>
      <c r="I426" s="21" t="n"/>
      <c r="J426" s="21" t="n"/>
      <c r="K426" s="22" t="n"/>
      <c r="L426" s="25">
        <f>IF(ISNUMBER(H426),EDATE(H426,IF(ISNUMBER(K426),K426,3)),"")</f>
        <v/>
      </c>
      <c r="M426" s="26">
        <f>IF(L426="","",IF(ISNUMBER(L426),L426-TODAY(),"Check date"))</f>
        <v/>
      </c>
      <c r="N426" s="27">
        <f>IF(LEN(C426)=0,"",IF(I426="N/A","N/A",IF(OR(I426="",NOT(ISNUMBER(H426))),"Not checked",IF(OR(I426="Not met",LEN(J426)=0,M426&lt;0),"Red",IF(OR(I426="Partly met",M426&lt;=30),"Amber","Green")))))</f>
        <v/>
      </c>
      <c r="O426" s="27">
        <f>IF(N426="Red",IF(I426="Not met","Not met",IF(LEN(J426)=0,"No evidence location","Re-check overdue")),IF(N426="Amber",IF(I426="Partly met","Partly met","Re-check due ≤30 days"),""))</f>
        <v/>
      </c>
      <c r="P426" s="21" t="n"/>
    </row>
    <row r="427">
      <c r="A427" s="21" t="n"/>
      <c r="B427" s="22" t="n"/>
      <c r="C427" s="23" t="n"/>
      <c r="D427" s="23" t="n"/>
      <c r="E427" s="21" t="n"/>
      <c r="F427" s="21" t="n"/>
      <c r="G427" s="21" t="n"/>
      <c r="H427" s="24" t="n"/>
      <c r="I427" s="21" t="n"/>
      <c r="J427" s="21" t="n"/>
      <c r="K427" s="22" t="n"/>
      <c r="L427" s="25">
        <f>IF(ISNUMBER(H427),EDATE(H427,IF(ISNUMBER(K427),K427,3)),"")</f>
        <v/>
      </c>
      <c r="M427" s="26">
        <f>IF(L427="","",IF(ISNUMBER(L427),L427-TODAY(),"Check date"))</f>
        <v/>
      </c>
      <c r="N427" s="27">
        <f>IF(LEN(C427)=0,"",IF(I427="N/A","N/A",IF(OR(I427="",NOT(ISNUMBER(H427))),"Not checked",IF(OR(I427="Not met",LEN(J427)=0,M427&lt;0),"Red",IF(OR(I427="Partly met",M427&lt;=30),"Amber","Green")))))</f>
        <v/>
      </c>
      <c r="O427" s="27">
        <f>IF(N427="Red",IF(I427="Not met","Not met",IF(LEN(J427)=0,"No evidence location","Re-check overdue")),IF(N427="Amber",IF(I427="Partly met","Partly met","Re-check due ≤30 days"),""))</f>
        <v/>
      </c>
      <c r="P427" s="21" t="n"/>
    </row>
    <row r="428">
      <c r="A428" s="21" t="n"/>
      <c r="B428" s="22" t="n"/>
      <c r="C428" s="23" t="n"/>
      <c r="D428" s="23" t="n"/>
      <c r="E428" s="21" t="n"/>
      <c r="F428" s="21" t="n"/>
      <c r="G428" s="21" t="n"/>
      <c r="H428" s="24" t="n"/>
      <c r="I428" s="21" t="n"/>
      <c r="J428" s="21" t="n"/>
      <c r="K428" s="22" t="n"/>
      <c r="L428" s="25">
        <f>IF(ISNUMBER(H428),EDATE(H428,IF(ISNUMBER(K428),K428,3)),"")</f>
        <v/>
      </c>
      <c r="M428" s="26">
        <f>IF(L428="","",IF(ISNUMBER(L428),L428-TODAY(),"Check date"))</f>
        <v/>
      </c>
      <c r="N428" s="27">
        <f>IF(LEN(C428)=0,"",IF(I428="N/A","N/A",IF(OR(I428="",NOT(ISNUMBER(H428))),"Not checked",IF(OR(I428="Not met",LEN(J428)=0,M428&lt;0),"Red",IF(OR(I428="Partly met",M428&lt;=30),"Amber","Green")))))</f>
        <v/>
      </c>
      <c r="O428" s="27">
        <f>IF(N428="Red",IF(I428="Not met","Not met",IF(LEN(J428)=0,"No evidence location","Re-check overdue")),IF(N428="Amber",IF(I428="Partly met","Partly met","Re-check due ≤30 days"),""))</f>
        <v/>
      </c>
      <c r="P428" s="21" t="n"/>
    </row>
    <row r="429">
      <c r="A429" s="21" t="n"/>
      <c r="B429" s="22" t="n"/>
      <c r="C429" s="23" t="n"/>
      <c r="D429" s="23" t="n"/>
      <c r="E429" s="21" t="n"/>
      <c r="F429" s="21" t="n"/>
      <c r="G429" s="21" t="n"/>
      <c r="H429" s="24" t="n"/>
      <c r="I429" s="21" t="n"/>
      <c r="J429" s="21" t="n"/>
      <c r="K429" s="22" t="n"/>
      <c r="L429" s="25">
        <f>IF(ISNUMBER(H429),EDATE(H429,IF(ISNUMBER(K429),K429,3)),"")</f>
        <v/>
      </c>
      <c r="M429" s="26">
        <f>IF(L429="","",IF(ISNUMBER(L429),L429-TODAY(),"Check date"))</f>
        <v/>
      </c>
      <c r="N429" s="27">
        <f>IF(LEN(C429)=0,"",IF(I429="N/A","N/A",IF(OR(I429="",NOT(ISNUMBER(H429))),"Not checked",IF(OR(I429="Not met",LEN(J429)=0,M429&lt;0),"Red",IF(OR(I429="Partly met",M429&lt;=30),"Amber","Green")))))</f>
        <v/>
      </c>
      <c r="O429" s="27">
        <f>IF(N429="Red",IF(I429="Not met","Not met",IF(LEN(J429)=0,"No evidence location","Re-check overdue")),IF(N429="Amber",IF(I429="Partly met","Partly met","Re-check due ≤30 days"),""))</f>
        <v/>
      </c>
      <c r="P429" s="21" t="n"/>
    </row>
    <row r="430">
      <c r="A430" s="21" t="n"/>
      <c r="B430" s="22" t="n"/>
      <c r="C430" s="23" t="n"/>
      <c r="D430" s="23" t="n"/>
      <c r="E430" s="21" t="n"/>
      <c r="F430" s="21" t="n"/>
      <c r="G430" s="21" t="n"/>
      <c r="H430" s="24" t="n"/>
      <c r="I430" s="21" t="n"/>
      <c r="J430" s="21" t="n"/>
      <c r="K430" s="22" t="n"/>
      <c r="L430" s="25">
        <f>IF(ISNUMBER(H430),EDATE(H430,IF(ISNUMBER(K430),K430,3)),"")</f>
        <v/>
      </c>
      <c r="M430" s="26">
        <f>IF(L430="","",IF(ISNUMBER(L430),L430-TODAY(),"Check date"))</f>
        <v/>
      </c>
      <c r="N430" s="27">
        <f>IF(LEN(C430)=0,"",IF(I430="N/A","N/A",IF(OR(I430="",NOT(ISNUMBER(H430))),"Not checked",IF(OR(I430="Not met",LEN(J430)=0,M430&lt;0),"Red",IF(OR(I430="Partly met",M430&lt;=30),"Amber","Green")))))</f>
        <v/>
      </c>
      <c r="O430" s="27">
        <f>IF(N430="Red",IF(I430="Not met","Not met",IF(LEN(J430)=0,"No evidence location","Re-check overdue")),IF(N430="Amber",IF(I430="Partly met","Partly met","Re-check due ≤30 days"),""))</f>
        <v/>
      </c>
      <c r="P430" s="21" t="n"/>
    </row>
    <row r="431">
      <c r="A431" s="21" t="n"/>
      <c r="B431" s="22" t="n"/>
      <c r="C431" s="23" t="n"/>
      <c r="D431" s="23" t="n"/>
      <c r="E431" s="21" t="n"/>
      <c r="F431" s="21" t="n"/>
      <c r="G431" s="21" t="n"/>
      <c r="H431" s="24" t="n"/>
      <c r="I431" s="21" t="n"/>
      <c r="J431" s="21" t="n"/>
      <c r="K431" s="22" t="n"/>
      <c r="L431" s="25">
        <f>IF(ISNUMBER(H431),EDATE(H431,IF(ISNUMBER(K431),K431,3)),"")</f>
        <v/>
      </c>
      <c r="M431" s="26">
        <f>IF(L431="","",IF(ISNUMBER(L431),L431-TODAY(),"Check date"))</f>
        <v/>
      </c>
      <c r="N431" s="27">
        <f>IF(LEN(C431)=0,"",IF(I431="N/A","N/A",IF(OR(I431="",NOT(ISNUMBER(H431))),"Not checked",IF(OR(I431="Not met",LEN(J431)=0,M431&lt;0),"Red",IF(OR(I431="Partly met",M431&lt;=30),"Amber","Green")))))</f>
        <v/>
      </c>
      <c r="O431" s="27">
        <f>IF(N431="Red",IF(I431="Not met","Not met",IF(LEN(J431)=0,"No evidence location","Re-check overdue")),IF(N431="Amber",IF(I431="Partly met","Partly met","Re-check due ≤30 days"),""))</f>
        <v/>
      </c>
      <c r="P431" s="21" t="n"/>
    </row>
    <row r="432">
      <c r="A432" s="21" t="n"/>
      <c r="B432" s="22" t="n"/>
      <c r="C432" s="23" t="n"/>
      <c r="D432" s="23" t="n"/>
      <c r="E432" s="21" t="n"/>
      <c r="F432" s="21" t="n"/>
      <c r="G432" s="21" t="n"/>
      <c r="H432" s="24" t="n"/>
      <c r="I432" s="21" t="n"/>
      <c r="J432" s="21" t="n"/>
      <c r="K432" s="22" t="n"/>
      <c r="L432" s="25">
        <f>IF(ISNUMBER(H432),EDATE(H432,IF(ISNUMBER(K432),K432,3)),"")</f>
        <v/>
      </c>
      <c r="M432" s="26">
        <f>IF(L432="","",IF(ISNUMBER(L432),L432-TODAY(),"Check date"))</f>
        <v/>
      </c>
      <c r="N432" s="27">
        <f>IF(LEN(C432)=0,"",IF(I432="N/A","N/A",IF(OR(I432="",NOT(ISNUMBER(H432))),"Not checked",IF(OR(I432="Not met",LEN(J432)=0,M432&lt;0),"Red",IF(OR(I432="Partly met",M432&lt;=30),"Amber","Green")))))</f>
        <v/>
      </c>
      <c r="O432" s="27">
        <f>IF(N432="Red",IF(I432="Not met","Not met",IF(LEN(J432)=0,"No evidence location","Re-check overdue")),IF(N432="Amber",IF(I432="Partly met","Partly met","Re-check due ≤30 days"),""))</f>
        <v/>
      </c>
      <c r="P432" s="21" t="n"/>
    </row>
    <row r="433">
      <c r="A433" s="21" t="n"/>
      <c r="B433" s="22" t="n"/>
      <c r="C433" s="23" t="n"/>
      <c r="D433" s="23" t="n"/>
      <c r="E433" s="21" t="n"/>
      <c r="F433" s="21" t="n"/>
      <c r="G433" s="21" t="n"/>
      <c r="H433" s="24" t="n"/>
      <c r="I433" s="21" t="n"/>
      <c r="J433" s="21" t="n"/>
      <c r="K433" s="22" t="n"/>
      <c r="L433" s="25">
        <f>IF(ISNUMBER(H433),EDATE(H433,IF(ISNUMBER(K433),K433,3)),"")</f>
        <v/>
      </c>
      <c r="M433" s="26">
        <f>IF(L433="","",IF(ISNUMBER(L433),L433-TODAY(),"Check date"))</f>
        <v/>
      </c>
      <c r="N433" s="27">
        <f>IF(LEN(C433)=0,"",IF(I433="N/A","N/A",IF(OR(I433="",NOT(ISNUMBER(H433))),"Not checked",IF(OR(I433="Not met",LEN(J433)=0,M433&lt;0),"Red",IF(OR(I433="Partly met",M433&lt;=30),"Amber","Green")))))</f>
        <v/>
      </c>
      <c r="O433" s="27">
        <f>IF(N433="Red",IF(I433="Not met","Not met",IF(LEN(J433)=0,"No evidence location","Re-check overdue")),IF(N433="Amber",IF(I433="Partly met","Partly met","Re-check due ≤30 days"),""))</f>
        <v/>
      </c>
      <c r="P433" s="21" t="n"/>
    </row>
    <row r="434">
      <c r="A434" s="21" t="n"/>
      <c r="B434" s="22" t="n"/>
      <c r="C434" s="23" t="n"/>
      <c r="D434" s="23" t="n"/>
      <c r="E434" s="21" t="n"/>
      <c r="F434" s="21" t="n"/>
      <c r="G434" s="21" t="n"/>
      <c r="H434" s="24" t="n"/>
      <c r="I434" s="21" t="n"/>
      <c r="J434" s="21" t="n"/>
      <c r="K434" s="22" t="n"/>
      <c r="L434" s="25">
        <f>IF(ISNUMBER(H434),EDATE(H434,IF(ISNUMBER(K434),K434,3)),"")</f>
        <v/>
      </c>
      <c r="M434" s="26">
        <f>IF(L434="","",IF(ISNUMBER(L434),L434-TODAY(),"Check date"))</f>
        <v/>
      </c>
      <c r="N434" s="27">
        <f>IF(LEN(C434)=0,"",IF(I434="N/A","N/A",IF(OR(I434="",NOT(ISNUMBER(H434))),"Not checked",IF(OR(I434="Not met",LEN(J434)=0,M434&lt;0),"Red",IF(OR(I434="Partly met",M434&lt;=30),"Amber","Green")))))</f>
        <v/>
      </c>
      <c r="O434" s="27">
        <f>IF(N434="Red",IF(I434="Not met","Not met",IF(LEN(J434)=0,"No evidence location","Re-check overdue")),IF(N434="Amber",IF(I434="Partly met","Partly met","Re-check due ≤30 days"),""))</f>
        <v/>
      </c>
      <c r="P434" s="21" t="n"/>
    </row>
    <row r="435">
      <c r="A435" s="21" t="n"/>
      <c r="B435" s="22" t="n"/>
      <c r="C435" s="23" t="n"/>
      <c r="D435" s="23" t="n"/>
      <c r="E435" s="21" t="n"/>
      <c r="F435" s="21" t="n"/>
      <c r="G435" s="21" t="n"/>
      <c r="H435" s="24" t="n"/>
      <c r="I435" s="21" t="n"/>
      <c r="J435" s="21" t="n"/>
      <c r="K435" s="22" t="n"/>
      <c r="L435" s="25">
        <f>IF(ISNUMBER(H435),EDATE(H435,IF(ISNUMBER(K435),K435,3)),"")</f>
        <v/>
      </c>
      <c r="M435" s="26">
        <f>IF(L435="","",IF(ISNUMBER(L435),L435-TODAY(),"Check date"))</f>
        <v/>
      </c>
      <c r="N435" s="27">
        <f>IF(LEN(C435)=0,"",IF(I435="N/A","N/A",IF(OR(I435="",NOT(ISNUMBER(H435))),"Not checked",IF(OR(I435="Not met",LEN(J435)=0,M435&lt;0),"Red",IF(OR(I435="Partly met",M435&lt;=30),"Amber","Green")))))</f>
        <v/>
      </c>
      <c r="O435" s="27">
        <f>IF(N435="Red",IF(I435="Not met","Not met",IF(LEN(J435)=0,"No evidence location","Re-check overdue")),IF(N435="Amber",IF(I435="Partly met","Partly met","Re-check due ≤30 days"),""))</f>
        <v/>
      </c>
      <c r="P435" s="21" t="n"/>
    </row>
    <row r="436">
      <c r="A436" s="21" t="n"/>
      <c r="B436" s="22" t="n"/>
      <c r="C436" s="23" t="n"/>
      <c r="D436" s="23" t="n"/>
      <c r="E436" s="21" t="n"/>
      <c r="F436" s="21" t="n"/>
      <c r="G436" s="21" t="n"/>
      <c r="H436" s="24" t="n"/>
      <c r="I436" s="21" t="n"/>
      <c r="J436" s="21" t="n"/>
      <c r="K436" s="22" t="n"/>
      <c r="L436" s="25">
        <f>IF(ISNUMBER(H436),EDATE(H436,IF(ISNUMBER(K436),K436,3)),"")</f>
        <v/>
      </c>
      <c r="M436" s="26">
        <f>IF(L436="","",IF(ISNUMBER(L436),L436-TODAY(),"Check date"))</f>
        <v/>
      </c>
      <c r="N436" s="27">
        <f>IF(LEN(C436)=0,"",IF(I436="N/A","N/A",IF(OR(I436="",NOT(ISNUMBER(H436))),"Not checked",IF(OR(I436="Not met",LEN(J436)=0,M436&lt;0),"Red",IF(OR(I436="Partly met",M436&lt;=30),"Amber","Green")))))</f>
        <v/>
      </c>
      <c r="O436" s="27">
        <f>IF(N436="Red",IF(I436="Not met","Not met",IF(LEN(J436)=0,"No evidence location","Re-check overdue")),IF(N436="Amber",IF(I436="Partly met","Partly met","Re-check due ≤30 days"),""))</f>
        <v/>
      </c>
      <c r="P436" s="21" t="n"/>
    </row>
    <row r="437">
      <c r="A437" s="21" t="n"/>
      <c r="B437" s="22" t="n"/>
      <c r="C437" s="23" t="n"/>
      <c r="D437" s="23" t="n"/>
      <c r="E437" s="21" t="n"/>
      <c r="F437" s="21" t="n"/>
      <c r="G437" s="21" t="n"/>
      <c r="H437" s="24" t="n"/>
      <c r="I437" s="21" t="n"/>
      <c r="J437" s="21" t="n"/>
      <c r="K437" s="22" t="n"/>
      <c r="L437" s="25">
        <f>IF(ISNUMBER(H437),EDATE(H437,IF(ISNUMBER(K437),K437,3)),"")</f>
        <v/>
      </c>
      <c r="M437" s="26">
        <f>IF(L437="","",IF(ISNUMBER(L437),L437-TODAY(),"Check date"))</f>
        <v/>
      </c>
      <c r="N437" s="27">
        <f>IF(LEN(C437)=0,"",IF(I437="N/A","N/A",IF(OR(I437="",NOT(ISNUMBER(H437))),"Not checked",IF(OR(I437="Not met",LEN(J437)=0,M437&lt;0),"Red",IF(OR(I437="Partly met",M437&lt;=30),"Amber","Green")))))</f>
        <v/>
      </c>
      <c r="O437" s="27">
        <f>IF(N437="Red",IF(I437="Not met","Not met",IF(LEN(J437)=0,"No evidence location","Re-check overdue")),IF(N437="Amber",IF(I437="Partly met","Partly met","Re-check due ≤30 days"),""))</f>
        <v/>
      </c>
      <c r="P437" s="21" t="n"/>
    </row>
    <row r="438">
      <c r="A438" s="21" t="n"/>
      <c r="B438" s="22" t="n"/>
      <c r="C438" s="23" t="n"/>
      <c r="D438" s="23" t="n"/>
      <c r="E438" s="21" t="n"/>
      <c r="F438" s="21" t="n"/>
      <c r="G438" s="21" t="n"/>
      <c r="H438" s="24" t="n"/>
      <c r="I438" s="21" t="n"/>
      <c r="J438" s="21" t="n"/>
      <c r="K438" s="22" t="n"/>
      <c r="L438" s="25">
        <f>IF(ISNUMBER(H438),EDATE(H438,IF(ISNUMBER(K438),K438,3)),"")</f>
        <v/>
      </c>
      <c r="M438" s="26">
        <f>IF(L438="","",IF(ISNUMBER(L438),L438-TODAY(),"Check date"))</f>
        <v/>
      </c>
      <c r="N438" s="27">
        <f>IF(LEN(C438)=0,"",IF(I438="N/A","N/A",IF(OR(I438="",NOT(ISNUMBER(H438))),"Not checked",IF(OR(I438="Not met",LEN(J438)=0,M438&lt;0),"Red",IF(OR(I438="Partly met",M438&lt;=30),"Amber","Green")))))</f>
        <v/>
      </c>
      <c r="O438" s="27">
        <f>IF(N438="Red",IF(I438="Not met","Not met",IF(LEN(J438)=0,"No evidence location","Re-check overdue")),IF(N438="Amber",IF(I438="Partly met","Partly met","Re-check due ≤30 days"),""))</f>
        <v/>
      </c>
      <c r="P438" s="21" t="n"/>
    </row>
    <row r="439">
      <c r="A439" s="21" t="n"/>
      <c r="B439" s="22" t="n"/>
      <c r="C439" s="23" t="n"/>
      <c r="D439" s="23" t="n"/>
      <c r="E439" s="21" t="n"/>
      <c r="F439" s="21" t="n"/>
      <c r="G439" s="21" t="n"/>
      <c r="H439" s="24" t="n"/>
      <c r="I439" s="21" t="n"/>
      <c r="J439" s="21" t="n"/>
      <c r="K439" s="22" t="n"/>
      <c r="L439" s="25">
        <f>IF(ISNUMBER(H439),EDATE(H439,IF(ISNUMBER(K439),K439,3)),"")</f>
        <v/>
      </c>
      <c r="M439" s="26">
        <f>IF(L439="","",IF(ISNUMBER(L439),L439-TODAY(),"Check date"))</f>
        <v/>
      </c>
      <c r="N439" s="27">
        <f>IF(LEN(C439)=0,"",IF(I439="N/A","N/A",IF(OR(I439="",NOT(ISNUMBER(H439))),"Not checked",IF(OR(I439="Not met",LEN(J439)=0,M439&lt;0),"Red",IF(OR(I439="Partly met",M439&lt;=30),"Amber","Green")))))</f>
        <v/>
      </c>
      <c r="O439" s="27">
        <f>IF(N439="Red",IF(I439="Not met","Not met",IF(LEN(J439)=0,"No evidence location","Re-check overdue")),IF(N439="Amber",IF(I439="Partly met","Partly met","Re-check due ≤30 days"),""))</f>
        <v/>
      </c>
      <c r="P439" s="21" t="n"/>
    </row>
    <row r="440">
      <c r="A440" s="21" t="n"/>
      <c r="B440" s="22" t="n"/>
      <c r="C440" s="23" t="n"/>
      <c r="D440" s="23" t="n"/>
      <c r="E440" s="21" t="n"/>
      <c r="F440" s="21" t="n"/>
      <c r="G440" s="21" t="n"/>
      <c r="H440" s="24" t="n"/>
      <c r="I440" s="21" t="n"/>
      <c r="J440" s="21" t="n"/>
      <c r="K440" s="22" t="n"/>
      <c r="L440" s="25">
        <f>IF(ISNUMBER(H440),EDATE(H440,IF(ISNUMBER(K440),K440,3)),"")</f>
        <v/>
      </c>
      <c r="M440" s="26">
        <f>IF(L440="","",IF(ISNUMBER(L440),L440-TODAY(),"Check date"))</f>
        <v/>
      </c>
      <c r="N440" s="27">
        <f>IF(LEN(C440)=0,"",IF(I440="N/A","N/A",IF(OR(I440="",NOT(ISNUMBER(H440))),"Not checked",IF(OR(I440="Not met",LEN(J440)=0,M440&lt;0),"Red",IF(OR(I440="Partly met",M440&lt;=30),"Amber","Green")))))</f>
        <v/>
      </c>
      <c r="O440" s="27">
        <f>IF(N440="Red",IF(I440="Not met","Not met",IF(LEN(J440)=0,"No evidence location","Re-check overdue")),IF(N440="Amber",IF(I440="Partly met","Partly met","Re-check due ≤30 days"),""))</f>
        <v/>
      </c>
      <c r="P440" s="21" t="n"/>
    </row>
    <row r="441">
      <c r="A441" s="21" t="n"/>
      <c r="B441" s="22" t="n"/>
      <c r="C441" s="23" t="n"/>
      <c r="D441" s="23" t="n"/>
      <c r="E441" s="21" t="n"/>
      <c r="F441" s="21" t="n"/>
      <c r="G441" s="21" t="n"/>
      <c r="H441" s="24" t="n"/>
      <c r="I441" s="21" t="n"/>
      <c r="J441" s="21" t="n"/>
      <c r="K441" s="22" t="n"/>
      <c r="L441" s="25">
        <f>IF(ISNUMBER(H441),EDATE(H441,IF(ISNUMBER(K441),K441,3)),"")</f>
        <v/>
      </c>
      <c r="M441" s="26">
        <f>IF(L441="","",IF(ISNUMBER(L441),L441-TODAY(),"Check date"))</f>
        <v/>
      </c>
      <c r="N441" s="27">
        <f>IF(LEN(C441)=0,"",IF(I441="N/A","N/A",IF(OR(I441="",NOT(ISNUMBER(H441))),"Not checked",IF(OR(I441="Not met",LEN(J441)=0,M441&lt;0),"Red",IF(OR(I441="Partly met",M441&lt;=30),"Amber","Green")))))</f>
        <v/>
      </c>
      <c r="O441" s="27">
        <f>IF(N441="Red",IF(I441="Not met","Not met",IF(LEN(J441)=0,"No evidence location","Re-check overdue")),IF(N441="Amber",IF(I441="Partly met","Partly met","Re-check due ≤30 days"),""))</f>
        <v/>
      </c>
      <c r="P441" s="21" t="n"/>
    </row>
    <row r="442">
      <c r="A442" s="21" t="n"/>
      <c r="B442" s="22" t="n"/>
      <c r="C442" s="23" t="n"/>
      <c r="D442" s="23" t="n"/>
      <c r="E442" s="21" t="n"/>
      <c r="F442" s="21" t="n"/>
      <c r="G442" s="21" t="n"/>
      <c r="H442" s="24" t="n"/>
      <c r="I442" s="21" t="n"/>
      <c r="J442" s="21" t="n"/>
      <c r="K442" s="22" t="n"/>
      <c r="L442" s="25">
        <f>IF(ISNUMBER(H442),EDATE(H442,IF(ISNUMBER(K442),K442,3)),"")</f>
        <v/>
      </c>
      <c r="M442" s="26">
        <f>IF(L442="","",IF(ISNUMBER(L442),L442-TODAY(),"Check date"))</f>
        <v/>
      </c>
      <c r="N442" s="27">
        <f>IF(LEN(C442)=0,"",IF(I442="N/A","N/A",IF(OR(I442="",NOT(ISNUMBER(H442))),"Not checked",IF(OR(I442="Not met",LEN(J442)=0,M442&lt;0),"Red",IF(OR(I442="Partly met",M442&lt;=30),"Amber","Green")))))</f>
        <v/>
      </c>
      <c r="O442" s="27">
        <f>IF(N442="Red",IF(I442="Not met","Not met",IF(LEN(J442)=0,"No evidence location","Re-check overdue")),IF(N442="Amber",IF(I442="Partly met","Partly met","Re-check due ≤30 days"),""))</f>
        <v/>
      </c>
      <c r="P442" s="21" t="n"/>
    </row>
    <row r="443">
      <c r="A443" s="21" t="n"/>
      <c r="B443" s="22" t="n"/>
      <c r="C443" s="23" t="n"/>
      <c r="D443" s="23" t="n"/>
      <c r="E443" s="21" t="n"/>
      <c r="F443" s="21" t="n"/>
      <c r="G443" s="21" t="n"/>
      <c r="H443" s="24" t="n"/>
      <c r="I443" s="21" t="n"/>
      <c r="J443" s="21" t="n"/>
      <c r="K443" s="22" t="n"/>
      <c r="L443" s="25">
        <f>IF(ISNUMBER(H443),EDATE(H443,IF(ISNUMBER(K443),K443,3)),"")</f>
        <v/>
      </c>
      <c r="M443" s="26">
        <f>IF(L443="","",IF(ISNUMBER(L443),L443-TODAY(),"Check date"))</f>
        <v/>
      </c>
      <c r="N443" s="27">
        <f>IF(LEN(C443)=0,"",IF(I443="N/A","N/A",IF(OR(I443="",NOT(ISNUMBER(H443))),"Not checked",IF(OR(I443="Not met",LEN(J443)=0,M443&lt;0),"Red",IF(OR(I443="Partly met",M443&lt;=30),"Amber","Green")))))</f>
        <v/>
      </c>
      <c r="O443" s="27">
        <f>IF(N443="Red",IF(I443="Not met","Not met",IF(LEN(J443)=0,"No evidence location","Re-check overdue")),IF(N443="Amber",IF(I443="Partly met","Partly met","Re-check due ≤30 days"),""))</f>
        <v/>
      </c>
      <c r="P443" s="21" t="n"/>
    </row>
    <row r="444">
      <c r="A444" s="21" t="n"/>
      <c r="B444" s="22" t="n"/>
      <c r="C444" s="23" t="n"/>
      <c r="D444" s="23" t="n"/>
      <c r="E444" s="21" t="n"/>
      <c r="F444" s="21" t="n"/>
      <c r="G444" s="21" t="n"/>
      <c r="H444" s="24" t="n"/>
      <c r="I444" s="21" t="n"/>
      <c r="J444" s="21" t="n"/>
      <c r="K444" s="22" t="n"/>
      <c r="L444" s="25">
        <f>IF(ISNUMBER(H444),EDATE(H444,IF(ISNUMBER(K444),K444,3)),"")</f>
        <v/>
      </c>
      <c r="M444" s="26">
        <f>IF(L444="","",IF(ISNUMBER(L444),L444-TODAY(),"Check date"))</f>
        <v/>
      </c>
      <c r="N444" s="27">
        <f>IF(LEN(C444)=0,"",IF(I444="N/A","N/A",IF(OR(I444="",NOT(ISNUMBER(H444))),"Not checked",IF(OR(I444="Not met",LEN(J444)=0,M444&lt;0),"Red",IF(OR(I444="Partly met",M444&lt;=30),"Amber","Green")))))</f>
        <v/>
      </c>
      <c r="O444" s="27">
        <f>IF(N444="Red",IF(I444="Not met","Not met",IF(LEN(J444)=0,"No evidence location","Re-check overdue")),IF(N444="Amber",IF(I444="Partly met","Partly met","Re-check due ≤30 days"),""))</f>
        <v/>
      </c>
      <c r="P444" s="21" t="n"/>
    </row>
    <row r="445">
      <c r="A445" s="21" t="n"/>
      <c r="B445" s="22" t="n"/>
      <c r="C445" s="23" t="n"/>
      <c r="D445" s="23" t="n"/>
      <c r="E445" s="21" t="n"/>
      <c r="F445" s="21" t="n"/>
      <c r="G445" s="21" t="n"/>
      <c r="H445" s="24" t="n"/>
      <c r="I445" s="21" t="n"/>
      <c r="J445" s="21" t="n"/>
      <c r="K445" s="22" t="n"/>
      <c r="L445" s="25">
        <f>IF(ISNUMBER(H445),EDATE(H445,IF(ISNUMBER(K445),K445,3)),"")</f>
        <v/>
      </c>
      <c r="M445" s="26">
        <f>IF(L445="","",IF(ISNUMBER(L445),L445-TODAY(),"Check date"))</f>
        <v/>
      </c>
      <c r="N445" s="27">
        <f>IF(LEN(C445)=0,"",IF(I445="N/A","N/A",IF(OR(I445="",NOT(ISNUMBER(H445))),"Not checked",IF(OR(I445="Not met",LEN(J445)=0,M445&lt;0),"Red",IF(OR(I445="Partly met",M445&lt;=30),"Amber","Green")))))</f>
        <v/>
      </c>
      <c r="O445" s="27">
        <f>IF(N445="Red",IF(I445="Not met","Not met",IF(LEN(J445)=0,"No evidence location","Re-check overdue")),IF(N445="Amber",IF(I445="Partly met","Partly met","Re-check due ≤30 days"),""))</f>
        <v/>
      </c>
      <c r="P445" s="21" t="n"/>
    </row>
    <row r="446">
      <c r="A446" s="21" t="n"/>
      <c r="B446" s="22" t="n"/>
      <c r="C446" s="23" t="n"/>
      <c r="D446" s="23" t="n"/>
      <c r="E446" s="21" t="n"/>
      <c r="F446" s="21" t="n"/>
      <c r="G446" s="21" t="n"/>
      <c r="H446" s="24" t="n"/>
      <c r="I446" s="21" t="n"/>
      <c r="J446" s="21" t="n"/>
      <c r="K446" s="22" t="n"/>
      <c r="L446" s="25">
        <f>IF(ISNUMBER(H446),EDATE(H446,IF(ISNUMBER(K446),K446,3)),"")</f>
        <v/>
      </c>
      <c r="M446" s="26">
        <f>IF(L446="","",IF(ISNUMBER(L446),L446-TODAY(),"Check date"))</f>
        <v/>
      </c>
      <c r="N446" s="27">
        <f>IF(LEN(C446)=0,"",IF(I446="N/A","N/A",IF(OR(I446="",NOT(ISNUMBER(H446))),"Not checked",IF(OR(I446="Not met",LEN(J446)=0,M446&lt;0),"Red",IF(OR(I446="Partly met",M446&lt;=30),"Amber","Green")))))</f>
        <v/>
      </c>
      <c r="O446" s="27">
        <f>IF(N446="Red",IF(I446="Not met","Not met",IF(LEN(J446)=0,"No evidence location","Re-check overdue")),IF(N446="Amber",IF(I446="Partly met","Partly met","Re-check due ≤30 days"),""))</f>
        <v/>
      </c>
      <c r="P446" s="21" t="n"/>
    </row>
    <row r="447">
      <c r="A447" s="21" t="n"/>
      <c r="B447" s="22" t="n"/>
      <c r="C447" s="23" t="n"/>
      <c r="D447" s="23" t="n"/>
      <c r="E447" s="21" t="n"/>
      <c r="F447" s="21" t="n"/>
      <c r="G447" s="21" t="n"/>
      <c r="H447" s="24" t="n"/>
      <c r="I447" s="21" t="n"/>
      <c r="J447" s="21" t="n"/>
      <c r="K447" s="22" t="n"/>
      <c r="L447" s="25">
        <f>IF(ISNUMBER(H447),EDATE(H447,IF(ISNUMBER(K447),K447,3)),"")</f>
        <v/>
      </c>
      <c r="M447" s="26">
        <f>IF(L447="","",IF(ISNUMBER(L447),L447-TODAY(),"Check date"))</f>
        <v/>
      </c>
      <c r="N447" s="27">
        <f>IF(LEN(C447)=0,"",IF(I447="N/A","N/A",IF(OR(I447="",NOT(ISNUMBER(H447))),"Not checked",IF(OR(I447="Not met",LEN(J447)=0,M447&lt;0),"Red",IF(OR(I447="Partly met",M447&lt;=30),"Amber","Green")))))</f>
        <v/>
      </c>
      <c r="O447" s="27">
        <f>IF(N447="Red",IF(I447="Not met","Not met",IF(LEN(J447)=0,"No evidence location","Re-check overdue")),IF(N447="Amber",IF(I447="Partly met","Partly met","Re-check due ≤30 days"),""))</f>
        <v/>
      </c>
      <c r="P447" s="21" t="n"/>
    </row>
    <row r="448">
      <c r="A448" s="21" t="n"/>
      <c r="B448" s="22" t="n"/>
      <c r="C448" s="23" t="n"/>
      <c r="D448" s="23" t="n"/>
      <c r="E448" s="21" t="n"/>
      <c r="F448" s="21" t="n"/>
      <c r="G448" s="21" t="n"/>
      <c r="H448" s="24" t="n"/>
      <c r="I448" s="21" t="n"/>
      <c r="J448" s="21" t="n"/>
      <c r="K448" s="22" t="n"/>
      <c r="L448" s="25">
        <f>IF(ISNUMBER(H448),EDATE(H448,IF(ISNUMBER(K448),K448,3)),"")</f>
        <v/>
      </c>
      <c r="M448" s="26">
        <f>IF(L448="","",IF(ISNUMBER(L448),L448-TODAY(),"Check date"))</f>
        <v/>
      </c>
      <c r="N448" s="27">
        <f>IF(LEN(C448)=0,"",IF(I448="N/A","N/A",IF(OR(I448="",NOT(ISNUMBER(H448))),"Not checked",IF(OR(I448="Not met",LEN(J448)=0,M448&lt;0),"Red",IF(OR(I448="Partly met",M448&lt;=30),"Amber","Green")))))</f>
        <v/>
      </c>
      <c r="O448" s="27">
        <f>IF(N448="Red",IF(I448="Not met","Not met",IF(LEN(J448)=0,"No evidence location","Re-check overdue")),IF(N448="Amber",IF(I448="Partly met","Partly met","Re-check due ≤30 days"),""))</f>
        <v/>
      </c>
      <c r="P448" s="21" t="n"/>
    </row>
    <row r="449">
      <c r="A449" s="21" t="n"/>
      <c r="B449" s="22" t="n"/>
      <c r="C449" s="23" t="n"/>
      <c r="D449" s="23" t="n"/>
      <c r="E449" s="21" t="n"/>
      <c r="F449" s="21" t="n"/>
      <c r="G449" s="21" t="n"/>
      <c r="H449" s="24" t="n"/>
      <c r="I449" s="21" t="n"/>
      <c r="J449" s="21" t="n"/>
      <c r="K449" s="22" t="n"/>
      <c r="L449" s="25">
        <f>IF(ISNUMBER(H449),EDATE(H449,IF(ISNUMBER(K449),K449,3)),"")</f>
        <v/>
      </c>
      <c r="M449" s="26">
        <f>IF(L449="","",IF(ISNUMBER(L449),L449-TODAY(),"Check date"))</f>
        <v/>
      </c>
      <c r="N449" s="27">
        <f>IF(LEN(C449)=0,"",IF(I449="N/A","N/A",IF(OR(I449="",NOT(ISNUMBER(H449))),"Not checked",IF(OR(I449="Not met",LEN(J449)=0,M449&lt;0),"Red",IF(OR(I449="Partly met",M449&lt;=30),"Amber","Green")))))</f>
        <v/>
      </c>
      <c r="O449" s="27">
        <f>IF(N449="Red",IF(I449="Not met","Not met",IF(LEN(J449)=0,"No evidence location","Re-check overdue")),IF(N449="Amber",IF(I449="Partly met","Partly met","Re-check due ≤30 days"),""))</f>
        <v/>
      </c>
      <c r="P449" s="21" t="n"/>
    </row>
    <row r="450">
      <c r="A450" s="21" t="n"/>
      <c r="B450" s="22" t="n"/>
      <c r="C450" s="23" t="n"/>
      <c r="D450" s="23" t="n"/>
      <c r="E450" s="21" t="n"/>
      <c r="F450" s="21" t="n"/>
      <c r="G450" s="21" t="n"/>
      <c r="H450" s="24" t="n"/>
      <c r="I450" s="21" t="n"/>
      <c r="J450" s="21" t="n"/>
      <c r="K450" s="22" t="n"/>
      <c r="L450" s="25">
        <f>IF(ISNUMBER(H450),EDATE(H450,IF(ISNUMBER(K450),K450,3)),"")</f>
        <v/>
      </c>
      <c r="M450" s="26">
        <f>IF(L450="","",IF(ISNUMBER(L450),L450-TODAY(),"Check date"))</f>
        <v/>
      </c>
      <c r="N450" s="27">
        <f>IF(LEN(C450)=0,"",IF(I450="N/A","N/A",IF(OR(I450="",NOT(ISNUMBER(H450))),"Not checked",IF(OR(I450="Not met",LEN(J450)=0,M450&lt;0),"Red",IF(OR(I450="Partly met",M450&lt;=30),"Amber","Green")))))</f>
        <v/>
      </c>
      <c r="O450" s="27">
        <f>IF(N450="Red",IF(I450="Not met","Not met",IF(LEN(J450)=0,"No evidence location","Re-check overdue")),IF(N450="Amber",IF(I450="Partly met","Partly met","Re-check due ≤30 days"),""))</f>
        <v/>
      </c>
      <c r="P450" s="21" t="n"/>
    </row>
    <row r="451">
      <c r="A451" s="21" t="n"/>
      <c r="B451" s="22" t="n"/>
      <c r="C451" s="23" t="n"/>
      <c r="D451" s="23" t="n"/>
      <c r="E451" s="21" t="n"/>
      <c r="F451" s="21" t="n"/>
      <c r="G451" s="21" t="n"/>
      <c r="H451" s="24" t="n"/>
      <c r="I451" s="21" t="n"/>
      <c r="J451" s="21" t="n"/>
      <c r="K451" s="22" t="n"/>
      <c r="L451" s="25">
        <f>IF(ISNUMBER(H451),EDATE(H451,IF(ISNUMBER(K451),K451,3)),"")</f>
        <v/>
      </c>
      <c r="M451" s="26">
        <f>IF(L451="","",IF(ISNUMBER(L451),L451-TODAY(),"Check date"))</f>
        <v/>
      </c>
      <c r="N451" s="27">
        <f>IF(LEN(C451)=0,"",IF(I451="N/A","N/A",IF(OR(I451="",NOT(ISNUMBER(H451))),"Not checked",IF(OR(I451="Not met",LEN(J451)=0,M451&lt;0),"Red",IF(OR(I451="Partly met",M451&lt;=30),"Amber","Green")))))</f>
        <v/>
      </c>
      <c r="O451" s="27">
        <f>IF(N451="Red",IF(I451="Not met","Not met",IF(LEN(J451)=0,"No evidence location","Re-check overdue")),IF(N451="Amber",IF(I451="Partly met","Partly met","Re-check due ≤30 days"),""))</f>
        <v/>
      </c>
      <c r="P451" s="21" t="n"/>
    </row>
    <row r="452">
      <c r="A452" s="21" t="n"/>
      <c r="B452" s="22" t="n"/>
      <c r="C452" s="23" t="n"/>
      <c r="D452" s="23" t="n"/>
      <c r="E452" s="21" t="n"/>
      <c r="F452" s="21" t="n"/>
      <c r="G452" s="21" t="n"/>
      <c r="H452" s="24" t="n"/>
      <c r="I452" s="21" t="n"/>
      <c r="J452" s="21" t="n"/>
      <c r="K452" s="22" t="n"/>
      <c r="L452" s="25">
        <f>IF(ISNUMBER(H452),EDATE(H452,IF(ISNUMBER(K452),K452,3)),"")</f>
        <v/>
      </c>
      <c r="M452" s="26">
        <f>IF(L452="","",IF(ISNUMBER(L452),L452-TODAY(),"Check date"))</f>
        <v/>
      </c>
      <c r="N452" s="27">
        <f>IF(LEN(C452)=0,"",IF(I452="N/A","N/A",IF(OR(I452="",NOT(ISNUMBER(H452))),"Not checked",IF(OR(I452="Not met",LEN(J452)=0,M452&lt;0),"Red",IF(OR(I452="Partly met",M452&lt;=30),"Amber","Green")))))</f>
        <v/>
      </c>
      <c r="O452" s="27">
        <f>IF(N452="Red",IF(I452="Not met","Not met",IF(LEN(J452)=0,"No evidence location","Re-check overdue")),IF(N452="Amber",IF(I452="Partly met","Partly met","Re-check due ≤30 days"),""))</f>
        <v/>
      </c>
      <c r="P452" s="21" t="n"/>
    </row>
    <row r="453">
      <c r="A453" s="21" t="n"/>
      <c r="B453" s="22" t="n"/>
      <c r="C453" s="23" t="n"/>
      <c r="D453" s="23" t="n"/>
      <c r="E453" s="21" t="n"/>
      <c r="F453" s="21" t="n"/>
      <c r="G453" s="21" t="n"/>
      <c r="H453" s="24" t="n"/>
      <c r="I453" s="21" t="n"/>
      <c r="J453" s="21" t="n"/>
      <c r="K453" s="22" t="n"/>
      <c r="L453" s="25">
        <f>IF(ISNUMBER(H453),EDATE(H453,IF(ISNUMBER(K453),K453,3)),"")</f>
        <v/>
      </c>
      <c r="M453" s="26">
        <f>IF(L453="","",IF(ISNUMBER(L453),L453-TODAY(),"Check date"))</f>
        <v/>
      </c>
      <c r="N453" s="27">
        <f>IF(LEN(C453)=0,"",IF(I453="N/A","N/A",IF(OR(I453="",NOT(ISNUMBER(H453))),"Not checked",IF(OR(I453="Not met",LEN(J453)=0,M453&lt;0),"Red",IF(OR(I453="Partly met",M453&lt;=30),"Amber","Green")))))</f>
        <v/>
      </c>
      <c r="O453" s="27">
        <f>IF(N453="Red",IF(I453="Not met","Not met",IF(LEN(J453)=0,"No evidence location","Re-check overdue")),IF(N453="Amber",IF(I453="Partly met","Partly met","Re-check due ≤30 days"),""))</f>
        <v/>
      </c>
      <c r="P453" s="21" t="n"/>
    </row>
    <row r="454">
      <c r="A454" s="21" t="n"/>
      <c r="B454" s="22" t="n"/>
      <c r="C454" s="23" t="n"/>
      <c r="D454" s="23" t="n"/>
      <c r="E454" s="21" t="n"/>
      <c r="F454" s="21" t="n"/>
      <c r="G454" s="21" t="n"/>
      <c r="H454" s="24" t="n"/>
      <c r="I454" s="21" t="n"/>
      <c r="J454" s="21" t="n"/>
      <c r="K454" s="22" t="n"/>
      <c r="L454" s="25">
        <f>IF(ISNUMBER(H454),EDATE(H454,IF(ISNUMBER(K454),K454,3)),"")</f>
        <v/>
      </c>
      <c r="M454" s="26">
        <f>IF(L454="","",IF(ISNUMBER(L454),L454-TODAY(),"Check date"))</f>
        <v/>
      </c>
      <c r="N454" s="27">
        <f>IF(LEN(C454)=0,"",IF(I454="N/A","N/A",IF(OR(I454="",NOT(ISNUMBER(H454))),"Not checked",IF(OR(I454="Not met",LEN(J454)=0,M454&lt;0),"Red",IF(OR(I454="Partly met",M454&lt;=30),"Amber","Green")))))</f>
        <v/>
      </c>
      <c r="O454" s="27">
        <f>IF(N454="Red",IF(I454="Not met","Not met",IF(LEN(J454)=0,"No evidence location","Re-check overdue")),IF(N454="Amber",IF(I454="Partly met","Partly met","Re-check due ≤30 days"),""))</f>
        <v/>
      </c>
      <c r="P454" s="21" t="n"/>
    </row>
    <row r="455">
      <c r="A455" s="21" t="n"/>
      <c r="B455" s="22" t="n"/>
      <c r="C455" s="23" t="n"/>
      <c r="D455" s="23" t="n"/>
      <c r="E455" s="21" t="n"/>
      <c r="F455" s="21" t="n"/>
      <c r="G455" s="21" t="n"/>
      <c r="H455" s="24" t="n"/>
      <c r="I455" s="21" t="n"/>
      <c r="J455" s="21" t="n"/>
      <c r="K455" s="22" t="n"/>
      <c r="L455" s="25">
        <f>IF(ISNUMBER(H455),EDATE(H455,IF(ISNUMBER(K455),K455,3)),"")</f>
        <v/>
      </c>
      <c r="M455" s="26">
        <f>IF(L455="","",IF(ISNUMBER(L455),L455-TODAY(),"Check date"))</f>
        <v/>
      </c>
      <c r="N455" s="27">
        <f>IF(LEN(C455)=0,"",IF(I455="N/A","N/A",IF(OR(I455="",NOT(ISNUMBER(H455))),"Not checked",IF(OR(I455="Not met",LEN(J455)=0,M455&lt;0),"Red",IF(OR(I455="Partly met",M455&lt;=30),"Amber","Green")))))</f>
        <v/>
      </c>
      <c r="O455" s="27">
        <f>IF(N455="Red",IF(I455="Not met","Not met",IF(LEN(J455)=0,"No evidence location","Re-check overdue")),IF(N455="Amber",IF(I455="Partly met","Partly met","Re-check due ≤30 days"),""))</f>
        <v/>
      </c>
      <c r="P455" s="21" t="n"/>
    </row>
    <row r="456">
      <c r="A456" s="21" t="n"/>
      <c r="B456" s="22" t="n"/>
      <c r="C456" s="23" t="n"/>
      <c r="D456" s="23" t="n"/>
      <c r="E456" s="21" t="n"/>
      <c r="F456" s="21" t="n"/>
      <c r="G456" s="21" t="n"/>
      <c r="H456" s="24" t="n"/>
      <c r="I456" s="21" t="n"/>
      <c r="J456" s="21" t="n"/>
      <c r="K456" s="22" t="n"/>
      <c r="L456" s="25">
        <f>IF(ISNUMBER(H456),EDATE(H456,IF(ISNUMBER(K456),K456,3)),"")</f>
        <v/>
      </c>
      <c r="M456" s="26">
        <f>IF(L456="","",IF(ISNUMBER(L456),L456-TODAY(),"Check date"))</f>
        <v/>
      </c>
      <c r="N456" s="27">
        <f>IF(LEN(C456)=0,"",IF(I456="N/A","N/A",IF(OR(I456="",NOT(ISNUMBER(H456))),"Not checked",IF(OR(I456="Not met",LEN(J456)=0,M456&lt;0),"Red",IF(OR(I456="Partly met",M456&lt;=30),"Amber","Green")))))</f>
        <v/>
      </c>
      <c r="O456" s="27">
        <f>IF(N456="Red",IF(I456="Not met","Not met",IF(LEN(J456)=0,"No evidence location","Re-check overdue")),IF(N456="Amber",IF(I456="Partly met","Partly met","Re-check due ≤30 days"),""))</f>
        <v/>
      </c>
      <c r="P456" s="21" t="n"/>
    </row>
    <row r="457">
      <c r="A457" s="21" t="n"/>
      <c r="B457" s="22" t="n"/>
      <c r="C457" s="23" t="n"/>
      <c r="D457" s="23" t="n"/>
      <c r="E457" s="21" t="n"/>
      <c r="F457" s="21" t="n"/>
      <c r="G457" s="21" t="n"/>
      <c r="H457" s="24" t="n"/>
      <c r="I457" s="21" t="n"/>
      <c r="J457" s="21" t="n"/>
      <c r="K457" s="22" t="n"/>
      <c r="L457" s="25">
        <f>IF(ISNUMBER(H457),EDATE(H457,IF(ISNUMBER(K457),K457,3)),"")</f>
        <v/>
      </c>
      <c r="M457" s="26">
        <f>IF(L457="","",IF(ISNUMBER(L457),L457-TODAY(),"Check date"))</f>
        <v/>
      </c>
      <c r="N457" s="27">
        <f>IF(LEN(C457)=0,"",IF(I457="N/A","N/A",IF(OR(I457="",NOT(ISNUMBER(H457))),"Not checked",IF(OR(I457="Not met",LEN(J457)=0,M457&lt;0),"Red",IF(OR(I457="Partly met",M457&lt;=30),"Amber","Green")))))</f>
        <v/>
      </c>
      <c r="O457" s="27">
        <f>IF(N457="Red",IF(I457="Not met","Not met",IF(LEN(J457)=0,"No evidence location","Re-check overdue")),IF(N457="Amber",IF(I457="Partly met","Partly met","Re-check due ≤30 days"),""))</f>
        <v/>
      </c>
      <c r="P457" s="21" t="n"/>
    </row>
    <row r="458">
      <c r="A458" s="21" t="n"/>
      <c r="B458" s="22" t="n"/>
      <c r="C458" s="23" t="n"/>
      <c r="D458" s="23" t="n"/>
      <c r="E458" s="21" t="n"/>
      <c r="F458" s="21" t="n"/>
      <c r="G458" s="21" t="n"/>
      <c r="H458" s="24" t="n"/>
      <c r="I458" s="21" t="n"/>
      <c r="J458" s="21" t="n"/>
      <c r="K458" s="22" t="n"/>
      <c r="L458" s="25">
        <f>IF(ISNUMBER(H458),EDATE(H458,IF(ISNUMBER(K458),K458,3)),"")</f>
        <v/>
      </c>
      <c r="M458" s="26">
        <f>IF(L458="","",IF(ISNUMBER(L458),L458-TODAY(),"Check date"))</f>
        <v/>
      </c>
      <c r="N458" s="27">
        <f>IF(LEN(C458)=0,"",IF(I458="N/A","N/A",IF(OR(I458="",NOT(ISNUMBER(H458))),"Not checked",IF(OR(I458="Not met",LEN(J458)=0,M458&lt;0),"Red",IF(OR(I458="Partly met",M458&lt;=30),"Amber","Green")))))</f>
        <v/>
      </c>
      <c r="O458" s="27">
        <f>IF(N458="Red",IF(I458="Not met","Not met",IF(LEN(J458)=0,"No evidence location","Re-check overdue")),IF(N458="Amber",IF(I458="Partly met","Partly met","Re-check due ≤30 days"),""))</f>
        <v/>
      </c>
      <c r="P458" s="21" t="n"/>
    </row>
    <row r="459">
      <c r="A459" s="21" t="n"/>
      <c r="B459" s="22" t="n"/>
      <c r="C459" s="23" t="n"/>
      <c r="D459" s="23" t="n"/>
      <c r="E459" s="21" t="n"/>
      <c r="F459" s="21" t="n"/>
      <c r="G459" s="21" t="n"/>
      <c r="H459" s="24" t="n"/>
      <c r="I459" s="21" t="n"/>
      <c r="J459" s="21" t="n"/>
      <c r="K459" s="22" t="n"/>
      <c r="L459" s="25">
        <f>IF(ISNUMBER(H459),EDATE(H459,IF(ISNUMBER(K459),K459,3)),"")</f>
        <v/>
      </c>
      <c r="M459" s="26">
        <f>IF(L459="","",IF(ISNUMBER(L459),L459-TODAY(),"Check date"))</f>
        <v/>
      </c>
      <c r="N459" s="27">
        <f>IF(LEN(C459)=0,"",IF(I459="N/A","N/A",IF(OR(I459="",NOT(ISNUMBER(H459))),"Not checked",IF(OR(I459="Not met",LEN(J459)=0,M459&lt;0),"Red",IF(OR(I459="Partly met",M459&lt;=30),"Amber","Green")))))</f>
        <v/>
      </c>
      <c r="O459" s="27">
        <f>IF(N459="Red",IF(I459="Not met","Not met",IF(LEN(J459)=0,"No evidence location","Re-check overdue")),IF(N459="Amber",IF(I459="Partly met","Partly met","Re-check due ≤30 days"),""))</f>
        <v/>
      </c>
      <c r="P459" s="21" t="n"/>
    </row>
    <row r="460">
      <c r="A460" s="21" t="n"/>
      <c r="B460" s="22" t="n"/>
      <c r="C460" s="23" t="n"/>
      <c r="D460" s="23" t="n"/>
      <c r="E460" s="21" t="n"/>
      <c r="F460" s="21" t="n"/>
      <c r="G460" s="21" t="n"/>
      <c r="H460" s="24" t="n"/>
      <c r="I460" s="21" t="n"/>
      <c r="J460" s="21" t="n"/>
      <c r="K460" s="22" t="n"/>
      <c r="L460" s="25">
        <f>IF(ISNUMBER(H460),EDATE(H460,IF(ISNUMBER(K460),K460,3)),"")</f>
        <v/>
      </c>
      <c r="M460" s="26">
        <f>IF(L460="","",IF(ISNUMBER(L460),L460-TODAY(),"Check date"))</f>
        <v/>
      </c>
      <c r="N460" s="27">
        <f>IF(LEN(C460)=0,"",IF(I460="N/A","N/A",IF(OR(I460="",NOT(ISNUMBER(H460))),"Not checked",IF(OR(I460="Not met",LEN(J460)=0,M460&lt;0),"Red",IF(OR(I460="Partly met",M460&lt;=30),"Amber","Green")))))</f>
        <v/>
      </c>
      <c r="O460" s="27">
        <f>IF(N460="Red",IF(I460="Not met","Not met",IF(LEN(J460)=0,"No evidence location","Re-check overdue")),IF(N460="Amber",IF(I460="Partly met","Partly met","Re-check due ≤30 days"),""))</f>
        <v/>
      </c>
      <c r="P460" s="21" t="n"/>
    </row>
    <row r="461">
      <c r="A461" s="21" t="n"/>
      <c r="B461" s="22" t="n"/>
      <c r="C461" s="23" t="n"/>
      <c r="D461" s="23" t="n"/>
      <c r="E461" s="21" t="n"/>
      <c r="F461" s="21" t="n"/>
      <c r="G461" s="21" t="n"/>
      <c r="H461" s="24" t="n"/>
      <c r="I461" s="21" t="n"/>
      <c r="J461" s="21" t="n"/>
      <c r="K461" s="22" t="n"/>
      <c r="L461" s="25">
        <f>IF(ISNUMBER(H461),EDATE(H461,IF(ISNUMBER(K461),K461,3)),"")</f>
        <v/>
      </c>
      <c r="M461" s="26">
        <f>IF(L461="","",IF(ISNUMBER(L461),L461-TODAY(),"Check date"))</f>
        <v/>
      </c>
      <c r="N461" s="27">
        <f>IF(LEN(C461)=0,"",IF(I461="N/A","N/A",IF(OR(I461="",NOT(ISNUMBER(H461))),"Not checked",IF(OR(I461="Not met",LEN(J461)=0,M461&lt;0),"Red",IF(OR(I461="Partly met",M461&lt;=30),"Amber","Green")))))</f>
        <v/>
      </c>
      <c r="O461" s="27">
        <f>IF(N461="Red",IF(I461="Not met","Not met",IF(LEN(J461)=0,"No evidence location","Re-check overdue")),IF(N461="Amber",IF(I461="Partly met","Partly met","Re-check due ≤30 days"),""))</f>
        <v/>
      </c>
      <c r="P461" s="21" t="n"/>
    </row>
    <row r="462">
      <c r="A462" s="21" t="n"/>
      <c r="B462" s="22" t="n"/>
      <c r="C462" s="23" t="n"/>
      <c r="D462" s="23" t="n"/>
      <c r="E462" s="21" t="n"/>
      <c r="F462" s="21" t="n"/>
      <c r="G462" s="21" t="n"/>
      <c r="H462" s="24" t="n"/>
      <c r="I462" s="21" t="n"/>
      <c r="J462" s="21" t="n"/>
      <c r="K462" s="22" t="n"/>
      <c r="L462" s="25">
        <f>IF(ISNUMBER(H462),EDATE(H462,IF(ISNUMBER(K462),K462,3)),"")</f>
        <v/>
      </c>
      <c r="M462" s="26">
        <f>IF(L462="","",IF(ISNUMBER(L462),L462-TODAY(),"Check date"))</f>
        <v/>
      </c>
      <c r="N462" s="27">
        <f>IF(LEN(C462)=0,"",IF(I462="N/A","N/A",IF(OR(I462="",NOT(ISNUMBER(H462))),"Not checked",IF(OR(I462="Not met",LEN(J462)=0,M462&lt;0),"Red",IF(OR(I462="Partly met",M462&lt;=30),"Amber","Green")))))</f>
        <v/>
      </c>
      <c r="O462" s="27">
        <f>IF(N462="Red",IF(I462="Not met","Not met",IF(LEN(J462)=0,"No evidence location","Re-check overdue")),IF(N462="Amber",IF(I462="Partly met","Partly met","Re-check due ≤30 days"),""))</f>
        <v/>
      </c>
      <c r="P462" s="21" t="n"/>
    </row>
    <row r="463">
      <c r="A463" s="21" t="n"/>
      <c r="B463" s="22" t="n"/>
      <c r="C463" s="23" t="n"/>
      <c r="D463" s="23" t="n"/>
      <c r="E463" s="21" t="n"/>
      <c r="F463" s="21" t="n"/>
      <c r="G463" s="21" t="n"/>
      <c r="H463" s="24" t="n"/>
      <c r="I463" s="21" t="n"/>
      <c r="J463" s="21" t="n"/>
      <c r="K463" s="22" t="n"/>
      <c r="L463" s="25">
        <f>IF(ISNUMBER(H463),EDATE(H463,IF(ISNUMBER(K463),K463,3)),"")</f>
        <v/>
      </c>
      <c r="M463" s="26">
        <f>IF(L463="","",IF(ISNUMBER(L463),L463-TODAY(),"Check date"))</f>
        <v/>
      </c>
      <c r="N463" s="27">
        <f>IF(LEN(C463)=0,"",IF(I463="N/A","N/A",IF(OR(I463="",NOT(ISNUMBER(H463))),"Not checked",IF(OR(I463="Not met",LEN(J463)=0,M463&lt;0),"Red",IF(OR(I463="Partly met",M463&lt;=30),"Amber","Green")))))</f>
        <v/>
      </c>
      <c r="O463" s="27">
        <f>IF(N463="Red",IF(I463="Not met","Not met",IF(LEN(J463)=0,"No evidence location","Re-check overdue")),IF(N463="Amber",IF(I463="Partly met","Partly met","Re-check due ≤30 days"),""))</f>
        <v/>
      </c>
      <c r="P463" s="21" t="n"/>
    </row>
    <row r="464">
      <c r="A464" s="21" t="n"/>
      <c r="B464" s="22" t="n"/>
      <c r="C464" s="23" t="n"/>
      <c r="D464" s="23" t="n"/>
      <c r="E464" s="21" t="n"/>
      <c r="F464" s="21" t="n"/>
      <c r="G464" s="21" t="n"/>
      <c r="H464" s="24" t="n"/>
      <c r="I464" s="21" t="n"/>
      <c r="J464" s="21" t="n"/>
      <c r="K464" s="22" t="n"/>
      <c r="L464" s="25">
        <f>IF(ISNUMBER(H464),EDATE(H464,IF(ISNUMBER(K464),K464,3)),"")</f>
        <v/>
      </c>
      <c r="M464" s="26">
        <f>IF(L464="","",IF(ISNUMBER(L464),L464-TODAY(),"Check date"))</f>
        <v/>
      </c>
      <c r="N464" s="27">
        <f>IF(LEN(C464)=0,"",IF(I464="N/A","N/A",IF(OR(I464="",NOT(ISNUMBER(H464))),"Not checked",IF(OR(I464="Not met",LEN(J464)=0,M464&lt;0),"Red",IF(OR(I464="Partly met",M464&lt;=30),"Amber","Green")))))</f>
        <v/>
      </c>
      <c r="O464" s="27">
        <f>IF(N464="Red",IF(I464="Not met","Not met",IF(LEN(J464)=0,"No evidence location","Re-check overdue")),IF(N464="Amber",IF(I464="Partly met","Partly met","Re-check due ≤30 days"),""))</f>
        <v/>
      </c>
      <c r="P464" s="21" t="n"/>
    </row>
    <row r="465">
      <c r="A465" s="21" t="n"/>
      <c r="B465" s="22" t="n"/>
      <c r="C465" s="23" t="n"/>
      <c r="D465" s="23" t="n"/>
      <c r="E465" s="21" t="n"/>
      <c r="F465" s="21" t="n"/>
      <c r="G465" s="21" t="n"/>
      <c r="H465" s="24" t="n"/>
      <c r="I465" s="21" t="n"/>
      <c r="J465" s="21" t="n"/>
      <c r="K465" s="22" t="n"/>
      <c r="L465" s="25">
        <f>IF(ISNUMBER(H465),EDATE(H465,IF(ISNUMBER(K465),K465,3)),"")</f>
        <v/>
      </c>
      <c r="M465" s="26">
        <f>IF(L465="","",IF(ISNUMBER(L465),L465-TODAY(),"Check date"))</f>
        <v/>
      </c>
      <c r="N465" s="27">
        <f>IF(LEN(C465)=0,"",IF(I465="N/A","N/A",IF(OR(I465="",NOT(ISNUMBER(H465))),"Not checked",IF(OR(I465="Not met",LEN(J465)=0,M465&lt;0),"Red",IF(OR(I465="Partly met",M465&lt;=30),"Amber","Green")))))</f>
        <v/>
      </c>
      <c r="O465" s="27">
        <f>IF(N465="Red",IF(I465="Not met","Not met",IF(LEN(J465)=0,"No evidence location","Re-check overdue")),IF(N465="Amber",IF(I465="Partly met","Partly met","Re-check due ≤30 days"),""))</f>
        <v/>
      </c>
      <c r="P465" s="21" t="n"/>
    </row>
    <row r="466">
      <c r="A466" s="21" t="n"/>
      <c r="B466" s="22" t="n"/>
      <c r="C466" s="23" t="n"/>
      <c r="D466" s="23" t="n"/>
      <c r="E466" s="21" t="n"/>
      <c r="F466" s="21" t="n"/>
      <c r="G466" s="21" t="n"/>
      <c r="H466" s="24" t="n"/>
      <c r="I466" s="21" t="n"/>
      <c r="J466" s="21" t="n"/>
      <c r="K466" s="22" t="n"/>
      <c r="L466" s="25">
        <f>IF(ISNUMBER(H466),EDATE(H466,IF(ISNUMBER(K466),K466,3)),"")</f>
        <v/>
      </c>
      <c r="M466" s="26">
        <f>IF(L466="","",IF(ISNUMBER(L466),L466-TODAY(),"Check date"))</f>
        <v/>
      </c>
      <c r="N466" s="27">
        <f>IF(LEN(C466)=0,"",IF(I466="N/A","N/A",IF(OR(I466="",NOT(ISNUMBER(H466))),"Not checked",IF(OR(I466="Not met",LEN(J466)=0,M466&lt;0),"Red",IF(OR(I466="Partly met",M466&lt;=30),"Amber","Green")))))</f>
        <v/>
      </c>
      <c r="O466" s="27">
        <f>IF(N466="Red",IF(I466="Not met","Not met",IF(LEN(J466)=0,"No evidence location","Re-check overdue")),IF(N466="Amber",IF(I466="Partly met","Partly met","Re-check due ≤30 days"),""))</f>
        <v/>
      </c>
      <c r="P466" s="21" t="n"/>
    </row>
    <row r="467">
      <c r="A467" s="21" t="n"/>
      <c r="B467" s="22" t="n"/>
      <c r="C467" s="23" t="n"/>
      <c r="D467" s="23" t="n"/>
      <c r="E467" s="21" t="n"/>
      <c r="F467" s="21" t="n"/>
      <c r="G467" s="21" t="n"/>
      <c r="H467" s="24" t="n"/>
      <c r="I467" s="21" t="n"/>
      <c r="J467" s="21" t="n"/>
      <c r="K467" s="22" t="n"/>
      <c r="L467" s="25">
        <f>IF(ISNUMBER(H467),EDATE(H467,IF(ISNUMBER(K467),K467,3)),"")</f>
        <v/>
      </c>
      <c r="M467" s="26">
        <f>IF(L467="","",IF(ISNUMBER(L467),L467-TODAY(),"Check date"))</f>
        <v/>
      </c>
      <c r="N467" s="27">
        <f>IF(LEN(C467)=0,"",IF(I467="N/A","N/A",IF(OR(I467="",NOT(ISNUMBER(H467))),"Not checked",IF(OR(I467="Not met",LEN(J467)=0,M467&lt;0),"Red",IF(OR(I467="Partly met",M467&lt;=30),"Amber","Green")))))</f>
        <v/>
      </c>
      <c r="O467" s="27">
        <f>IF(N467="Red",IF(I467="Not met","Not met",IF(LEN(J467)=0,"No evidence location","Re-check overdue")),IF(N467="Amber",IF(I467="Partly met","Partly met","Re-check due ≤30 days"),""))</f>
        <v/>
      </c>
      <c r="P467" s="21" t="n"/>
    </row>
    <row r="468">
      <c r="A468" s="21" t="n"/>
      <c r="B468" s="22" t="n"/>
      <c r="C468" s="23" t="n"/>
      <c r="D468" s="23" t="n"/>
      <c r="E468" s="21" t="n"/>
      <c r="F468" s="21" t="n"/>
      <c r="G468" s="21" t="n"/>
      <c r="H468" s="24" t="n"/>
      <c r="I468" s="21" t="n"/>
      <c r="J468" s="21" t="n"/>
      <c r="K468" s="22" t="n"/>
      <c r="L468" s="25">
        <f>IF(ISNUMBER(H468),EDATE(H468,IF(ISNUMBER(K468),K468,3)),"")</f>
        <v/>
      </c>
      <c r="M468" s="26">
        <f>IF(L468="","",IF(ISNUMBER(L468),L468-TODAY(),"Check date"))</f>
        <v/>
      </c>
      <c r="N468" s="27">
        <f>IF(LEN(C468)=0,"",IF(I468="N/A","N/A",IF(OR(I468="",NOT(ISNUMBER(H468))),"Not checked",IF(OR(I468="Not met",LEN(J468)=0,M468&lt;0),"Red",IF(OR(I468="Partly met",M468&lt;=30),"Amber","Green")))))</f>
        <v/>
      </c>
      <c r="O468" s="27">
        <f>IF(N468="Red",IF(I468="Not met","Not met",IF(LEN(J468)=0,"No evidence location","Re-check overdue")),IF(N468="Amber",IF(I468="Partly met","Partly met","Re-check due ≤30 days"),""))</f>
        <v/>
      </c>
      <c r="P468" s="21" t="n"/>
    </row>
    <row r="469">
      <c r="A469" s="21" t="n"/>
      <c r="B469" s="22" t="n"/>
      <c r="C469" s="23" t="n"/>
      <c r="D469" s="23" t="n"/>
      <c r="E469" s="21" t="n"/>
      <c r="F469" s="21" t="n"/>
      <c r="G469" s="21" t="n"/>
      <c r="H469" s="24" t="n"/>
      <c r="I469" s="21" t="n"/>
      <c r="J469" s="21" t="n"/>
      <c r="K469" s="22" t="n"/>
      <c r="L469" s="25">
        <f>IF(ISNUMBER(H469),EDATE(H469,IF(ISNUMBER(K469),K469,3)),"")</f>
        <v/>
      </c>
      <c r="M469" s="26">
        <f>IF(L469="","",IF(ISNUMBER(L469),L469-TODAY(),"Check date"))</f>
        <v/>
      </c>
      <c r="N469" s="27">
        <f>IF(LEN(C469)=0,"",IF(I469="N/A","N/A",IF(OR(I469="",NOT(ISNUMBER(H469))),"Not checked",IF(OR(I469="Not met",LEN(J469)=0,M469&lt;0),"Red",IF(OR(I469="Partly met",M469&lt;=30),"Amber","Green")))))</f>
        <v/>
      </c>
      <c r="O469" s="27">
        <f>IF(N469="Red",IF(I469="Not met","Not met",IF(LEN(J469)=0,"No evidence location","Re-check overdue")),IF(N469="Amber",IF(I469="Partly met","Partly met","Re-check due ≤30 days"),""))</f>
        <v/>
      </c>
      <c r="P469" s="21" t="n"/>
    </row>
    <row r="470">
      <c r="A470" s="21" t="n"/>
      <c r="B470" s="22" t="n"/>
      <c r="C470" s="23" t="n"/>
      <c r="D470" s="23" t="n"/>
      <c r="E470" s="21" t="n"/>
      <c r="F470" s="21" t="n"/>
      <c r="G470" s="21" t="n"/>
      <c r="H470" s="24" t="n"/>
      <c r="I470" s="21" t="n"/>
      <c r="J470" s="21" t="n"/>
      <c r="K470" s="22" t="n"/>
      <c r="L470" s="25">
        <f>IF(ISNUMBER(H470),EDATE(H470,IF(ISNUMBER(K470),K470,3)),"")</f>
        <v/>
      </c>
      <c r="M470" s="26">
        <f>IF(L470="","",IF(ISNUMBER(L470),L470-TODAY(),"Check date"))</f>
        <v/>
      </c>
      <c r="N470" s="27">
        <f>IF(LEN(C470)=0,"",IF(I470="N/A","N/A",IF(OR(I470="",NOT(ISNUMBER(H470))),"Not checked",IF(OR(I470="Not met",LEN(J470)=0,M470&lt;0),"Red",IF(OR(I470="Partly met",M470&lt;=30),"Amber","Green")))))</f>
        <v/>
      </c>
      <c r="O470" s="27">
        <f>IF(N470="Red",IF(I470="Not met","Not met",IF(LEN(J470)=0,"No evidence location","Re-check overdue")),IF(N470="Amber",IF(I470="Partly met","Partly met","Re-check due ≤30 days"),""))</f>
        <v/>
      </c>
      <c r="P470" s="21" t="n"/>
    </row>
    <row r="471">
      <c r="A471" s="21" t="n"/>
      <c r="B471" s="22" t="n"/>
      <c r="C471" s="23" t="n"/>
      <c r="D471" s="23" t="n"/>
      <c r="E471" s="21" t="n"/>
      <c r="F471" s="21" t="n"/>
      <c r="G471" s="21" t="n"/>
      <c r="H471" s="24" t="n"/>
      <c r="I471" s="21" t="n"/>
      <c r="J471" s="21" t="n"/>
      <c r="K471" s="22" t="n"/>
      <c r="L471" s="25">
        <f>IF(ISNUMBER(H471),EDATE(H471,IF(ISNUMBER(K471),K471,3)),"")</f>
        <v/>
      </c>
      <c r="M471" s="26">
        <f>IF(L471="","",IF(ISNUMBER(L471),L471-TODAY(),"Check date"))</f>
        <v/>
      </c>
      <c r="N471" s="27">
        <f>IF(LEN(C471)=0,"",IF(I471="N/A","N/A",IF(OR(I471="",NOT(ISNUMBER(H471))),"Not checked",IF(OR(I471="Not met",LEN(J471)=0,M471&lt;0),"Red",IF(OR(I471="Partly met",M471&lt;=30),"Amber","Green")))))</f>
        <v/>
      </c>
      <c r="O471" s="27">
        <f>IF(N471="Red",IF(I471="Not met","Not met",IF(LEN(J471)=0,"No evidence location","Re-check overdue")),IF(N471="Amber",IF(I471="Partly met","Partly met","Re-check due ≤30 days"),""))</f>
        <v/>
      </c>
      <c r="P471" s="21" t="n"/>
    </row>
    <row r="472">
      <c r="A472" s="21" t="n"/>
      <c r="B472" s="22" t="n"/>
      <c r="C472" s="23" t="n"/>
      <c r="D472" s="23" t="n"/>
      <c r="E472" s="21" t="n"/>
      <c r="F472" s="21" t="n"/>
      <c r="G472" s="21" t="n"/>
      <c r="H472" s="24" t="n"/>
      <c r="I472" s="21" t="n"/>
      <c r="J472" s="21" t="n"/>
      <c r="K472" s="22" t="n"/>
      <c r="L472" s="25">
        <f>IF(ISNUMBER(H472),EDATE(H472,IF(ISNUMBER(K472),K472,3)),"")</f>
        <v/>
      </c>
      <c r="M472" s="26">
        <f>IF(L472="","",IF(ISNUMBER(L472),L472-TODAY(),"Check date"))</f>
        <v/>
      </c>
      <c r="N472" s="27">
        <f>IF(LEN(C472)=0,"",IF(I472="N/A","N/A",IF(OR(I472="",NOT(ISNUMBER(H472))),"Not checked",IF(OR(I472="Not met",LEN(J472)=0,M472&lt;0),"Red",IF(OR(I472="Partly met",M472&lt;=30),"Amber","Green")))))</f>
        <v/>
      </c>
      <c r="O472" s="27">
        <f>IF(N472="Red",IF(I472="Not met","Not met",IF(LEN(J472)=0,"No evidence location","Re-check overdue")),IF(N472="Amber",IF(I472="Partly met","Partly met","Re-check due ≤30 days"),""))</f>
        <v/>
      </c>
      <c r="P472" s="21" t="n"/>
    </row>
    <row r="473">
      <c r="A473" s="21" t="n"/>
      <c r="B473" s="22" t="n"/>
      <c r="C473" s="23" t="n"/>
      <c r="D473" s="23" t="n"/>
      <c r="E473" s="21" t="n"/>
      <c r="F473" s="21" t="n"/>
      <c r="G473" s="21" t="n"/>
      <c r="H473" s="24" t="n"/>
      <c r="I473" s="21" t="n"/>
      <c r="J473" s="21" t="n"/>
      <c r="K473" s="22" t="n"/>
      <c r="L473" s="25">
        <f>IF(ISNUMBER(H473),EDATE(H473,IF(ISNUMBER(K473),K473,3)),"")</f>
        <v/>
      </c>
      <c r="M473" s="26">
        <f>IF(L473="","",IF(ISNUMBER(L473),L473-TODAY(),"Check date"))</f>
        <v/>
      </c>
      <c r="N473" s="27">
        <f>IF(LEN(C473)=0,"",IF(I473="N/A","N/A",IF(OR(I473="",NOT(ISNUMBER(H473))),"Not checked",IF(OR(I473="Not met",LEN(J473)=0,M473&lt;0),"Red",IF(OR(I473="Partly met",M473&lt;=30),"Amber","Green")))))</f>
        <v/>
      </c>
      <c r="O473" s="27">
        <f>IF(N473="Red",IF(I473="Not met","Not met",IF(LEN(J473)=0,"No evidence location","Re-check overdue")),IF(N473="Amber",IF(I473="Partly met","Partly met","Re-check due ≤30 days"),""))</f>
        <v/>
      </c>
      <c r="P473" s="21" t="n"/>
    </row>
    <row r="474">
      <c r="A474" s="21" t="n"/>
      <c r="B474" s="22" t="n"/>
      <c r="C474" s="23" t="n"/>
      <c r="D474" s="23" t="n"/>
      <c r="E474" s="21" t="n"/>
      <c r="F474" s="21" t="n"/>
      <c r="G474" s="21" t="n"/>
      <c r="H474" s="24" t="n"/>
      <c r="I474" s="21" t="n"/>
      <c r="J474" s="21" t="n"/>
      <c r="K474" s="22" t="n"/>
      <c r="L474" s="25">
        <f>IF(ISNUMBER(H474),EDATE(H474,IF(ISNUMBER(K474),K474,3)),"")</f>
        <v/>
      </c>
      <c r="M474" s="26">
        <f>IF(L474="","",IF(ISNUMBER(L474),L474-TODAY(),"Check date"))</f>
        <v/>
      </c>
      <c r="N474" s="27">
        <f>IF(LEN(C474)=0,"",IF(I474="N/A","N/A",IF(OR(I474="",NOT(ISNUMBER(H474))),"Not checked",IF(OR(I474="Not met",LEN(J474)=0,M474&lt;0),"Red",IF(OR(I474="Partly met",M474&lt;=30),"Amber","Green")))))</f>
        <v/>
      </c>
      <c r="O474" s="27">
        <f>IF(N474="Red",IF(I474="Not met","Not met",IF(LEN(J474)=0,"No evidence location","Re-check overdue")),IF(N474="Amber",IF(I474="Partly met","Partly met","Re-check due ≤30 days"),""))</f>
        <v/>
      </c>
      <c r="P474" s="21" t="n"/>
    </row>
    <row r="475">
      <c r="A475" s="21" t="n"/>
      <c r="B475" s="22" t="n"/>
      <c r="C475" s="23" t="n"/>
      <c r="D475" s="23" t="n"/>
      <c r="E475" s="21" t="n"/>
      <c r="F475" s="21" t="n"/>
      <c r="G475" s="21" t="n"/>
      <c r="H475" s="24" t="n"/>
      <c r="I475" s="21" t="n"/>
      <c r="J475" s="21" t="n"/>
      <c r="K475" s="22" t="n"/>
      <c r="L475" s="25">
        <f>IF(ISNUMBER(H475),EDATE(H475,IF(ISNUMBER(K475),K475,3)),"")</f>
        <v/>
      </c>
      <c r="M475" s="26">
        <f>IF(L475="","",IF(ISNUMBER(L475),L475-TODAY(),"Check date"))</f>
        <v/>
      </c>
      <c r="N475" s="27">
        <f>IF(LEN(C475)=0,"",IF(I475="N/A","N/A",IF(OR(I475="",NOT(ISNUMBER(H475))),"Not checked",IF(OR(I475="Not met",LEN(J475)=0,M475&lt;0),"Red",IF(OR(I475="Partly met",M475&lt;=30),"Amber","Green")))))</f>
        <v/>
      </c>
      <c r="O475" s="27">
        <f>IF(N475="Red",IF(I475="Not met","Not met",IF(LEN(J475)=0,"No evidence location","Re-check overdue")),IF(N475="Amber",IF(I475="Partly met","Partly met","Re-check due ≤30 days"),""))</f>
        <v/>
      </c>
      <c r="P475" s="21" t="n"/>
    </row>
    <row r="476">
      <c r="A476" s="21" t="n"/>
      <c r="B476" s="22" t="n"/>
      <c r="C476" s="23" t="n"/>
      <c r="D476" s="23" t="n"/>
      <c r="E476" s="21" t="n"/>
      <c r="F476" s="21" t="n"/>
      <c r="G476" s="21" t="n"/>
      <c r="H476" s="24" t="n"/>
      <c r="I476" s="21" t="n"/>
      <c r="J476" s="21" t="n"/>
      <c r="K476" s="22" t="n"/>
      <c r="L476" s="25">
        <f>IF(ISNUMBER(H476),EDATE(H476,IF(ISNUMBER(K476),K476,3)),"")</f>
        <v/>
      </c>
      <c r="M476" s="26">
        <f>IF(L476="","",IF(ISNUMBER(L476),L476-TODAY(),"Check date"))</f>
        <v/>
      </c>
      <c r="N476" s="27">
        <f>IF(LEN(C476)=0,"",IF(I476="N/A","N/A",IF(OR(I476="",NOT(ISNUMBER(H476))),"Not checked",IF(OR(I476="Not met",LEN(J476)=0,M476&lt;0),"Red",IF(OR(I476="Partly met",M476&lt;=30),"Amber","Green")))))</f>
        <v/>
      </c>
      <c r="O476" s="27">
        <f>IF(N476="Red",IF(I476="Not met","Not met",IF(LEN(J476)=0,"No evidence location","Re-check overdue")),IF(N476="Amber",IF(I476="Partly met","Partly met","Re-check due ≤30 days"),""))</f>
        <v/>
      </c>
      <c r="P476" s="21" t="n"/>
    </row>
    <row r="477">
      <c r="A477" s="21" t="n"/>
      <c r="B477" s="22" t="n"/>
      <c r="C477" s="23" t="n"/>
      <c r="D477" s="23" t="n"/>
      <c r="E477" s="21" t="n"/>
      <c r="F477" s="21" t="n"/>
      <c r="G477" s="21" t="n"/>
      <c r="H477" s="24" t="n"/>
      <c r="I477" s="21" t="n"/>
      <c r="J477" s="21" t="n"/>
      <c r="K477" s="22" t="n"/>
      <c r="L477" s="25">
        <f>IF(ISNUMBER(H477),EDATE(H477,IF(ISNUMBER(K477),K477,3)),"")</f>
        <v/>
      </c>
      <c r="M477" s="26">
        <f>IF(L477="","",IF(ISNUMBER(L477),L477-TODAY(),"Check date"))</f>
        <v/>
      </c>
      <c r="N477" s="27">
        <f>IF(LEN(C477)=0,"",IF(I477="N/A","N/A",IF(OR(I477="",NOT(ISNUMBER(H477))),"Not checked",IF(OR(I477="Not met",LEN(J477)=0,M477&lt;0),"Red",IF(OR(I477="Partly met",M477&lt;=30),"Amber","Green")))))</f>
        <v/>
      </c>
      <c r="O477" s="27">
        <f>IF(N477="Red",IF(I477="Not met","Not met",IF(LEN(J477)=0,"No evidence location","Re-check overdue")),IF(N477="Amber",IF(I477="Partly met","Partly met","Re-check due ≤30 days"),""))</f>
        <v/>
      </c>
      <c r="P477" s="21" t="n"/>
    </row>
    <row r="478">
      <c r="A478" s="21" t="n"/>
      <c r="B478" s="22" t="n"/>
      <c r="C478" s="23" t="n"/>
      <c r="D478" s="23" t="n"/>
      <c r="E478" s="21" t="n"/>
      <c r="F478" s="21" t="n"/>
      <c r="G478" s="21" t="n"/>
      <c r="H478" s="24" t="n"/>
      <c r="I478" s="21" t="n"/>
      <c r="J478" s="21" t="n"/>
      <c r="K478" s="22" t="n"/>
      <c r="L478" s="25">
        <f>IF(ISNUMBER(H478),EDATE(H478,IF(ISNUMBER(K478),K478,3)),"")</f>
        <v/>
      </c>
      <c r="M478" s="26">
        <f>IF(L478="","",IF(ISNUMBER(L478),L478-TODAY(),"Check date"))</f>
        <v/>
      </c>
      <c r="N478" s="27">
        <f>IF(LEN(C478)=0,"",IF(I478="N/A","N/A",IF(OR(I478="",NOT(ISNUMBER(H478))),"Not checked",IF(OR(I478="Not met",LEN(J478)=0,M478&lt;0),"Red",IF(OR(I478="Partly met",M478&lt;=30),"Amber","Green")))))</f>
        <v/>
      </c>
      <c r="O478" s="27">
        <f>IF(N478="Red",IF(I478="Not met","Not met",IF(LEN(J478)=0,"No evidence location","Re-check overdue")),IF(N478="Amber",IF(I478="Partly met","Partly met","Re-check due ≤30 days"),""))</f>
        <v/>
      </c>
      <c r="P478" s="21" t="n"/>
    </row>
    <row r="479">
      <c r="A479" s="21" t="n"/>
      <c r="B479" s="22" t="n"/>
      <c r="C479" s="23" t="n"/>
      <c r="D479" s="23" t="n"/>
      <c r="E479" s="21" t="n"/>
      <c r="F479" s="21" t="n"/>
      <c r="G479" s="21" t="n"/>
      <c r="H479" s="24" t="n"/>
      <c r="I479" s="21" t="n"/>
      <c r="J479" s="21" t="n"/>
      <c r="K479" s="22" t="n"/>
      <c r="L479" s="25">
        <f>IF(ISNUMBER(H479),EDATE(H479,IF(ISNUMBER(K479),K479,3)),"")</f>
        <v/>
      </c>
      <c r="M479" s="26">
        <f>IF(L479="","",IF(ISNUMBER(L479),L479-TODAY(),"Check date"))</f>
        <v/>
      </c>
      <c r="N479" s="27">
        <f>IF(LEN(C479)=0,"",IF(I479="N/A","N/A",IF(OR(I479="",NOT(ISNUMBER(H479))),"Not checked",IF(OR(I479="Not met",LEN(J479)=0,M479&lt;0),"Red",IF(OR(I479="Partly met",M479&lt;=30),"Amber","Green")))))</f>
        <v/>
      </c>
      <c r="O479" s="27">
        <f>IF(N479="Red",IF(I479="Not met","Not met",IF(LEN(J479)=0,"No evidence location","Re-check overdue")),IF(N479="Amber",IF(I479="Partly met","Partly met","Re-check due ≤30 days"),""))</f>
        <v/>
      </c>
      <c r="P479" s="21" t="n"/>
    </row>
    <row r="480">
      <c r="A480" s="21" t="n"/>
      <c r="B480" s="22" t="n"/>
      <c r="C480" s="23" t="n"/>
      <c r="D480" s="23" t="n"/>
      <c r="E480" s="21" t="n"/>
      <c r="F480" s="21" t="n"/>
      <c r="G480" s="21" t="n"/>
      <c r="H480" s="24" t="n"/>
      <c r="I480" s="21" t="n"/>
      <c r="J480" s="21" t="n"/>
      <c r="K480" s="22" t="n"/>
      <c r="L480" s="25">
        <f>IF(ISNUMBER(H480),EDATE(H480,IF(ISNUMBER(K480),K480,3)),"")</f>
        <v/>
      </c>
      <c r="M480" s="26">
        <f>IF(L480="","",IF(ISNUMBER(L480),L480-TODAY(),"Check date"))</f>
        <v/>
      </c>
      <c r="N480" s="27">
        <f>IF(LEN(C480)=0,"",IF(I480="N/A","N/A",IF(OR(I480="",NOT(ISNUMBER(H480))),"Not checked",IF(OR(I480="Not met",LEN(J480)=0,M480&lt;0),"Red",IF(OR(I480="Partly met",M480&lt;=30),"Amber","Green")))))</f>
        <v/>
      </c>
      <c r="O480" s="27">
        <f>IF(N480="Red",IF(I480="Not met","Not met",IF(LEN(J480)=0,"No evidence location","Re-check overdue")),IF(N480="Amber",IF(I480="Partly met","Partly met","Re-check due ≤30 days"),""))</f>
        <v/>
      </c>
      <c r="P480" s="21" t="n"/>
    </row>
    <row r="481">
      <c r="A481" s="21" t="n"/>
      <c r="B481" s="22" t="n"/>
      <c r="C481" s="23" t="n"/>
      <c r="D481" s="23" t="n"/>
      <c r="E481" s="21" t="n"/>
      <c r="F481" s="21" t="n"/>
      <c r="G481" s="21" t="n"/>
      <c r="H481" s="24" t="n"/>
      <c r="I481" s="21" t="n"/>
      <c r="J481" s="21" t="n"/>
      <c r="K481" s="22" t="n"/>
      <c r="L481" s="25">
        <f>IF(ISNUMBER(H481),EDATE(H481,IF(ISNUMBER(K481),K481,3)),"")</f>
        <v/>
      </c>
      <c r="M481" s="26">
        <f>IF(L481="","",IF(ISNUMBER(L481),L481-TODAY(),"Check date"))</f>
        <v/>
      </c>
      <c r="N481" s="27">
        <f>IF(LEN(C481)=0,"",IF(I481="N/A","N/A",IF(OR(I481="",NOT(ISNUMBER(H481))),"Not checked",IF(OR(I481="Not met",LEN(J481)=0,M481&lt;0),"Red",IF(OR(I481="Partly met",M481&lt;=30),"Amber","Green")))))</f>
        <v/>
      </c>
      <c r="O481" s="27">
        <f>IF(N481="Red",IF(I481="Not met","Not met",IF(LEN(J481)=0,"No evidence location","Re-check overdue")),IF(N481="Amber",IF(I481="Partly met","Partly met","Re-check due ≤30 days"),""))</f>
        <v/>
      </c>
      <c r="P481" s="21" t="n"/>
    </row>
    <row r="482">
      <c r="A482" s="21" t="n"/>
      <c r="B482" s="22" t="n"/>
      <c r="C482" s="23" t="n"/>
      <c r="D482" s="23" t="n"/>
      <c r="E482" s="21" t="n"/>
      <c r="F482" s="21" t="n"/>
      <c r="G482" s="21" t="n"/>
      <c r="H482" s="24" t="n"/>
      <c r="I482" s="21" t="n"/>
      <c r="J482" s="21" t="n"/>
      <c r="K482" s="22" t="n"/>
      <c r="L482" s="25">
        <f>IF(ISNUMBER(H482),EDATE(H482,IF(ISNUMBER(K482),K482,3)),"")</f>
        <v/>
      </c>
      <c r="M482" s="26">
        <f>IF(L482="","",IF(ISNUMBER(L482),L482-TODAY(),"Check date"))</f>
        <v/>
      </c>
      <c r="N482" s="27">
        <f>IF(LEN(C482)=0,"",IF(I482="N/A","N/A",IF(OR(I482="",NOT(ISNUMBER(H482))),"Not checked",IF(OR(I482="Not met",LEN(J482)=0,M482&lt;0),"Red",IF(OR(I482="Partly met",M482&lt;=30),"Amber","Green")))))</f>
        <v/>
      </c>
      <c r="O482" s="27">
        <f>IF(N482="Red",IF(I482="Not met","Not met",IF(LEN(J482)=0,"No evidence location","Re-check overdue")),IF(N482="Amber",IF(I482="Partly met","Partly met","Re-check due ≤30 days"),""))</f>
        <v/>
      </c>
      <c r="P482" s="21" t="n"/>
    </row>
    <row r="483">
      <c r="A483" s="21" t="n"/>
      <c r="B483" s="22" t="n"/>
      <c r="C483" s="23" t="n"/>
      <c r="D483" s="23" t="n"/>
      <c r="E483" s="21" t="n"/>
      <c r="F483" s="21" t="n"/>
      <c r="G483" s="21" t="n"/>
      <c r="H483" s="24" t="n"/>
      <c r="I483" s="21" t="n"/>
      <c r="J483" s="21" t="n"/>
      <c r="K483" s="22" t="n"/>
      <c r="L483" s="25">
        <f>IF(ISNUMBER(H483),EDATE(H483,IF(ISNUMBER(K483),K483,3)),"")</f>
        <v/>
      </c>
      <c r="M483" s="26">
        <f>IF(L483="","",IF(ISNUMBER(L483),L483-TODAY(),"Check date"))</f>
        <v/>
      </c>
      <c r="N483" s="27">
        <f>IF(LEN(C483)=0,"",IF(I483="N/A","N/A",IF(OR(I483="",NOT(ISNUMBER(H483))),"Not checked",IF(OR(I483="Not met",LEN(J483)=0,M483&lt;0),"Red",IF(OR(I483="Partly met",M483&lt;=30),"Amber","Green")))))</f>
        <v/>
      </c>
      <c r="O483" s="27">
        <f>IF(N483="Red",IF(I483="Not met","Not met",IF(LEN(J483)=0,"No evidence location","Re-check overdue")),IF(N483="Amber",IF(I483="Partly met","Partly met","Re-check due ≤30 days"),""))</f>
        <v/>
      </c>
      <c r="P483" s="21" t="n"/>
    </row>
    <row r="484">
      <c r="A484" s="21" t="n"/>
      <c r="B484" s="22" t="n"/>
      <c r="C484" s="23" t="n"/>
      <c r="D484" s="23" t="n"/>
      <c r="E484" s="21" t="n"/>
      <c r="F484" s="21" t="n"/>
      <c r="G484" s="21" t="n"/>
      <c r="H484" s="24" t="n"/>
      <c r="I484" s="21" t="n"/>
      <c r="J484" s="21" t="n"/>
      <c r="K484" s="22" t="n"/>
      <c r="L484" s="25">
        <f>IF(ISNUMBER(H484),EDATE(H484,IF(ISNUMBER(K484),K484,3)),"")</f>
        <v/>
      </c>
      <c r="M484" s="26">
        <f>IF(L484="","",IF(ISNUMBER(L484),L484-TODAY(),"Check date"))</f>
        <v/>
      </c>
      <c r="N484" s="27">
        <f>IF(LEN(C484)=0,"",IF(I484="N/A","N/A",IF(OR(I484="",NOT(ISNUMBER(H484))),"Not checked",IF(OR(I484="Not met",LEN(J484)=0,M484&lt;0),"Red",IF(OR(I484="Partly met",M484&lt;=30),"Amber","Green")))))</f>
        <v/>
      </c>
      <c r="O484" s="27">
        <f>IF(N484="Red",IF(I484="Not met","Not met",IF(LEN(J484)=0,"No evidence location","Re-check overdue")),IF(N484="Amber",IF(I484="Partly met","Partly met","Re-check due ≤30 days"),""))</f>
        <v/>
      </c>
      <c r="P484" s="21" t="n"/>
    </row>
    <row r="485">
      <c r="A485" s="21" t="n"/>
      <c r="B485" s="22" t="n"/>
      <c r="C485" s="23" t="n"/>
      <c r="D485" s="23" t="n"/>
      <c r="E485" s="21" t="n"/>
      <c r="F485" s="21" t="n"/>
      <c r="G485" s="21" t="n"/>
      <c r="H485" s="24" t="n"/>
      <c r="I485" s="21" t="n"/>
      <c r="J485" s="21" t="n"/>
      <c r="K485" s="22" t="n"/>
      <c r="L485" s="25">
        <f>IF(ISNUMBER(H485),EDATE(H485,IF(ISNUMBER(K485),K485,3)),"")</f>
        <v/>
      </c>
      <c r="M485" s="26">
        <f>IF(L485="","",IF(ISNUMBER(L485),L485-TODAY(),"Check date"))</f>
        <v/>
      </c>
      <c r="N485" s="27">
        <f>IF(LEN(C485)=0,"",IF(I485="N/A","N/A",IF(OR(I485="",NOT(ISNUMBER(H485))),"Not checked",IF(OR(I485="Not met",LEN(J485)=0,M485&lt;0),"Red",IF(OR(I485="Partly met",M485&lt;=30),"Amber","Green")))))</f>
        <v/>
      </c>
      <c r="O485" s="27">
        <f>IF(N485="Red",IF(I485="Not met","Not met",IF(LEN(J485)=0,"No evidence location","Re-check overdue")),IF(N485="Amber",IF(I485="Partly met","Partly met","Re-check due ≤30 days"),""))</f>
        <v/>
      </c>
      <c r="P485" s="21" t="n"/>
    </row>
    <row r="486">
      <c r="A486" s="21" t="n"/>
      <c r="B486" s="22" t="n"/>
      <c r="C486" s="23" t="n"/>
      <c r="D486" s="23" t="n"/>
      <c r="E486" s="21" t="n"/>
      <c r="F486" s="21" t="n"/>
      <c r="G486" s="21" t="n"/>
      <c r="H486" s="24" t="n"/>
      <c r="I486" s="21" t="n"/>
      <c r="J486" s="21" t="n"/>
      <c r="K486" s="22" t="n"/>
      <c r="L486" s="25">
        <f>IF(ISNUMBER(H486),EDATE(H486,IF(ISNUMBER(K486),K486,3)),"")</f>
        <v/>
      </c>
      <c r="M486" s="26">
        <f>IF(L486="","",IF(ISNUMBER(L486),L486-TODAY(),"Check date"))</f>
        <v/>
      </c>
      <c r="N486" s="27">
        <f>IF(LEN(C486)=0,"",IF(I486="N/A","N/A",IF(OR(I486="",NOT(ISNUMBER(H486))),"Not checked",IF(OR(I486="Not met",LEN(J486)=0,M486&lt;0),"Red",IF(OR(I486="Partly met",M486&lt;=30),"Amber","Green")))))</f>
        <v/>
      </c>
      <c r="O486" s="27">
        <f>IF(N486="Red",IF(I486="Not met","Not met",IF(LEN(J486)=0,"No evidence location","Re-check overdue")),IF(N486="Amber",IF(I486="Partly met","Partly met","Re-check due ≤30 days"),""))</f>
        <v/>
      </c>
      <c r="P486" s="21" t="n"/>
    </row>
    <row r="487">
      <c r="A487" s="21" t="n"/>
      <c r="B487" s="22" t="n"/>
      <c r="C487" s="23" t="n"/>
      <c r="D487" s="23" t="n"/>
      <c r="E487" s="21" t="n"/>
      <c r="F487" s="21" t="n"/>
      <c r="G487" s="21" t="n"/>
      <c r="H487" s="24" t="n"/>
      <c r="I487" s="21" t="n"/>
      <c r="J487" s="21" t="n"/>
      <c r="K487" s="22" t="n"/>
      <c r="L487" s="25">
        <f>IF(ISNUMBER(H487),EDATE(H487,IF(ISNUMBER(K487),K487,3)),"")</f>
        <v/>
      </c>
      <c r="M487" s="26">
        <f>IF(L487="","",IF(ISNUMBER(L487),L487-TODAY(),"Check date"))</f>
        <v/>
      </c>
      <c r="N487" s="27">
        <f>IF(LEN(C487)=0,"",IF(I487="N/A","N/A",IF(OR(I487="",NOT(ISNUMBER(H487))),"Not checked",IF(OR(I487="Not met",LEN(J487)=0,M487&lt;0),"Red",IF(OR(I487="Partly met",M487&lt;=30),"Amber","Green")))))</f>
        <v/>
      </c>
      <c r="O487" s="27">
        <f>IF(N487="Red",IF(I487="Not met","Not met",IF(LEN(J487)=0,"No evidence location","Re-check overdue")),IF(N487="Amber",IF(I487="Partly met","Partly met","Re-check due ≤30 days"),""))</f>
        <v/>
      </c>
      <c r="P487" s="21" t="n"/>
    </row>
    <row r="488">
      <c r="A488" s="21" t="n"/>
      <c r="B488" s="22" t="n"/>
      <c r="C488" s="23" t="n"/>
      <c r="D488" s="23" t="n"/>
      <c r="E488" s="21" t="n"/>
      <c r="F488" s="21" t="n"/>
      <c r="G488" s="21" t="n"/>
      <c r="H488" s="24" t="n"/>
      <c r="I488" s="21" t="n"/>
      <c r="J488" s="21" t="n"/>
      <c r="K488" s="22" t="n"/>
      <c r="L488" s="25">
        <f>IF(ISNUMBER(H488),EDATE(H488,IF(ISNUMBER(K488),K488,3)),"")</f>
        <v/>
      </c>
      <c r="M488" s="26">
        <f>IF(L488="","",IF(ISNUMBER(L488),L488-TODAY(),"Check date"))</f>
        <v/>
      </c>
      <c r="N488" s="27">
        <f>IF(LEN(C488)=0,"",IF(I488="N/A","N/A",IF(OR(I488="",NOT(ISNUMBER(H488))),"Not checked",IF(OR(I488="Not met",LEN(J488)=0,M488&lt;0),"Red",IF(OR(I488="Partly met",M488&lt;=30),"Amber","Green")))))</f>
        <v/>
      </c>
      <c r="O488" s="27">
        <f>IF(N488="Red",IF(I488="Not met","Not met",IF(LEN(J488)=0,"No evidence location","Re-check overdue")),IF(N488="Amber",IF(I488="Partly met","Partly met","Re-check due ≤30 days"),""))</f>
        <v/>
      </c>
      <c r="P488" s="21" t="n"/>
    </row>
    <row r="489">
      <c r="A489" s="21" t="n"/>
      <c r="B489" s="22" t="n"/>
      <c r="C489" s="23" t="n"/>
      <c r="D489" s="23" t="n"/>
      <c r="E489" s="21" t="n"/>
      <c r="F489" s="21" t="n"/>
      <c r="G489" s="21" t="n"/>
      <c r="H489" s="24" t="n"/>
      <c r="I489" s="21" t="n"/>
      <c r="J489" s="21" t="n"/>
      <c r="K489" s="22" t="n"/>
      <c r="L489" s="25">
        <f>IF(ISNUMBER(H489),EDATE(H489,IF(ISNUMBER(K489),K489,3)),"")</f>
        <v/>
      </c>
      <c r="M489" s="26">
        <f>IF(L489="","",IF(ISNUMBER(L489),L489-TODAY(),"Check date"))</f>
        <v/>
      </c>
      <c r="N489" s="27">
        <f>IF(LEN(C489)=0,"",IF(I489="N/A","N/A",IF(OR(I489="",NOT(ISNUMBER(H489))),"Not checked",IF(OR(I489="Not met",LEN(J489)=0,M489&lt;0),"Red",IF(OR(I489="Partly met",M489&lt;=30),"Amber","Green")))))</f>
        <v/>
      </c>
      <c r="O489" s="27">
        <f>IF(N489="Red",IF(I489="Not met","Not met",IF(LEN(J489)=0,"No evidence location","Re-check overdue")),IF(N489="Amber",IF(I489="Partly met","Partly met","Re-check due ≤30 days"),""))</f>
        <v/>
      </c>
      <c r="P489" s="21" t="n"/>
    </row>
    <row r="490">
      <c r="A490" s="21" t="n"/>
      <c r="B490" s="22" t="n"/>
      <c r="C490" s="23" t="n"/>
      <c r="D490" s="23" t="n"/>
      <c r="E490" s="21" t="n"/>
      <c r="F490" s="21" t="n"/>
      <c r="G490" s="21" t="n"/>
      <c r="H490" s="24" t="n"/>
      <c r="I490" s="21" t="n"/>
      <c r="J490" s="21" t="n"/>
      <c r="K490" s="22" t="n"/>
      <c r="L490" s="25">
        <f>IF(ISNUMBER(H490),EDATE(H490,IF(ISNUMBER(K490),K490,3)),"")</f>
        <v/>
      </c>
      <c r="M490" s="26">
        <f>IF(L490="","",IF(ISNUMBER(L490),L490-TODAY(),"Check date"))</f>
        <v/>
      </c>
      <c r="N490" s="27">
        <f>IF(LEN(C490)=0,"",IF(I490="N/A","N/A",IF(OR(I490="",NOT(ISNUMBER(H490))),"Not checked",IF(OR(I490="Not met",LEN(J490)=0,M490&lt;0),"Red",IF(OR(I490="Partly met",M490&lt;=30),"Amber","Green")))))</f>
        <v/>
      </c>
      <c r="O490" s="27">
        <f>IF(N490="Red",IF(I490="Not met","Not met",IF(LEN(J490)=0,"No evidence location","Re-check overdue")),IF(N490="Amber",IF(I490="Partly met","Partly met","Re-check due ≤30 days"),""))</f>
        <v/>
      </c>
      <c r="P490" s="21" t="n"/>
    </row>
    <row r="491">
      <c r="A491" s="21" t="n"/>
      <c r="B491" s="22" t="n"/>
      <c r="C491" s="23" t="n"/>
      <c r="D491" s="23" t="n"/>
      <c r="E491" s="21" t="n"/>
      <c r="F491" s="21" t="n"/>
      <c r="G491" s="21" t="n"/>
      <c r="H491" s="24" t="n"/>
      <c r="I491" s="21" t="n"/>
      <c r="J491" s="21" t="n"/>
      <c r="K491" s="22" t="n"/>
      <c r="L491" s="25">
        <f>IF(ISNUMBER(H491),EDATE(H491,IF(ISNUMBER(K491),K491,3)),"")</f>
        <v/>
      </c>
      <c r="M491" s="26">
        <f>IF(L491="","",IF(ISNUMBER(L491),L491-TODAY(),"Check date"))</f>
        <v/>
      </c>
      <c r="N491" s="27">
        <f>IF(LEN(C491)=0,"",IF(I491="N/A","N/A",IF(OR(I491="",NOT(ISNUMBER(H491))),"Not checked",IF(OR(I491="Not met",LEN(J491)=0,M491&lt;0),"Red",IF(OR(I491="Partly met",M491&lt;=30),"Amber","Green")))))</f>
        <v/>
      </c>
      <c r="O491" s="27">
        <f>IF(N491="Red",IF(I491="Not met","Not met",IF(LEN(J491)=0,"No evidence location","Re-check overdue")),IF(N491="Amber",IF(I491="Partly met","Partly met","Re-check due ≤30 days"),""))</f>
        <v/>
      </c>
      <c r="P491" s="21" t="n"/>
    </row>
    <row r="492">
      <c r="A492" s="21" t="n"/>
      <c r="B492" s="22" t="n"/>
      <c r="C492" s="23" t="n"/>
      <c r="D492" s="23" t="n"/>
      <c r="E492" s="21" t="n"/>
      <c r="F492" s="21" t="n"/>
      <c r="G492" s="21" t="n"/>
      <c r="H492" s="24" t="n"/>
      <c r="I492" s="21" t="n"/>
      <c r="J492" s="21" t="n"/>
      <c r="K492" s="22" t="n"/>
      <c r="L492" s="25">
        <f>IF(ISNUMBER(H492),EDATE(H492,IF(ISNUMBER(K492),K492,3)),"")</f>
        <v/>
      </c>
      <c r="M492" s="26">
        <f>IF(L492="","",IF(ISNUMBER(L492),L492-TODAY(),"Check date"))</f>
        <v/>
      </c>
      <c r="N492" s="27">
        <f>IF(LEN(C492)=0,"",IF(I492="N/A","N/A",IF(OR(I492="",NOT(ISNUMBER(H492))),"Not checked",IF(OR(I492="Not met",LEN(J492)=0,M492&lt;0),"Red",IF(OR(I492="Partly met",M492&lt;=30),"Amber","Green")))))</f>
        <v/>
      </c>
      <c r="O492" s="27">
        <f>IF(N492="Red",IF(I492="Not met","Not met",IF(LEN(J492)=0,"No evidence location","Re-check overdue")),IF(N492="Amber",IF(I492="Partly met","Partly met","Re-check due ≤30 days"),""))</f>
        <v/>
      </c>
      <c r="P492" s="21" t="n"/>
    </row>
    <row r="493">
      <c r="A493" s="21" t="n"/>
      <c r="B493" s="22" t="n"/>
      <c r="C493" s="23" t="n"/>
      <c r="D493" s="23" t="n"/>
      <c r="E493" s="21" t="n"/>
      <c r="F493" s="21" t="n"/>
      <c r="G493" s="21" t="n"/>
      <c r="H493" s="24" t="n"/>
      <c r="I493" s="21" t="n"/>
      <c r="J493" s="21" t="n"/>
      <c r="K493" s="22" t="n"/>
      <c r="L493" s="25">
        <f>IF(ISNUMBER(H493),EDATE(H493,IF(ISNUMBER(K493),K493,3)),"")</f>
        <v/>
      </c>
      <c r="M493" s="26">
        <f>IF(L493="","",IF(ISNUMBER(L493),L493-TODAY(),"Check date"))</f>
        <v/>
      </c>
      <c r="N493" s="27">
        <f>IF(LEN(C493)=0,"",IF(I493="N/A","N/A",IF(OR(I493="",NOT(ISNUMBER(H493))),"Not checked",IF(OR(I493="Not met",LEN(J493)=0,M493&lt;0),"Red",IF(OR(I493="Partly met",M493&lt;=30),"Amber","Green")))))</f>
        <v/>
      </c>
      <c r="O493" s="27">
        <f>IF(N493="Red",IF(I493="Not met","Not met",IF(LEN(J493)=0,"No evidence location","Re-check overdue")),IF(N493="Amber",IF(I493="Partly met","Partly met","Re-check due ≤30 days"),""))</f>
        <v/>
      </c>
      <c r="P493" s="21" t="n"/>
    </row>
    <row r="494">
      <c r="A494" s="21" t="n"/>
      <c r="B494" s="22" t="n"/>
      <c r="C494" s="23" t="n"/>
      <c r="D494" s="23" t="n"/>
      <c r="E494" s="21" t="n"/>
      <c r="F494" s="21" t="n"/>
      <c r="G494" s="21" t="n"/>
      <c r="H494" s="24" t="n"/>
      <c r="I494" s="21" t="n"/>
      <c r="J494" s="21" t="n"/>
      <c r="K494" s="22" t="n"/>
      <c r="L494" s="25">
        <f>IF(ISNUMBER(H494),EDATE(H494,IF(ISNUMBER(K494),K494,3)),"")</f>
        <v/>
      </c>
      <c r="M494" s="26">
        <f>IF(L494="","",IF(ISNUMBER(L494),L494-TODAY(),"Check date"))</f>
        <v/>
      </c>
      <c r="N494" s="27">
        <f>IF(LEN(C494)=0,"",IF(I494="N/A","N/A",IF(OR(I494="",NOT(ISNUMBER(H494))),"Not checked",IF(OR(I494="Not met",LEN(J494)=0,M494&lt;0),"Red",IF(OR(I494="Partly met",M494&lt;=30),"Amber","Green")))))</f>
        <v/>
      </c>
      <c r="O494" s="27">
        <f>IF(N494="Red",IF(I494="Not met","Not met",IF(LEN(J494)=0,"No evidence location","Re-check overdue")),IF(N494="Amber",IF(I494="Partly met","Partly met","Re-check due ≤30 days"),""))</f>
        <v/>
      </c>
      <c r="P494" s="21" t="n"/>
    </row>
    <row r="495">
      <c r="A495" s="21" t="n"/>
      <c r="B495" s="22" t="n"/>
      <c r="C495" s="23" t="n"/>
      <c r="D495" s="23" t="n"/>
      <c r="E495" s="21" t="n"/>
      <c r="F495" s="21" t="n"/>
      <c r="G495" s="21" t="n"/>
      <c r="H495" s="24" t="n"/>
      <c r="I495" s="21" t="n"/>
      <c r="J495" s="21" t="n"/>
      <c r="K495" s="22" t="n"/>
      <c r="L495" s="25">
        <f>IF(ISNUMBER(H495),EDATE(H495,IF(ISNUMBER(K495),K495,3)),"")</f>
        <v/>
      </c>
      <c r="M495" s="26">
        <f>IF(L495="","",IF(ISNUMBER(L495),L495-TODAY(),"Check date"))</f>
        <v/>
      </c>
      <c r="N495" s="27">
        <f>IF(LEN(C495)=0,"",IF(I495="N/A","N/A",IF(OR(I495="",NOT(ISNUMBER(H495))),"Not checked",IF(OR(I495="Not met",LEN(J495)=0,M495&lt;0),"Red",IF(OR(I495="Partly met",M495&lt;=30),"Amber","Green")))))</f>
        <v/>
      </c>
      <c r="O495" s="27">
        <f>IF(N495="Red",IF(I495="Not met","Not met",IF(LEN(J495)=0,"No evidence location","Re-check overdue")),IF(N495="Amber",IF(I495="Partly met","Partly met","Re-check due ≤30 days"),""))</f>
        <v/>
      </c>
      <c r="P495" s="21" t="n"/>
    </row>
    <row r="496">
      <c r="A496" s="21" t="n"/>
      <c r="B496" s="22" t="n"/>
      <c r="C496" s="23" t="n"/>
      <c r="D496" s="23" t="n"/>
      <c r="E496" s="21" t="n"/>
      <c r="F496" s="21" t="n"/>
      <c r="G496" s="21" t="n"/>
      <c r="H496" s="24" t="n"/>
      <c r="I496" s="21" t="n"/>
      <c r="J496" s="21" t="n"/>
      <c r="K496" s="22" t="n"/>
      <c r="L496" s="25">
        <f>IF(ISNUMBER(H496),EDATE(H496,IF(ISNUMBER(K496),K496,3)),"")</f>
        <v/>
      </c>
      <c r="M496" s="26">
        <f>IF(L496="","",IF(ISNUMBER(L496),L496-TODAY(),"Check date"))</f>
        <v/>
      </c>
      <c r="N496" s="27">
        <f>IF(LEN(C496)=0,"",IF(I496="N/A","N/A",IF(OR(I496="",NOT(ISNUMBER(H496))),"Not checked",IF(OR(I496="Not met",LEN(J496)=0,M496&lt;0),"Red",IF(OR(I496="Partly met",M496&lt;=30),"Amber","Green")))))</f>
        <v/>
      </c>
      <c r="O496" s="27">
        <f>IF(N496="Red",IF(I496="Not met","Not met",IF(LEN(J496)=0,"No evidence location","Re-check overdue")),IF(N496="Amber",IF(I496="Partly met","Partly met","Re-check due ≤30 days"),""))</f>
        <v/>
      </c>
      <c r="P496" s="21" t="n"/>
    </row>
    <row r="497">
      <c r="A497" s="21" t="n"/>
      <c r="B497" s="22" t="n"/>
      <c r="C497" s="23" t="n"/>
      <c r="D497" s="23" t="n"/>
      <c r="E497" s="21" t="n"/>
      <c r="F497" s="21" t="n"/>
      <c r="G497" s="21" t="n"/>
      <c r="H497" s="24" t="n"/>
      <c r="I497" s="21" t="n"/>
      <c r="J497" s="21" t="n"/>
      <c r="K497" s="22" t="n"/>
      <c r="L497" s="25">
        <f>IF(ISNUMBER(H497),EDATE(H497,IF(ISNUMBER(K497),K497,3)),"")</f>
        <v/>
      </c>
      <c r="M497" s="26">
        <f>IF(L497="","",IF(ISNUMBER(L497),L497-TODAY(),"Check date"))</f>
        <v/>
      </c>
      <c r="N497" s="27">
        <f>IF(LEN(C497)=0,"",IF(I497="N/A","N/A",IF(OR(I497="",NOT(ISNUMBER(H497))),"Not checked",IF(OR(I497="Not met",LEN(J497)=0,M497&lt;0),"Red",IF(OR(I497="Partly met",M497&lt;=30),"Amber","Green")))))</f>
        <v/>
      </c>
      <c r="O497" s="27">
        <f>IF(N497="Red",IF(I497="Not met","Not met",IF(LEN(J497)=0,"No evidence location","Re-check overdue")),IF(N497="Amber",IF(I497="Partly met","Partly met","Re-check due ≤30 days"),""))</f>
        <v/>
      </c>
      <c r="P497" s="21" t="n"/>
    </row>
    <row r="498">
      <c r="A498" s="21" t="n"/>
      <c r="B498" s="22" t="n"/>
      <c r="C498" s="23" t="n"/>
      <c r="D498" s="23" t="n"/>
      <c r="E498" s="21" t="n"/>
      <c r="F498" s="21" t="n"/>
      <c r="G498" s="21" t="n"/>
      <c r="H498" s="24" t="n"/>
      <c r="I498" s="21" t="n"/>
      <c r="J498" s="21" t="n"/>
      <c r="K498" s="22" t="n"/>
      <c r="L498" s="25">
        <f>IF(ISNUMBER(H498),EDATE(H498,IF(ISNUMBER(K498),K498,3)),"")</f>
        <v/>
      </c>
      <c r="M498" s="26">
        <f>IF(L498="","",IF(ISNUMBER(L498),L498-TODAY(),"Check date"))</f>
        <v/>
      </c>
      <c r="N498" s="27">
        <f>IF(LEN(C498)=0,"",IF(I498="N/A","N/A",IF(OR(I498="",NOT(ISNUMBER(H498))),"Not checked",IF(OR(I498="Not met",LEN(J498)=0,M498&lt;0),"Red",IF(OR(I498="Partly met",M498&lt;=30),"Amber","Green")))))</f>
        <v/>
      </c>
      <c r="O498" s="27">
        <f>IF(N498="Red",IF(I498="Not met","Not met",IF(LEN(J498)=0,"No evidence location","Re-check overdue")),IF(N498="Amber",IF(I498="Partly met","Partly met","Re-check due ≤30 days"),""))</f>
        <v/>
      </c>
      <c r="P498" s="21" t="n"/>
    </row>
    <row r="499">
      <c r="A499" s="21" t="n"/>
      <c r="B499" s="22" t="n"/>
      <c r="C499" s="23" t="n"/>
      <c r="D499" s="23" t="n"/>
      <c r="E499" s="21" t="n"/>
      <c r="F499" s="21" t="n"/>
      <c r="G499" s="21" t="n"/>
      <c r="H499" s="24" t="n"/>
      <c r="I499" s="21" t="n"/>
      <c r="J499" s="21" t="n"/>
      <c r="K499" s="22" t="n"/>
      <c r="L499" s="25">
        <f>IF(ISNUMBER(H499),EDATE(H499,IF(ISNUMBER(K499),K499,3)),"")</f>
        <v/>
      </c>
      <c r="M499" s="26">
        <f>IF(L499="","",IF(ISNUMBER(L499),L499-TODAY(),"Check date"))</f>
        <v/>
      </c>
      <c r="N499" s="27">
        <f>IF(LEN(C499)=0,"",IF(I499="N/A","N/A",IF(OR(I499="",NOT(ISNUMBER(H499))),"Not checked",IF(OR(I499="Not met",LEN(J499)=0,M499&lt;0),"Red",IF(OR(I499="Partly met",M499&lt;=30),"Amber","Green")))))</f>
        <v/>
      </c>
      <c r="O499" s="27">
        <f>IF(N499="Red",IF(I499="Not met","Not met",IF(LEN(J499)=0,"No evidence location","Re-check overdue")),IF(N499="Amber",IF(I499="Partly met","Partly met","Re-check due ≤30 days"),""))</f>
        <v/>
      </c>
      <c r="P499" s="21" t="n"/>
    </row>
    <row r="500">
      <c r="A500" s="21" t="n"/>
      <c r="B500" s="22" t="n"/>
      <c r="C500" s="23" t="n"/>
      <c r="D500" s="23" t="n"/>
      <c r="E500" s="21" t="n"/>
      <c r="F500" s="21" t="n"/>
      <c r="G500" s="21" t="n"/>
      <c r="H500" s="24" t="n"/>
      <c r="I500" s="21" t="n"/>
      <c r="J500" s="21" t="n"/>
      <c r="K500" s="22" t="n"/>
      <c r="L500" s="25">
        <f>IF(ISNUMBER(H500),EDATE(H500,IF(ISNUMBER(K500),K500,3)),"")</f>
        <v/>
      </c>
      <c r="M500" s="26">
        <f>IF(L500="","",IF(ISNUMBER(L500),L500-TODAY(),"Check date"))</f>
        <v/>
      </c>
      <c r="N500" s="27">
        <f>IF(LEN(C500)=0,"",IF(I500="N/A","N/A",IF(OR(I500="",NOT(ISNUMBER(H500))),"Not checked",IF(OR(I500="Not met",LEN(J500)=0,M500&lt;0),"Red",IF(OR(I500="Partly met",M500&lt;=30),"Amber","Green")))))</f>
        <v/>
      </c>
      <c r="O500" s="27">
        <f>IF(N500="Red",IF(I500="Not met","Not met",IF(LEN(J500)=0,"No evidence location","Re-check overdue")),IF(N500="Amber",IF(I500="Partly met","Partly met","Re-check due ≤30 days"),""))</f>
        <v/>
      </c>
      <c r="P500" s="21" t="n"/>
    </row>
    <row r="501">
      <c r="A501" s="21" t="n"/>
      <c r="B501" s="22" t="n"/>
      <c r="C501" s="23" t="n"/>
      <c r="D501" s="23" t="n"/>
      <c r="E501" s="21" t="n"/>
      <c r="F501" s="21" t="n"/>
      <c r="G501" s="21" t="n"/>
      <c r="H501" s="24" t="n"/>
      <c r="I501" s="21" t="n"/>
      <c r="J501" s="21" t="n"/>
      <c r="K501" s="22" t="n"/>
      <c r="L501" s="25">
        <f>IF(ISNUMBER(H501),EDATE(H501,IF(ISNUMBER(K501),K501,3)),"")</f>
        <v/>
      </c>
      <c r="M501" s="26">
        <f>IF(L501="","",IF(ISNUMBER(L501),L501-TODAY(),"Check date"))</f>
        <v/>
      </c>
      <c r="N501" s="27">
        <f>IF(LEN(C501)=0,"",IF(I501="N/A","N/A",IF(OR(I501="",NOT(ISNUMBER(H501))),"Not checked",IF(OR(I501="Not met",LEN(J501)=0,M501&lt;0),"Red",IF(OR(I501="Partly met",M501&lt;=30),"Amber","Green")))))</f>
        <v/>
      </c>
      <c r="O501" s="27">
        <f>IF(N501="Red",IF(I501="Not met","Not met",IF(LEN(J501)=0,"No evidence location","Re-check overdue")),IF(N501="Amber",IF(I501="Partly met","Partly met","Re-check due ≤30 days"),""))</f>
        <v/>
      </c>
      <c r="P501" s="21" t="n"/>
    </row>
    <row r="502">
      <c r="A502" s="21" t="n"/>
      <c r="B502" s="22" t="n"/>
      <c r="C502" s="23" t="n"/>
      <c r="D502" s="23" t="n"/>
      <c r="E502" s="21" t="n"/>
      <c r="F502" s="21" t="n"/>
      <c r="G502" s="21" t="n"/>
      <c r="H502" s="24" t="n"/>
      <c r="I502" s="21" t="n"/>
      <c r="J502" s="21" t="n"/>
      <c r="K502" s="22" t="n"/>
      <c r="L502" s="25">
        <f>IF(ISNUMBER(H502),EDATE(H502,IF(ISNUMBER(K502),K502,3)),"")</f>
        <v/>
      </c>
      <c r="M502" s="26">
        <f>IF(L502="","",IF(ISNUMBER(L502),L502-TODAY(),"Check date"))</f>
        <v/>
      </c>
      <c r="N502" s="27">
        <f>IF(LEN(C502)=0,"",IF(I502="N/A","N/A",IF(OR(I502="",NOT(ISNUMBER(H502))),"Not checked",IF(OR(I502="Not met",LEN(J502)=0,M502&lt;0),"Red",IF(OR(I502="Partly met",M502&lt;=30),"Amber","Green")))))</f>
        <v/>
      </c>
      <c r="O502" s="27">
        <f>IF(N502="Red",IF(I502="Not met","Not met",IF(LEN(J502)=0,"No evidence location","Re-check overdue")),IF(N502="Amber",IF(I502="Partly met","Partly met","Re-check due ≤30 days"),""))</f>
        <v/>
      </c>
      <c r="P502" s="21" t="n"/>
    </row>
    <row r="503">
      <c r="A503" s="21" t="n"/>
      <c r="B503" s="22" t="n"/>
      <c r="C503" s="23" t="n"/>
      <c r="D503" s="23" t="n"/>
      <c r="E503" s="21" t="n"/>
      <c r="F503" s="21" t="n"/>
      <c r="G503" s="21" t="n"/>
      <c r="H503" s="24" t="n"/>
      <c r="I503" s="21" t="n"/>
      <c r="J503" s="21" t="n"/>
      <c r="K503" s="22" t="n"/>
      <c r="L503" s="25">
        <f>IF(ISNUMBER(H503),EDATE(H503,IF(ISNUMBER(K503),K503,3)),"")</f>
        <v/>
      </c>
      <c r="M503" s="26">
        <f>IF(L503="","",IF(ISNUMBER(L503),L503-TODAY(),"Check date"))</f>
        <v/>
      </c>
      <c r="N503" s="27">
        <f>IF(LEN(C503)=0,"",IF(I503="N/A","N/A",IF(OR(I503="",NOT(ISNUMBER(H503))),"Not checked",IF(OR(I503="Not met",LEN(J503)=0,M503&lt;0),"Red",IF(OR(I503="Partly met",M503&lt;=30),"Amber","Green")))))</f>
        <v/>
      </c>
      <c r="O503" s="27">
        <f>IF(N503="Red",IF(I503="Not met","Not met",IF(LEN(J503)=0,"No evidence location","Re-check overdue")),IF(N503="Amber",IF(I503="Partly met","Partly met","Re-check due ≤30 days"),""))</f>
        <v/>
      </c>
      <c r="P503" s="21" t="n"/>
    </row>
  </sheetData>
  <conditionalFormatting sqref="L4:L503 M4:M503">
    <cfRule type="expression" priority="1" dxfId="0" stopIfTrue="1">
      <formula>AND(ISNUMBER($M4),$M4&lt;0)</formula>
    </cfRule>
    <cfRule type="expression" priority="2" dxfId="1" stopIfTrue="1">
      <formula>AND(ISNUMBER($M4),$M4&lt;=30)</formula>
    </cfRule>
    <cfRule type="expression" priority="3" dxfId="2" stopIfTrue="1">
      <formula>AND(ISNUMBER($M4),$M4&lt;=90)</formula>
    </cfRule>
    <cfRule type="expression" priority="4" dxfId="3" stopIfTrue="1">
      <formula>ISNUMBER($M4)</formula>
    </cfRule>
  </conditionalFormatting>
  <conditionalFormatting sqref="A4:A503 B4:B503 C4:C503 D4:D503 E4:E503 F4:F503 G4:G503 H4:H503 I4:I503 J4:J503 K4:K503 P4:P503">
    <cfRule type="expression" priority="5" dxfId="4">
      <formula>LEFT($A4,9)="Example –"</formula>
    </cfRule>
    <cfRule type="expression" priority="6" dxfId="5">
      <formula>MOD(ROW(),2)=0</formula>
    </cfRule>
  </conditionalFormatting>
  <conditionalFormatting sqref="N4:N503 O4:O503">
    <cfRule type="expression" priority="7" dxfId="0" stopIfTrue="1">
      <formula>$N4="Red"</formula>
    </cfRule>
    <cfRule type="expression" priority="8" dxfId="1" stopIfTrue="1">
      <formula>$N4="Amber"</formula>
    </cfRule>
    <cfRule type="expression" priority="9" dxfId="3" stopIfTrue="1">
      <formula>$N4="Green"</formula>
    </cfRule>
  </conditionalFormatting>
  <conditionalFormatting sqref="N4:N503">
    <cfRule type="expression" priority="10" dxfId="6">
      <formula>OR($N4="Not checked",$N4="N/A")</formula>
    </cfRule>
  </conditionalFormatting>
  <conditionalFormatting sqref="H4:H503 I4:I503 J4:J503 P4:P503">
    <cfRule type="expression" priority="11" dxfId="4">
      <formula>LEFT($J4,9)="Example –"</formula>
    </cfRule>
  </conditionalFormatting>
  <dataValidations count="5">
    <dataValidation sqref="A4:A503" showDropDown="0" showInputMessage="0" showErrorMessage="1" allowBlank="1" errorTitle="Group" error="That is not on the list. Keep it anyway, or add it to the Lists sheet." type="list" errorStyle="warning">
      <formula1>=Lists!$A$2:$A$8</formula1>
    </dataValidation>
    <dataValidation sqref="B4:B503" showDropDown="0" showInputMessage="0" showErrorMessage="1" allowBlank="1" errorTitle="Number expected" error="Type a number (no currency symbol)." type="decimal" errorStyle="warning" operator="greaterThanOrEqual">
      <formula1>0</formula1>
    </dataValidation>
    <dataValidation sqref="H4:H503" showDropDown="0" showInputMessage="0" showErrorMessage="1" allowBlank="1" errorTitle="Date expected" error="Type a real date, e.g. 14 Jun 2027 (or 2027-06-14). Text that only looks like a date will not calculate." type="date" errorStyle="warning" operator="greaterThan">
      <formula1>32874</formula1>
    </dataValidation>
    <dataValidation sqref="I4:I503" showDropDown="0" showInputMessage="0" showErrorMessage="1" allowBlank="1" errorTitle="Finding" error="Pick one of: Met, Partly met, Not met, N/A." type="list" errorStyle="stop">
      <formula1>"Met,Partly met,Not met,N/A"</formula1>
    </dataValidation>
    <dataValidation sqref="K4:K503" showDropDown="0" showInputMessage="0" showErrorMessage="1" allowBlank="1" errorTitle="Number expected" error="Type a number (no currency symbol)." type="decimal" errorStyle="warning" operator="greaterThanOrEqual">
      <formula1>0</formula1>
    </dataValidation>
  </dataValidations>
  <printOptions horizontalCentered="0"/>
  <pageMargins left="0.4" right="0.4" top="0.5" bottom="0.6" header="0.5" footer="0.5"/>
  <pageSetup orientation="landscape" paperSize="1" fitToHeight="0" fitToWidth="1"/>
  <headerFooter>
    <oddHeader/>
    <oddFooter>&amp;C&amp;"Arial"&amp;8 expiryedge.com · page &amp;P of &amp;N</oddFooter>
    <evenHeader/>
    <evenFooter/>
    <firstHeader/>
    <firstFooter/>
  </headerFooter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B1:J44"/>
  <sheetViews>
    <sheetView showGridLines="0" tabSelected="0" workbookViewId="0">
      <selection activeCell="A1" sqref="A1"/>
    </sheetView>
  </sheetViews>
  <sheetFormatPr baseColWidth="8" defaultRowHeight="15"/>
  <cols>
    <col width="3" customWidth="1" min="1" max="1"/>
    <col width="6" customWidth="1" min="2" max="2"/>
    <col width="56" customWidth="1" min="3" max="3"/>
    <col width="13" customWidth="1" min="4" max="4"/>
    <col width="9" customWidth="1" min="5" max="5"/>
    <col width="9" customWidth="1" min="6" max="6"/>
    <col width="9" customWidth="1" min="7" max="7"/>
    <col width="11" customWidth="1" min="8" max="8"/>
    <col width="9" customWidth="1" min="9" max="9"/>
    <col width="10" customWidth="1" min="10" max="10"/>
  </cols>
  <sheetData>
    <row r="1">
      <c r="B1" s="28" t="inlineStr">
        <is>
          <t>Dashboard</t>
        </is>
      </c>
    </row>
    <row r="2">
      <c r="B2" s="3" t="inlineStr">
        <is>
          <t>As of</t>
        </is>
      </c>
      <c r="C2" s="29">
        <f>TODAY()</f>
        <v/>
      </c>
    </row>
    <row r="4">
      <c r="B4" s="30" t="inlineStr">
        <is>
          <t>Red, amber and green by group</t>
        </is>
      </c>
    </row>
    <row r="5" ht="30" customHeight="1">
      <c r="B5" s="31" t="n"/>
      <c r="C5" s="32" t="inlineStr">
        <is>
          <t>Group</t>
        </is>
      </c>
      <c r="D5" s="33" t="inlineStr">
        <is>
          <t>Items</t>
        </is>
      </c>
      <c r="E5" s="33" t="inlineStr">
        <is>
          <t>Red</t>
        </is>
      </c>
      <c r="F5" s="33" t="inlineStr">
        <is>
          <t>Amber</t>
        </is>
      </c>
      <c r="G5" s="33" t="inlineStr">
        <is>
          <t>Green</t>
        </is>
      </c>
      <c r="H5" s="33" t="inlineStr">
        <is>
          <t>Not checked</t>
        </is>
      </c>
      <c r="I5" s="33" t="inlineStr">
        <is>
          <t>N/A</t>
        </is>
      </c>
      <c r="J5" s="33" t="inlineStr">
        <is>
          <t>% green</t>
        </is>
      </c>
    </row>
    <row r="6">
      <c r="C6" s="34" t="inlineStr">
        <is>
          <t>License and postings</t>
        </is>
      </c>
      <c r="D6" s="35">
        <f>COUNTIFS('Checklist'!$A$4:$A$503,$C6,'Checklist'!$C$4:$C$503,"?*")</f>
        <v/>
      </c>
      <c r="E6" s="35">
        <f>COUNTIFS('Checklist'!$A$4:$A$503,$C6,'Checklist'!$N$4:$N$503,"Red")</f>
        <v/>
      </c>
      <c r="F6" s="35">
        <f>COUNTIFS('Checklist'!$A$4:$A$503,$C6,'Checklist'!$N$4:$N$503,"Amber")</f>
        <v/>
      </c>
      <c r="G6" s="35">
        <f>COUNTIFS('Checklist'!$A$4:$A$503,$C6,'Checklist'!$N$4:$N$503,"Green")</f>
        <v/>
      </c>
      <c r="H6" s="35">
        <f>COUNTIFS('Checklist'!$A$4:$A$503,$C6,'Checklist'!$N$4:$N$503,"Not checked")</f>
        <v/>
      </c>
      <c r="I6" s="35">
        <f>COUNTIFS('Checklist'!$A$4:$A$503,$C6,'Checklist'!$N$4:$N$503,"N/A")</f>
        <v/>
      </c>
      <c r="J6" s="36">
        <f>IF(D6-I6&lt;=0,"",G6/(D6-I6))</f>
        <v/>
      </c>
    </row>
    <row r="7">
      <c r="C7" s="34" t="inlineStr">
        <is>
          <t>Staff files</t>
        </is>
      </c>
      <c r="D7" s="35">
        <f>COUNTIFS('Checklist'!$A$4:$A$503,$C7,'Checklist'!$C$4:$C$503,"?*")</f>
        <v/>
      </c>
      <c r="E7" s="35">
        <f>COUNTIFS('Checklist'!$A$4:$A$503,$C7,'Checklist'!$N$4:$N$503,"Red")</f>
        <v/>
      </c>
      <c r="F7" s="35">
        <f>COUNTIFS('Checklist'!$A$4:$A$503,$C7,'Checklist'!$N$4:$N$503,"Amber")</f>
        <v/>
      </c>
      <c r="G7" s="35">
        <f>COUNTIFS('Checklist'!$A$4:$A$503,$C7,'Checklist'!$N$4:$N$503,"Green")</f>
        <v/>
      </c>
      <c r="H7" s="35">
        <f>COUNTIFS('Checklist'!$A$4:$A$503,$C7,'Checklist'!$N$4:$N$503,"Not checked")</f>
        <v/>
      </c>
      <c r="I7" s="35">
        <f>COUNTIFS('Checklist'!$A$4:$A$503,$C7,'Checklist'!$N$4:$N$503,"N/A")</f>
        <v/>
      </c>
      <c r="J7" s="36">
        <f>IF(D7-I7&lt;=0,"",G7/(D7-I7))</f>
        <v/>
      </c>
    </row>
    <row r="8">
      <c r="C8" s="34" t="inlineStr">
        <is>
          <t>Resident files</t>
        </is>
      </c>
      <c r="D8" s="35">
        <f>COUNTIFS('Checklist'!$A$4:$A$503,$C8,'Checklist'!$C$4:$C$503,"?*")</f>
        <v/>
      </c>
      <c r="E8" s="35">
        <f>COUNTIFS('Checklist'!$A$4:$A$503,$C8,'Checklist'!$N$4:$N$503,"Red")</f>
        <v/>
      </c>
      <c r="F8" s="35">
        <f>COUNTIFS('Checklist'!$A$4:$A$503,$C8,'Checklist'!$N$4:$N$503,"Amber")</f>
        <v/>
      </c>
      <c r="G8" s="35">
        <f>COUNTIFS('Checklist'!$A$4:$A$503,$C8,'Checklist'!$N$4:$N$503,"Green")</f>
        <v/>
      </c>
      <c r="H8" s="35">
        <f>COUNTIFS('Checklist'!$A$4:$A$503,$C8,'Checklist'!$N$4:$N$503,"Not checked")</f>
        <v/>
      </c>
      <c r="I8" s="35">
        <f>COUNTIFS('Checklist'!$A$4:$A$503,$C8,'Checklist'!$N$4:$N$503,"N/A")</f>
        <v/>
      </c>
      <c r="J8" s="36">
        <f>IF(D8-I8&lt;=0,"",G8/(D8-I8))</f>
        <v/>
      </c>
    </row>
    <row r="9">
      <c r="C9" s="34" t="inlineStr">
        <is>
          <t>Medication</t>
        </is>
      </c>
      <c r="D9" s="35">
        <f>COUNTIFS('Checklist'!$A$4:$A$503,$C9,'Checklist'!$C$4:$C$503,"?*")</f>
        <v/>
      </c>
      <c r="E9" s="35">
        <f>COUNTIFS('Checklist'!$A$4:$A$503,$C9,'Checklist'!$N$4:$N$503,"Red")</f>
        <v/>
      </c>
      <c r="F9" s="35">
        <f>COUNTIFS('Checklist'!$A$4:$A$503,$C9,'Checklist'!$N$4:$N$503,"Amber")</f>
        <v/>
      </c>
      <c r="G9" s="35">
        <f>COUNTIFS('Checklist'!$A$4:$A$503,$C9,'Checklist'!$N$4:$N$503,"Green")</f>
        <v/>
      </c>
      <c r="H9" s="35">
        <f>COUNTIFS('Checklist'!$A$4:$A$503,$C9,'Checklist'!$N$4:$N$503,"Not checked")</f>
        <v/>
      </c>
      <c r="I9" s="35">
        <f>COUNTIFS('Checklist'!$A$4:$A$503,$C9,'Checklist'!$N$4:$N$503,"N/A")</f>
        <v/>
      </c>
      <c r="J9" s="36">
        <f>IF(D9-I9&lt;=0,"",G9/(D9-I9))</f>
        <v/>
      </c>
    </row>
    <row r="10">
      <c r="C10" s="34" t="inlineStr">
        <is>
          <t>Fire and life safety</t>
        </is>
      </c>
      <c r="D10" s="35">
        <f>COUNTIFS('Checklist'!$A$4:$A$503,$C10,'Checklist'!$C$4:$C$503,"?*")</f>
        <v/>
      </c>
      <c r="E10" s="35">
        <f>COUNTIFS('Checklist'!$A$4:$A$503,$C10,'Checklist'!$N$4:$N$503,"Red")</f>
        <v/>
      </c>
      <c r="F10" s="35">
        <f>COUNTIFS('Checklist'!$A$4:$A$503,$C10,'Checklist'!$N$4:$N$503,"Amber")</f>
        <v/>
      </c>
      <c r="G10" s="35">
        <f>COUNTIFS('Checklist'!$A$4:$A$503,$C10,'Checklist'!$N$4:$N$503,"Green")</f>
        <v/>
      </c>
      <c r="H10" s="35">
        <f>COUNTIFS('Checklist'!$A$4:$A$503,$C10,'Checklist'!$N$4:$N$503,"Not checked")</f>
        <v/>
      </c>
      <c r="I10" s="35">
        <f>COUNTIFS('Checklist'!$A$4:$A$503,$C10,'Checklist'!$N$4:$N$503,"N/A")</f>
        <v/>
      </c>
      <c r="J10" s="36">
        <f>IF(D10-I10&lt;=0,"",G10/(D10-I10))</f>
        <v/>
      </c>
    </row>
    <row r="11">
      <c r="C11" s="34" t="inlineStr">
        <is>
          <t>Environment and food</t>
        </is>
      </c>
      <c r="D11" s="35">
        <f>COUNTIFS('Checklist'!$A$4:$A$503,$C11,'Checklist'!$C$4:$C$503,"?*")</f>
        <v/>
      </c>
      <c r="E11" s="35">
        <f>COUNTIFS('Checklist'!$A$4:$A$503,$C11,'Checklist'!$N$4:$N$503,"Red")</f>
        <v/>
      </c>
      <c r="F11" s="35">
        <f>COUNTIFS('Checklist'!$A$4:$A$503,$C11,'Checklist'!$N$4:$N$503,"Amber")</f>
        <v/>
      </c>
      <c r="G11" s="35">
        <f>COUNTIFS('Checklist'!$A$4:$A$503,$C11,'Checklist'!$N$4:$N$503,"Green")</f>
        <v/>
      </c>
      <c r="H11" s="35">
        <f>COUNTIFS('Checklist'!$A$4:$A$503,$C11,'Checklist'!$N$4:$N$503,"Not checked")</f>
        <v/>
      </c>
      <c r="I11" s="35">
        <f>COUNTIFS('Checklist'!$A$4:$A$503,$C11,'Checklist'!$N$4:$N$503,"N/A")</f>
        <v/>
      </c>
      <c r="J11" s="36">
        <f>IF(D11-I11&lt;=0,"",G11/(D11-I11))</f>
        <v/>
      </c>
    </row>
    <row r="12">
      <c r="C12" s="34" t="inlineStr">
        <is>
          <t>Policies and incidents</t>
        </is>
      </c>
      <c r="D12" s="35">
        <f>COUNTIFS('Checklist'!$A$4:$A$503,$C12,'Checklist'!$C$4:$C$503,"?*")</f>
        <v/>
      </c>
      <c r="E12" s="35">
        <f>COUNTIFS('Checklist'!$A$4:$A$503,$C12,'Checklist'!$N$4:$N$503,"Red")</f>
        <v/>
      </c>
      <c r="F12" s="35">
        <f>COUNTIFS('Checklist'!$A$4:$A$503,$C12,'Checklist'!$N$4:$N$503,"Amber")</f>
        <v/>
      </c>
      <c r="G12" s="35">
        <f>COUNTIFS('Checklist'!$A$4:$A$503,$C12,'Checklist'!$N$4:$N$503,"Green")</f>
        <v/>
      </c>
      <c r="H12" s="35">
        <f>COUNTIFS('Checklist'!$A$4:$A$503,$C12,'Checklist'!$N$4:$N$503,"Not checked")</f>
        <v/>
      </c>
      <c r="I12" s="35">
        <f>COUNTIFS('Checklist'!$A$4:$A$503,$C12,'Checklist'!$N$4:$N$503,"N/A")</f>
        <v/>
      </c>
      <c r="J12" s="36">
        <f>IF(D12-I12&lt;=0,"",G12/(D12-I12))</f>
        <v/>
      </c>
    </row>
    <row r="13">
      <c r="C13" s="34" t="inlineStr">
        <is>
          <t>All groups</t>
        </is>
      </c>
      <c r="D13" s="37">
        <f>SUM(D6:D12)</f>
        <v/>
      </c>
      <c r="E13" s="37">
        <f>SUM(E6:E12)</f>
        <v/>
      </c>
      <c r="F13" s="37">
        <f>SUM(F6:F12)</f>
        <v/>
      </c>
      <c r="G13" s="37">
        <f>SUM(G6:G12)</f>
        <v/>
      </c>
      <c r="H13" s="37">
        <f>SUM(H6:H12)</f>
        <v/>
      </c>
      <c r="I13" s="37">
        <f>SUM(I6:I12)</f>
        <v/>
      </c>
      <c r="J13" s="38">
        <f>IF(D13-I13&lt;=0,"",G13/(D13-I13))</f>
        <v/>
      </c>
    </row>
    <row r="14">
      <c r="C14" s="3" t="inlineStr">
        <is>
          <t>% green = green items out of items that apply (N/A excluded). Not checked counts against you.</t>
        </is>
      </c>
    </row>
    <row r="16">
      <c r="B16" s="30" t="inlineStr">
        <is>
          <t>Red items to fix first</t>
        </is>
      </c>
    </row>
    <row r="17">
      <c r="B17" s="13" t="inlineStr">
        <is>
          <t>#</t>
        </is>
      </c>
      <c r="C17" s="13" t="inlineStr">
        <is>
          <t>Item</t>
        </is>
      </c>
      <c r="D17" s="13" t="inlineStr">
        <is>
          <t>Group</t>
        </is>
      </c>
      <c r="E17" s="13" t="n"/>
      <c r="F17" s="13" t="n"/>
      <c r="G17" s="13" t="n"/>
      <c r="H17" s="13" t="inlineStr">
        <is>
          <t>Why</t>
        </is>
      </c>
      <c r="I17" s="13" t="n"/>
      <c r="J17" s="13" t="inlineStr">
        <is>
          <t>Owner</t>
        </is>
      </c>
    </row>
    <row r="18">
      <c r="B18" s="39" t="n">
        <v>1</v>
      </c>
      <c r="C18" s="40">
        <f>IF(IFERROR(MATCH(1,_calc!$G$4:$G$503,0),0)=0,"",INDEX('Checklist'!$C$4:$C$503,IFERROR(MATCH(1,_calc!$G$4:$G$503,0),0)))</f>
        <v/>
      </c>
      <c r="D18" s="40">
        <f>IF(IFERROR(MATCH(1,_calc!$G$4:$G$503,0),0)=0,"",INDEX('Checklist'!$A$4:$A$503,IFERROR(MATCH(1,_calc!$G$4:$G$503,0),0)))</f>
        <v/>
      </c>
      <c r="E18" s="41" t="n"/>
      <c r="F18" s="41" t="n"/>
      <c r="G18" s="41" t="n"/>
      <c r="H18" s="40">
        <f>IF(IFERROR(MATCH(1,_calc!$G$4:$G$503,0),0)=0,"",INDEX('Checklist'!$O$4:$O$503,IFERROR(MATCH(1,_calc!$G$4:$G$503,0),0)))</f>
        <v/>
      </c>
      <c r="I18" s="41" t="n"/>
      <c r="J18" s="40">
        <f>IF(IFERROR(MATCH(1,_calc!$G$4:$G$503,0),0)=0,"",INDEX('Checklist'!$E$4:$E$503,IFERROR(MATCH(1,_calc!$G$4:$G$503,0),0)))</f>
        <v/>
      </c>
    </row>
    <row r="19">
      <c r="B19" s="39" t="n">
        <v>2</v>
      </c>
      <c r="C19" s="40">
        <f>IF(IFERROR(MATCH(2,_calc!$G$4:$G$503,0),0)=0,"",INDEX('Checklist'!$C$4:$C$503,IFERROR(MATCH(2,_calc!$G$4:$G$503,0),0)))</f>
        <v/>
      </c>
      <c r="D19" s="40">
        <f>IF(IFERROR(MATCH(2,_calc!$G$4:$G$503,0),0)=0,"",INDEX('Checklist'!$A$4:$A$503,IFERROR(MATCH(2,_calc!$G$4:$G$503,0),0)))</f>
        <v/>
      </c>
      <c r="E19" s="41" t="n"/>
      <c r="F19" s="41" t="n"/>
      <c r="G19" s="41" t="n"/>
      <c r="H19" s="40">
        <f>IF(IFERROR(MATCH(2,_calc!$G$4:$G$503,0),0)=0,"",INDEX('Checklist'!$O$4:$O$503,IFERROR(MATCH(2,_calc!$G$4:$G$503,0),0)))</f>
        <v/>
      </c>
      <c r="I19" s="41" t="n"/>
      <c r="J19" s="40">
        <f>IF(IFERROR(MATCH(2,_calc!$G$4:$G$503,0),0)=0,"",INDEX('Checklist'!$E$4:$E$503,IFERROR(MATCH(2,_calc!$G$4:$G$503,0),0)))</f>
        <v/>
      </c>
    </row>
    <row r="20">
      <c r="B20" s="39" t="n">
        <v>3</v>
      </c>
      <c r="C20" s="40">
        <f>IF(IFERROR(MATCH(3,_calc!$G$4:$G$503,0),0)=0,"",INDEX('Checklist'!$C$4:$C$503,IFERROR(MATCH(3,_calc!$G$4:$G$503,0),0)))</f>
        <v/>
      </c>
      <c r="D20" s="40">
        <f>IF(IFERROR(MATCH(3,_calc!$G$4:$G$503,0),0)=0,"",INDEX('Checklist'!$A$4:$A$503,IFERROR(MATCH(3,_calc!$G$4:$G$503,0),0)))</f>
        <v/>
      </c>
      <c r="E20" s="41" t="n"/>
      <c r="F20" s="41" t="n"/>
      <c r="G20" s="41" t="n"/>
      <c r="H20" s="40">
        <f>IF(IFERROR(MATCH(3,_calc!$G$4:$G$503,0),0)=0,"",INDEX('Checklist'!$O$4:$O$503,IFERROR(MATCH(3,_calc!$G$4:$G$503,0),0)))</f>
        <v/>
      </c>
      <c r="I20" s="41" t="n"/>
      <c r="J20" s="40">
        <f>IF(IFERROR(MATCH(3,_calc!$G$4:$G$503,0),0)=0,"",INDEX('Checklist'!$E$4:$E$503,IFERROR(MATCH(3,_calc!$G$4:$G$503,0),0)))</f>
        <v/>
      </c>
    </row>
    <row r="21">
      <c r="B21" s="39" t="n">
        <v>4</v>
      </c>
      <c r="C21" s="40">
        <f>IF(IFERROR(MATCH(4,_calc!$G$4:$G$503,0),0)=0,"",INDEX('Checklist'!$C$4:$C$503,IFERROR(MATCH(4,_calc!$G$4:$G$503,0),0)))</f>
        <v/>
      </c>
      <c r="D21" s="40">
        <f>IF(IFERROR(MATCH(4,_calc!$G$4:$G$503,0),0)=0,"",INDEX('Checklist'!$A$4:$A$503,IFERROR(MATCH(4,_calc!$G$4:$G$503,0),0)))</f>
        <v/>
      </c>
      <c r="E21" s="41" t="n"/>
      <c r="F21" s="41" t="n"/>
      <c r="G21" s="41" t="n"/>
      <c r="H21" s="40">
        <f>IF(IFERROR(MATCH(4,_calc!$G$4:$G$503,0),0)=0,"",INDEX('Checklist'!$O$4:$O$503,IFERROR(MATCH(4,_calc!$G$4:$G$503,0),0)))</f>
        <v/>
      </c>
      <c r="I21" s="41" t="n"/>
      <c r="J21" s="40">
        <f>IF(IFERROR(MATCH(4,_calc!$G$4:$G$503,0),0)=0,"",INDEX('Checklist'!$E$4:$E$503,IFERROR(MATCH(4,_calc!$G$4:$G$503,0),0)))</f>
        <v/>
      </c>
    </row>
    <row r="22">
      <c r="B22" s="39" t="n">
        <v>5</v>
      </c>
      <c r="C22" s="40">
        <f>IF(IFERROR(MATCH(5,_calc!$G$4:$G$503,0),0)=0,"",INDEX('Checklist'!$C$4:$C$503,IFERROR(MATCH(5,_calc!$G$4:$G$503,0),0)))</f>
        <v/>
      </c>
      <c r="D22" s="40">
        <f>IF(IFERROR(MATCH(5,_calc!$G$4:$G$503,0),0)=0,"",INDEX('Checklist'!$A$4:$A$503,IFERROR(MATCH(5,_calc!$G$4:$G$503,0),0)))</f>
        <v/>
      </c>
      <c r="E22" s="41" t="n"/>
      <c r="F22" s="41" t="n"/>
      <c r="G22" s="41" t="n"/>
      <c r="H22" s="40">
        <f>IF(IFERROR(MATCH(5,_calc!$G$4:$G$503,0),0)=0,"",INDEX('Checklist'!$O$4:$O$503,IFERROR(MATCH(5,_calc!$G$4:$G$503,0),0)))</f>
        <v/>
      </c>
      <c r="I22" s="41" t="n"/>
      <c r="J22" s="40">
        <f>IF(IFERROR(MATCH(5,_calc!$G$4:$G$503,0),0)=0,"",INDEX('Checklist'!$E$4:$E$503,IFERROR(MATCH(5,_calc!$G$4:$G$503,0),0)))</f>
        <v/>
      </c>
    </row>
    <row r="23">
      <c r="B23" s="39" t="n">
        <v>6</v>
      </c>
      <c r="C23" s="40">
        <f>IF(IFERROR(MATCH(6,_calc!$G$4:$G$503,0),0)=0,"",INDEX('Checklist'!$C$4:$C$503,IFERROR(MATCH(6,_calc!$G$4:$G$503,0),0)))</f>
        <v/>
      </c>
      <c r="D23" s="40">
        <f>IF(IFERROR(MATCH(6,_calc!$G$4:$G$503,0),0)=0,"",INDEX('Checklist'!$A$4:$A$503,IFERROR(MATCH(6,_calc!$G$4:$G$503,0),0)))</f>
        <v/>
      </c>
      <c r="E23" s="41" t="n"/>
      <c r="F23" s="41" t="n"/>
      <c r="G23" s="41" t="n"/>
      <c r="H23" s="40">
        <f>IF(IFERROR(MATCH(6,_calc!$G$4:$G$503,0),0)=0,"",INDEX('Checklist'!$O$4:$O$503,IFERROR(MATCH(6,_calc!$G$4:$G$503,0),0)))</f>
        <v/>
      </c>
      <c r="I23" s="41" t="n"/>
      <c r="J23" s="40">
        <f>IF(IFERROR(MATCH(6,_calc!$G$4:$G$503,0),0)=0,"",INDEX('Checklist'!$E$4:$E$503,IFERROR(MATCH(6,_calc!$G$4:$G$503,0),0)))</f>
        <v/>
      </c>
    </row>
    <row r="24">
      <c r="B24" s="39" t="n">
        <v>7</v>
      </c>
      <c r="C24" s="40">
        <f>IF(IFERROR(MATCH(7,_calc!$G$4:$G$503,0),0)=0,"",INDEX('Checklist'!$C$4:$C$503,IFERROR(MATCH(7,_calc!$G$4:$G$503,0),0)))</f>
        <v/>
      </c>
      <c r="D24" s="40">
        <f>IF(IFERROR(MATCH(7,_calc!$G$4:$G$503,0),0)=0,"",INDEX('Checklist'!$A$4:$A$503,IFERROR(MATCH(7,_calc!$G$4:$G$503,0),0)))</f>
        <v/>
      </c>
      <c r="E24" s="41" t="n"/>
      <c r="F24" s="41" t="n"/>
      <c r="G24" s="41" t="n"/>
      <c r="H24" s="40">
        <f>IF(IFERROR(MATCH(7,_calc!$G$4:$G$503,0),0)=0,"",INDEX('Checklist'!$O$4:$O$503,IFERROR(MATCH(7,_calc!$G$4:$G$503,0),0)))</f>
        <v/>
      </c>
      <c r="I24" s="41" t="n"/>
      <c r="J24" s="40">
        <f>IF(IFERROR(MATCH(7,_calc!$G$4:$G$503,0),0)=0,"",INDEX('Checklist'!$E$4:$E$503,IFERROR(MATCH(7,_calc!$G$4:$G$503,0),0)))</f>
        <v/>
      </c>
    </row>
    <row r="25">
      <c r="B25" s="39" t="n">
        <v>8</v>
      </c>
      <c r="C25" s="40">
        <f>IF(IFERROR(MATCH(8,_calc!$G$4:$G$503,0),0)=0,"",INDEX('Checklist'!$C$4:$C$503,IFERROR(MATCH(8,_calc!$G$4:$G$503,0),0)))</f>
        <v/>
      </c>
      <c r="D25" s="40">
        <f>IF(IFERROR(MATCH(8,_calc!$G$4:$G$503,0),0)=0,"",INDEX('Checklist'!$A$4:$A$503,IFERROR(MATCH(8,_calc!$G$4:$G$503,0),0)))</f>
        <v/>
      </c>
      <c r="E25" s="41" t="n"/>
      <c r="F25" s="41" t="n"/>
      <c r="G25" s="41" t="n"/>
      <c r="H25" s="40">
        <f>IF(IFERROR(MATCH(8,_calc!$G$4:$G$503,0),0)=0,"",INDEX('Checklist'!$O$4:$O$503,IFERROR(MATCH(8,_calc!$G$4:$G$503,0),0)))</f>
        <v/>
      </c>
      <c r="I25" s="41" t="n"/>
      <c r="J25" s="40">
        <f>IF(IFERROR(MATCH(8,_calc!$G$4:$G$503,0),0)=0,"",INDEX('Checklist'!$E$4:$E$503,IFERROR(MATCH(8,_calc!$G$4:$G$503,0),0)))</f>
        <v/>
      </c>
    </row>
    <row r="26">
      <c r="B26" s="39" t="n">
        <v>9</v>
      </c>
      <c r="C26" s="40">
        <f>IF(IFERROR(MATCH(9,_calc!$G$4:$G$503,0),0)=0,"",INDEX('Checklist'!$C$4:$C$503,IFERROR(MATCH(9,_calc!$G$4:$G$503,0),0)))</f>
        <v/>
      </c>
      <c r="D26" s="40">
        <f>IF(IFERROR(MATCH(9,_calc!$G$4:$G$503,0),0)=0,"",INDEX('Checklist'!$A$4:$A$503,IFERROR(MATCH(9,_calc!$G$4:$G$503,0),0)))</f>
        <v/>
      </c>
      <c r="E26" s="41" t="n"/>
      <c r="F26" s="41" t="n"/>
      <c r="G26" s="41" t="n"/>
      <c r="H26" s="40">
        <f>IF(IFERROR(MATCH(9,_calc!$G$4:$G$503,0),0)=0,"",INDEX('Checklist'!$O$4:$O$503,IFERROR(MATCH(9,_calc!$G$4:$G$503,0),0)))</f>
        <v/>
      </c>
      <c r="I26" s="41" t="n"/>
      <c r="J26" s="40">
        <f>IF(IFERROR(MATCH(9,_calc!$G$4:$G$503,0),0)=0,"",INDEX('Checklist'!$E$4:$E$503,IFERROR(MATCH(9,_calc!$G$4:$G$503,0),0)))</f>
        <v/>
      </c>
    </row>
    <row r="27">
      <c r="B27" s="39" t="n">
        <v>10</v>
      </c>
      <c r="C27" s="40">
        <f>IF(IFERROR(MATCH(10,_calc!$G$4:$G$503,0),0)=0,"",INDEX('Checklist'!$C$4:$C$503,IFERROR(MATCH(10,_calc!$G$4:$G$503,0),0)))</f>
        <v/>
      </c>
      <c r="D27" s="40">
        <f>IF(IFERROR(MATCH(10,_calc!$G$4:$G$503,0),0)=0,"",INDEX('Checklist'!$A$4:$A$503,IFERROR(MATCH(10,_calc!$G$4:$G$503,0),0)))</f>
        <v/>
      </c>
      <c r="E27" s="41" t="n"/>
      <c r="F27" s="41" t="n"/>
      <c r="G27" s="41" t="n"/>
      <c r="H27" s="40">
        <f>IF(IFERROR(MATCH(10,_calc!$G$4:$G$503,0),0)=0,"",INDEX('Checklist'!$O$4:$O$503,IFERROR(MATCH(10,_calc!$G$4:$G$503,0),0)))</f>
        <v/>
      </c>
      <c r="I27" s="41" t="n"/>
      <c r="J27" s="40">
        <f>IF(IFERROR(MATCH(10,_calc!$G$4:$G$503,0),0)=0,"",INDEX('Checklist'!$E$4:$E$503,IFERROR(MATCH(10,_calc!$G$4:$G$503,0),0)))</f>
        <v/>
      </c>
    </row>
    <row r="28">
      <c r="C28" s="3" t="inlineStr">
        <is>
          <t>In checklist order. Fix these before anything amber.</t>
        </is>
      </c>
    </row>
    <row r="30">
      <c r="B30" s="30" t="inlineStr">
        <is>
          <t>Next 10 re-checks due</t>
        </is>
      </c>
    </row>
    <row r="31">
      <c r="B31" s="13" t="inlineStr">
        <is>
          <t>#</t>
        </is>
      </c>
      <c r="C31" s="13" t="inlineStr">
        <is>
          <t>Item</t>
        </is>
      </c>
      <c r="D31" s="13" t="inlineStr">
        <is>
          <t>Next check</t>
        </is>
      </c>
      <c r="E31" s="13" t="inlineStr">
        <is>
          <t>Days</t>
        </is>
      </c>
      <c r="F31" s="13" t="inlineStr">
        <is>
          <t>RAG</t>
        </is>
      </c>
      <c r="G31" s="13" t="n"/>
      <c r="H31" s="13" t="inlineStr">
        <is>
          <t>Owner</t>
        </is>
      </c>
      <c r="I31" s="13" t="n"/>
      <c r="J31" s="13" t="n"/>
    </row>
    <row r="32">
      <c r="B32" s="39" t="n">
        <v>1</v>
      </c>
      <c r="C32" s="40">
        <f>IF(_calc!$D$4="","",INDEX('Checklist'!$C$4:$C$503,_calc!$D$4))</f>
        <v/>
      </c>
      <c r="D32" s="42">
        <f>IF(_calc!$C$4="","",INT(_calc!$C$4))</f>
        <v/>
      </c>
      <c r="E32" s="43">
        <f>IF(_calc!$C$4="","",INT(_calc!$C$4)-TODAY())</f>
        <v/>
      </c>
      <c r="F32" s="34">
        <f>IF(_calc!$D$4="","",INDEX('Checklist'!$N$4:$N$503,_calc!$D$4))</f>
        <v/>
      </c>
      <c r="G32" s="41" t="n"/>
      <c r="H32" s="40">
        <f>IF(_calc!$D$4="","",INDEX('Checklist'!$E$4:$E$503,_calc!$D$4))</f>
        <v/>
      </c>
      <c r="I32" s="41" t="n"/>
      <c r="J32" s="41" t="n"/>
    </row>
    <row r="33">
      <c r="B33" s="39" t="n">
        <v>2</v>
      </c>
      <c r="C33" s="40">
        <f>IF(_calc!$D$5="","",INDEX('Checklist'!$C$4:$C$503,_calc!$D$5))</f>
        <v/>
      </c>
      <c r="D33" s="42">
        <f>IF(_calc!$C$5="","",INT(_calc!$C$5))</f>
        <v/>
      </c>
      <c r="E33" s="43">
        <f>IF(_calc!$C$5="","",INT(_calc!$C$5)-TODAY())</f>
        <v/>
      </c>
      <c r="F33" s="34">
        <f>IF(_calc!$D$5="","",INDEX('Checklist'!$N$4:$N$503,_calc!$D$5))</f>
        <v/>
      </c>
      <c r="G33" s="41" t="n"/>
      <c r="H33" s="40">
        <f>IF(_calc!$D$5="","",INDEX('Checklist'!$E$4:$E$503,_calc!$D$5))</f>
        <v/>
      </c>
      <c r="I33" s="41" t="n"/>
      <c r="J33" s="41" t="n"/>
    </row>
    <row r="34">
      <c r="B34" s="39" t="n">
        <v>3</v>
      </c>
      <c r="C34" s="40">
        <f>IF(_calc!$D$6="","",INDEX('Checklist'!$C$4:$C$503,_calc!$D$6))</f>
        <v/>
      </c>
      <c r="D34" s="42">
        <f>IF(_calc!$C$6="","",INT(_calc!$C$6))</f>
        <v/>
      </c>
      <c r="E34" s="43">
        <f>IF(_calc!$C$6="","",INT(_calc!$C$6)-TODAY())</f>
        <v/>
      </c>
      <c r="F34" s="34">
        <f>IF(_calc!$D$6="","",INDEX('Checklist'!$N$4:$N$503,_calc!$D$6))</f>
        <v/>
      </c>
      <c r="G34" s="41" t="n"/>
      <c r="H34" s="40">
        <f>IF(_calc!$D$6="","",INDEX('Checklist'!$E$4:$E$503,_calc!$D$6))</f>
        <v/>
      </c>
      <c r="I34" s="41" t="n"/>
      <c r="J34" s="41" t="n"/>
    </row>
    <row r="35">
      <c r="B35" s="39" t="n">
        <v>4</v>
      </c>
      <c r="C35" s="40">
        <f>IF(_calc!$D$7="","",INDEX('Checklist'!$C$4:$C$503,_calc!$D$7))</f>
        <v/>
      </c>
      <c r="D35" s="42">
        <f>IF(_calc!$C$7="","",INT(_calc!$C$7))</f>
        <v/>
      </c>
      <c r="E35" s="43">
        <f>IF(_calc!$C$7="","",INT(_calc!$C$7)-TODAY())</f>
        <v/>
      </c>
      <c r="F35" s="34">
        <f>IF(_calc!$D$7="","",INDEX('Checklist'!$N$4:$N$503,_calc!$D$7))</f>
        <v/>
      </c>
      <c r="G35" s="41" t="n"/>
      <c r="H35" s="40">
        <f>IF(_calc!$D$7="","",INDEX('Checklist'!$E$4:$E$503,_calc!$D$7))</f>
        <v/>
      </c>
      <c r="I35" s="41" t="n"/>
      <c r="J35" s="41" t="n"/>
    </row>
    <row r="36">
      <c r="B36" s="39" t="n">
        <v>5</v>
      </c>
      <c r="C36" s="40">
        <f>IF(_calc!$D$8="","",INDEX('Checklist'!$C$4:$C$503,_calc!$D$8))</f>
        <v/>
      </c>
      <c r="D36" s="42">
        <f>IF(_calc!$C$8="","",INT(_calc!$C$8))</f>
        <v/>
      </c>
      <c r="E36" s="43">
        <f>IF(_calc!$C$8="","",INT(_calc!$C$8)-TODAY())</f>
        <v/>
      </c>
      <c r="F36" s="34">
        <f>IF(_calc!$D$8="","",INDEX('Checklist'!$N$4:$N$503,_calc!$D$8))</f>
        <v/>
      </c>
      <c r="G36" s="41" t="n"/>
      <c r="H36" s="40">
        <f>IF(_calc!$D$8="","",INDEX('Checklist'!$E$4:$E$503,_calc!$D$8))</f>
        <v/>
      </c>
      <c r="I36" s="41" t="n"/>
      <c r="J36" s="41" t="n"/>
    </row>
    <row r="37">
      <c r="B37" s="39" t="n">
        <v>6</v>
      </c>
      <c r="C37" s="40">
        <f>IF(_calc!$D$9="","",INDEX('Checklist'!$C$4:$C$503,_calc!$D$9))</f>
        <v/>
      </c>
      <c r="D37" s="42">
        <f>IF(_calc!$C$9="","",INT(_calc!$C$9))</f>
        <v/>
      </c>
      <c r="E37" s="43">
        <f>IF(_calc!$C$9="","",INT(_calc!$C$9)-TODAY())</f>
        <v/>
      </c>
      <c r="F37" s="34">
        <f>IF(_calc!$D$9="","",INDEX('Checklist'!$N$4:$N$503,_calc!$D$9))</f>
        <v/>
      </c>
      <c r="G37" s="41" t="n"/>
      <c r="H37" s="40">
        <f>IF(_calc!$D$9="","",INDEX('Checklist'!$E$4:$E$503,_calc!$D$9))</f>
        <v/>
      </c>
      <c r="I37" s="41" t="n"/>
      <c r="J37" s="41" t="n"/>
    </row>
    <row r="38">
      <c r="B38" s="39" t="n">
        <v>7</v>
      </c>
      <c r="C38" s="40">
        <f>IF(_calc!$D$10="","",INDEX('Checklist'!$C$4:$C$503,_calc!$D$10))</f>
        <v/>
      </c>
      <c r="D38" s="42">
        <f>IF(_calc!$C$10="","",INT(_calc!$C$10))</f>
        <v/>
      </c>
      <c r="E38" s="43">
        <f>IF(_calc!$C$10="","",INT(_calc!$C$10)-TODAY())</f>
        <v/>
      </c>
      <c r="F38" s="34">
        <f>IF(_calc!$D$10="","",INDEX('Checklist'!$N$4:$N$503,_calc!$D$10))</f>
        <v/>
      </c>
      <c r="G38" s="41" t="n"/>
      <c r="H38" s="40">
        <f>IF(_calc!$D$10="","",INDEX('Checklist'!$E$4:$E$503,_calc!$D$10))</f>
        <v/>
      </c>
      <c r="I38" s="41" t="n"/>
      <c r="J38" s="41" t="n"/>
    </row>
    <row r="39">
      <c r="B39" s="39" t="n">
        <v>8</v>
      </c>
      <c r="C39" s="40">
        <f>IF(_calc!$D$11="","",INDEX('Checklist'!$C$4:$C$503,_calc!$D$11))</f>
        <v/>
      </c>
      <c r="D39" s="42">
        <f>IF(_calc!$C$11="","",INT(_calc!$C$11))</f>
        <v/>
      </c>
      <c r="E39" s="43">
        <f>IF(_calc!$C$11="","",INT(_calc!$C$11)-TODAY())</f>
        <v/>
      </c>
      <c r="F39" s="34">
        <f>IF(_calc!$D$11="","",INDEX('Checklist'!$N$4:$N$503,_calc!$D$11))</f>
        <v/>
      </c>
      <c r="G39" s="41" t="n"/>
      <c r="H39" s="40">
        <f>IF(_calc!$D$11="","",INDEX('Checklist'!$E$4:$E$503,_calc!$D$11))</f>
        <v/>
      </c>
      <c r="I39" s="41" t="n"/>
      <c r="J39" s="41" t="n"/>
    </row>
    <row r="40">
      <c r="B40" s="39" t="n">
        <v>9</v>
      </c>
      <c r="C40" s="40">
        <f>IF(_calc!$D$12="","",INDEX('Checklist'!$C$4:$C$503,_calc!$D$12))</f>
        <v/>
      </c>
      <c r="D40" s="42">
        <f>IF(_calc!$C$12="","",INT(_calc!$C$12))</f>
        <v/>
      </c>
      <c r="E40" s="43">
        <f>IF(_calc!$C$12="","",INT(_calc!$C$12)-TODAY())</f>
        <v/>
      </c>
      <c r="F40" s="34">
        <f>IF(_calc!$D$12="","",INDEX('Checklist'!$N$4:$N$503,_calc!$D$12))</f>
        <v/>
      </c>
      <c r="G40" s="41" t="n"/>
      <c r="H40" s="40">
        <f>IF(_calc!$D$12="","",INDEX('Checklist'!$E$4:$E$503,_calc!$D$12))</f>
        <v/>
      </c>
      <c r="I40" s="41" t="n"/>
      <c r="J40" s="41" t="n"/>
    </row>
    <row r="41">
      <c r="B41" s="39" t="n">
        <v>10</v>
      </c>
      <c r="C41" s="40">
        <f>IF(_calc!$D$13="","",INDEX('Checklist'!$C$4:$C$503,_calc!$D$13))</f>
        <v/>
      </c>
      <c r="D41" s="42">
        <f>IF(_calc!$C$13="","",INT(_calc!$C$13))</f>
        <v/>
      </c>
      <c r="E41" s="43">
        <f>IF(_calc!$C$13="","",INT(_calc!$C$13)-TODAY())</f>
        <v/>
      </c>
      <c r="F41" s="34">
        <f>IF(_calc!$D$13="","",INDEX('Checklist'!$N$4:$N$503,_calc!$D$13))</f>
        <v/>
      </c>
      <c r="G41" s="41" t="n"/>
      <c r="H41" s="40">
        <f>IF(_calc!$D$13="","",INDEX('Checklist'!$E$4:$E$503,_calc!$D$13))</f>
        <v/>
      </c>
      <c r="I41" s="41" t="n"/>
      <c r="J41" s="41" t="n"/>
    </row>
    <row r="42">
      <c r="C42" s="3" t="inlineStr">
        <is>
          <t>Earliest re-check first, including anything already overdue.</t>
        </is>
      </c>
    </row>
    <row r="44">
      <c r="C44" s="3" t="inlineStr">
        <is>
          <t>Made by ExpiryEdge · expiryedge.com</t>
        </is>
      </c>
    </row>
  </sheetData>
  <conditionalFormatting sqref="E6:E13">
    <cfRule type="expression" priority="1" dxfId="0">
      <formula>E6&gt;0</formula>
    </cfRule>
  </conditionalFormatting>
  <conditionalFormatting sqref="F6:F13">
    <cfRule type="expression" priority="2" dxfId="1">
      <formula>F6&gt;0</formula>
    </cfRule>
  </conditionalFormatting>
  <conditionalFormatting sqref="G6:G13">
    <cfRule type="expression" priority="3" dxfId="3">
      <formula>G6&gt;0</formula>
    </cfRule>
  </conditionalFormatting>
  <conditionalFormatting sqref="J6:J13">
    <cfRule type="expression" priority="4" dxfId="7">
      <formula>AND(ISNUMBER(J6),J6&gt;=1)</formula>
    </cfRule>
  </conditionalFormatting>
  <conditionalFormatting sqref="D32:E41">
    <cfRule type="expression" priority="5" dxfId="0" stopIfTrue="1">
      <formula>AND(ISNUMBER($E32),$E32&lt;0)</formula>
    </cfRule>
    <cfRule type="expression" priority="6" dxfId="1" stopIfTrue="1">
      <formula>AND(ISNUMBER($E32),$E32&lt;=30)</formula>
    </cfRule>
    <cfRule type="expression" priority="7" dxfId="2" stopIfTrue="1">
      <formula>AND(ISNUMBER($E32),$E32&lt;=90)</formula>
    </cfRule>
    <cfRule type="expression" priority="8" dxfId="3" stopIfTrue="1">
      <formula>ISNUMBER($E32)</formula>
    </cfRule>
  </conditionalFormatting>
  <conditionalFormatting sqref="F32:F41">
    <cfRule type="expression" priority="9" dxfId="0" stopIfTrue="1">
      <formula>$F32="Red"</formula>
    </cfRule>
    <cfRule type="expression" priority="10" dxfId="1" stopIfTrue="1">
      <formula>$F32="Amber"</formula>
    </cfRule>
    <cfRule type="expression" priority="11" dxfId="3" stopIfTrue="1">
      <formula>$F32="Green"</formula>
    </cfRule>
  </conditionalFormatting>
  <printOptions horizontalCentered="0"/>
  <pageMargins left="0.4" right="0.4" top="0.5" bottom="0.6" header="0.5" footer="0.5"/>
  <pageSetup orientation="portrait" paperSize="1" fitToHeight="0" fitToWidth="1"/>
  <headerFooter>
    <oddHeader/>
    <oddFooter>&amp;C&amp;"Arial"&amp;8 expiryedge.com · 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tabColor rgb="0035584B"/>
    <outlinePr summaryBelow="1" summaryRight="1"/>
    <pageSetUpPr fitToPage="1"/>
  </sheetPr>
  <dimension ref="A1:K501"/>
  <sheetViews>
    <sheetView showGridLines="0"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3" customWidth="1" min="2" max="2"/>
    <col width="18" customWidth="1" min="3" max="3"/>
    <col width="13" customWidth="1" min="4" max="4"/>
    <col width="13" customWidth="1" min="5" max="5"/>
    <col width="60" customWidth="1" min="6" max="6"/>
    <col width="24" customWidth="1" min="7" max="7"/>
    <col width="13" customWidth="1" min="8" max="8"/>
    <col width="13" customWidth="1" min="9" max="9"/>
    <col width="13" customWidth="1" min="10" max="10"/>
    <col width="26" customWidth="1" min="11" max="11"/>
  </cols>
  <sheetData>
    <row r="1">
      <c r="A1" s="12" t="inlineStr">
        <is>
          <t>name</t>
        </is>
      </c>
      <c r="B1" s="12" t="inlineStr">
        <is>
          <t>expiry_date</t>
        </is>
      </c>
      <c r="C1" s="12" t="inlineStr">
        <is>
          <t>type</t>
        </is>
      </c>
      <c r="D1" s="12" t="inlineStr">
        <is>
          <t>start_date</t>
        </is>
      </c>
      <c r="E1" s="12" t="inlineStr">
        <is>
          <t>priority</t>
        </is>
      </c>
      <c r="F1" s="12" t="inlineStr">
        <is>
          <t>notes</t>
        </is>
      </c>
      <c r="G1" s="12" t="inlineStr">
        <is>
          <t>url</t>
        </is>
      </c>
      <c r="H1" s="12" t="inlineStr">
        <is>
          <t>value</t>
        </is>
      </c>
      <c r="I1" s="12" t="inlineStr">
        <is>
          <t>currency</t>
        </is>
      </c>
      <c r="J1" s="12" t="inlineStr">
        <is>
          <t>penalty_amount</t>
        </is>
      </c>
      <c r="K1" s="12" t="inlineStr">
        <is>
          <t>notification_email</t>
        </is>
      </c>
    </row>
    <row r="2">
      <c r="A2" s="44">
        <f>IF(_calc!$E$4="","","Survey check – "&amp;IF(LEN(INDEX('Checklist'!$C$4:$C$503,_calc!$E$4))=0,"",INDEX('Checklist'!$C$4:$C$503,_calc!$E$4)))</f>
        <v/>
      </c>
      <c r="B2" s="44">
        <f>IF(_calc!$E$4="","",IF(ISNUMBER(INDEX('Checklist'!$L$4:$L$503,_calc!$E$4)),TEXT(INDEX('Checklist'!$L$4:$L$503,_calc!$E$4),"yyyy-mm-dd"),""))</f>
        <v/>
      </c>
      <c r="C2" s="44">
        <f>IF(_calc!$E$4="","","Survey readiness")</f>
        <v/>
      </c>
      <c r="D2" s="44">
        <f>IF(_calc!$E$4="","",IF(ISNUMBER(INDEX('Checklist'!$H$4:$H$503,_calc!$E$4)),TEXT(INDEX('Checklist'!$H$4:$H$503,_calc!$E$4),"yyyy-mm-dd"),""))</f>
        <v/>
      </c>
      <c r="F2" s="44">
        <f>IF(_calc!$E$4="","",TRIM(IF(LEN(IF(LEN(INDEX('Checklist'!$A$4:$A$503,_calc!$E$4))=0,"",INDEX('Checklist'!$A$4:$A$503,_calc!$E$4)))=0,"","Group: "&amp;IF(LEN(INDEX('Checklist'!$A$4:$A$503,_calc!$E$4))=0,"",INDEX('Checklist'!$A$4:$A$503,_calc!$E$4))&amp;". ")&amp;IF(LEN(IF(LEN(INDEX('Checklist'!$E$4:$E$503,_calc!$E$4))=0,"",INDEX('Checklist'!$E$4:$E$503,_calc!$E$4)))=0,"","Owner: "&amp;IF(LEN(INDEX('Checklist'!$E$4:$E$503,_calc!$E$4))=0,"",INDEX('Checklist'!$E$4:$E$503,_calc!$E$4))&amp;". ")&amp;IF(LEN(IF(LEN(INDEX('Checklist'!$F$4:$F$503,_calc!$E$4))=0,"",INDEX('Checklist'!$F$4:$F$503,_calc!$E$4)))=0,"","Backup: "&amp;IF(LEN(INDEX('Checklist'!$F$4:$F$503,_calc!$E$4))=0,"",INDEX('Checklist'!$F$4:$F$503,_calc!$E$4))&amp;". ")&amp;IF(LEN(IF(LEN(INDEX('Checklist'!$J$4:$J$503,_calc!$E$4))=0,"",INDEX('Checklist'!$J$4:$J$503,_calc!$E$4)))=0,"","Evidence: "&amp;IF(LEN(INDEX('Checklist'!$J$4:$J$503,_calc!$E$4))=0,"",INDEX('Checklist'!$J$4:$J$503,_calc!$E$4))&amp;". ")&amp;IF(LEN(IF(LEN(INDEX('Checklist'!$D$4:$D$503,_calc!$E$4))=0,"",INDEX('Checklist'!$D$4:$D$503,_calc!$E$4)))=0,"","Rule example: "&amp;IF(LEN(INDEX('Checklist'!$D$4:$D$503,_calc!$E$4))=0,"",INDEX('Checklist'!$D$4:$D$503,_calc!$E$4))&amp;". ")&amp;IF(LEN(IF(LEN(INDEX('Checklist'!$P$4:$P$503,_calc!$E$4))=0,"",INDEX('Checklist'!$P$4:$P$503,_calc!$E$4)))=0,"",IF(LEN(INDEX('Checklist'!$P$4:$P$503,_calc!$E$4))=0,"",INDEX('Checklist'!$P$4:$P$503,_calc!$E$4)))))</f>
        <v/>
      </c>
      <c r="K2" s="44">
        <f>IF(_calc!$E$4="","",IF(LEN(INDEX('Checklist'!$G$4:$G$503,_calc!$E$4))=0,"",INDEX('Checklist'!$G$4:$G$503,_calc!$E$4)))</f>
        <v/>
      </c>
    </row>
    <row r="3">
      <c r="A3" s="44">
        <f>IF(_calc!$E$5="","","Survey check – "&amp;IF(LEN(INDEX('Checklist'!$C$4:$C$503,_calc!$E$5))=0,"",INDEX('Checklist'!$C$4:$C$503,_calc!$E$5)))</f>
        <v/>
      </c>
      <c r="B3" s="44">
        <f>IF(_calc!$E$5="","",IF(ISNUMBER(INDEX('Checklist'!$L$4:$L$503,_calc!$E$5)),TEXT(INDEX('Checklist'!$L$4:$L$503,_calc!$E$5),"yyyy-mm-dd"),""))</f>
        <v/>
      </c>
      <c r="C3" s="44">
        <f>IF(_calc!$E$5="","","Survey readiness")</f>
        <v/>
      </c>
      <c r="D3" s="44">
        <f>IF(_calc!$E$5="","",IF(ISNUMBER(INDEX('Checklist'!$H$4:$H$503,_calc!$E$5)),TEXT(INDEX('Checklist'!$H$4:$H$503,_calc!$E$5),"yyyy-mm-dd"),""))</f>
        <v/>
      </c>
      <c r="F3" s="44">
        <f>IF(_calc!$E$5="","",TRIM(IF(LEN(IF(LEN(INDEX('Checklist'!$A$4:$A$503,_calc!$E$5))=0,"",INDEX('Checklist'!$A$4:$A$503,_calc!$E$5)))=0,"","Group: "&amp;IF(LEN(INDEX('Checklist'!$A$4:$A$503,_calc!$E$5))=0,"",INDEX('Checklist'!$A$4:$A$503,_calc!$E$5))&amp;". ")&amp;IF(LEN(IF(LEN(INDEX('Checklist'!$E$4:$E$503,_calc!$E$5))=0,"",INDEX('Checklist'!$E$4:$E$503,_calc!$E$5)))=0,"","Owner: "&amp;IF(LEN(INDEX('Checklist'!$E$4:$E$503,_calc!$E$5))=0,"",INDEX('Checklist'!$E$4:$E$503,_calc!$E$5))&amp;". ")&amp;IF(LEN(IF(LEN(INDEX('Checklist'!$F$4:$F$503,_calc!$E$5))=0,"",INDEX('Checklist'!$F$4:$F$503,_calc!$E$5)))=0,"","Backup: "&amp;IF(LEN(INDEX('Checklist'!$F$4:$F$503,_calc!$E$5))=0,"",INDEX('Checklist'!$F$4:$F$503,_calc!$E$5))&amp;". ")&amp;IF(LEN(IF(LEN(INDEX('Checklist'!$J$4:$J$503,_calc!$E$5))=0,"",INDEX('Checklist'!$J$4:$J$503,_calc!$E$5)))=0,"","Evidence: "&amp;IF(LEN(INDEX('Checklist'!$J$4:$J$503,_calc!$E$5))=0,"",INDEX('Checklist'!$J$4:$J$503,_calc!$E$5))&amp;". ")&amp;IF(LEN(IF(LEN(INDEX('Checklist'!$D$4:$D$503,_calc!$E$5))=0,"",INDEX('Checklist'!$D$4:$D$503,_calc!$E$5)))=0,"","Rule example: "&amp;IF(LEN(INDEX('Checklist'!$D$4:$D$503,_calc!$E$5))=0,"",INDEX('Checklist'!$D$4:$D$503,_calc!$E$5))&amp;". ")&amp;IF(LEN(IF(LEN(INDEX('Checklist'!$P$4:$P$503,_calc!$E$5))=0,"",INDEX('Checklist'!$P$4:$P$503,_calc!$E$5)))=0,"",IF(LEN(INDEX('Checklist'!$P$4:$P$503,_calc!$E$5))=0,"",INDEX('Checklist'!$P$4:$P$503,_calc!$E$5)))))</f>
        <v/>
      </c>
      <c r="K3" s="44">
        <f>IF(_calc!$E$5="","",IF(LEN(INDEX('Checklist'!$G$4:$G$503,_calc!$E$5))=0,"",INDEX('Checklist'!$G$4:$G$503,_calc!$E$5)))</f>
        <v/>
      </c>
    </row>
    <row r="4">
      <c r="A4" s="44">
        <f>IF(_calc!$E$6="","","Survey check – "&amp;IF(LEN(INDEX('Checklist'!$C$4:$C$503,_calc!$E$6))=0,"",INDEX('Checklist'!$C$4:$C$503,_calc!$E$6)))</f>
        <v/>
      </c>
      <c r="B4" s="44">
        <f>IF(_calc!$E$6="","",IF(ISNUMBER(INDEX('Checklist'!$L$4:$L$503,_calc!$E$6)),TEXT(INDEX('Checklist'!$L$4:$L$503,_calc!$E$6),"yyyy-mm-dd"),""))</f>
        <v/>
      </c>
      <c r="C4" s="44">
        <f>IF(_calc!$E$6="","","Survey readiness")</f>
        <v/>
      </c>
      <c r="D4" s="44">
        <f>IF(_calc!$E$6="","",IF(ISNUMBER(INDEX('Checklist'!$H$4:$H$503,_calc!$E$6)),TEXT(INDEX('Checklist'!$H$4:$H$503,_calc!$E$6),"yyyy-mm-dd"),""))</f>
        <v/>
      </c>
      <c r="F4" s="44">
        <f>IF(_calc!$E$6="","",TRIM(IF(LEN(IF(LEN(INDEX('Checklist'!$A$4:$A$503,_calc!$E$6))=0,"",INDEX('Checklist'!$A$4:$A$503,_calc!$E$6)))=0,"","Group: "&amp;IF(LEN(INDEX('Checklist'!$A$4:$A$503,_calc!$E$6))=0,"",INDEX('Checklist'!$A$4:$A$503,_calc!$E$6))&amp;". ")&amp;IF(LEN(IF(LEN(INDEX('Checklist'!$E$4:$E$503,_calc!$E$6))=0,"",INDEX('Checklist'!$E$4:$E$503,_calc!$E$6)))=0,"","Owner: "&amp;IF(LEN(INDEX('Checklist'!$E$4:$E$503,_calc!$E$6))=0,"",INDEX('Checklist'!$E$4:$E$503,_calc!$E$6))&amp;". ")&amp;IF(LEN(IF(LEN(INDEX('Checklist'!$F$4:$F$503,_calc!$E$6))=0,"",INDEX('Checklist'!$F$4:$F$503,_calc!$E$6)))=0,"","Backup: "&amp;IF(LEN(INDEX('Checklist'!$F$4:$F$503,_calc!$E$6))=0,"",INDEX('Checklist'!$F$4:$F$503,_calc!$E$6))&amp;". ")&amp;IF(LEN(IF(LEN(INDEX('Checklist'!$J$4:$J$503,_calc!$E$6))=0,"",INDEX('Checklist'!$J$4:$J$503,_calc!$E$6)))=0,"","Evidence: "&amp;IF(LEN(INDEX('Checklist'!$J$4:$J$503,_calc!$E$6))=0,"",INDEX('Checklist'!$J$4:$J$503,_calc!$E$6))&amp;". ")&amp;IF(LEN(IF(LEN(INDEX('Checklist'!$D$4:$D$503,_calc!$E$6))=0,"",INDEX('Checklist'!$D$4:$D$503,_calc!$E$6)))=0,"","Rule example: "&amp;IF(LEN(INDEX('Checklist'!$D$4:$D$503,_calc!$E$6))=0,"",INDEX('Checklist'!$D$4:$D$503,_calc!$E$6))&amp;". ")&amp;IF(LEN(IF(LEN(INDEX('Checklist'!$P$4:$P$503,_calc!$E$6))=0,"",INDEX('Checklist'!$P$4:$P$503,_calc!$E$6)))=0,"",IF(LEN(INDEX('Checklist'!$P$4:$P$503,_calc!$E$6))=0,"",INDEX('Checklist'!$P$4:$P$503,_calc!$E$6)))))</f>
        <v/>
      </c>
      <c r="K4" s="44">
        <f>IF(_calc!$E$6="","",IF(LEN(INDEX('Checklist'!$G$4:$G$503,_calc!$E$6))=0,"",INDEX('Checklist'!$G$4:$G$503,_calc!$E$6)))</f>
        <v/>
      </c>
    </row>
    <row r="5">
      <c r="A5" s="44">
        <f>IF(_calc!$E$7="","","Survey check – "&amp;IF(LEN(INDEX('Checklist'!$C$4:$C$503,_calc!$E$7))=0,"",INDEX('Checklist'!$C$4:$C$503,_calc!$E$7)))</f>
        <v/>
      </c>
      <c r="B5" s="44">
        <f>IF(_calc!$E$7="","",IF(ISNUMBER(INDEX('Checklist'!$L$4:$L$503,_calc!$E$7)),TEXT(INDEX('Checklist'!$L$4:$L$503,_calc!$E$7),"yyyy-mm-dd"),""))</f>
        <v/>
      </c>
      <c r="C5" s="44">
        <f>IF(_calc!$E$7="","","Survey readiness")</f>
        <v/>
      </c>
      <c r="D5" s="44">
        <f>IF(_calc!$E$7="","",IF(ISNUMBER(INDEX('Checklist'!$H$4:$H$503,_calc!$E$7)),TEXT(INDEX('Checklist'!$H$4:$H$503,_calc!$E$7),"yyyy-mm-dd"),""))</f>
        <v/>
      </c>
      <c r="F5" s="44">
        <f>IF(_calc!$E$7="","",TRIM(IF(LEN(IF(LEN(INDEX('Checklist'!$A$4:$A$503,_calc!$E$7))=0,"",INDEX('Checklist'!$A$4:$A$503,_calc!$E$7)))=0,"","Group: "&amp;IF(LEN(INDEX('Checklist'!$A$4:$A$503,_calc!$E$7))=0,"",INDEX('Checklist'!$A$4:$A$503,_calc!$E$7))&amp;". ")&amp;IF(LEN(IF(LEN(INDEX('Checklist'!$E$4:$E$503,_calc!$E$7))=0,"",INDEX('Checklist'!$E$4:$E$503,_calc!$E$7)))=0,"","Owner: "&amp;IF(LEN(INDEX('Checklist'!$E$4:$E$503,_calc!$E$7))=0,"",INDEX('Checklist'!$E$4:$E$503,_calc!$E$7))&amp;". ")&amp;IF(LEN(IF(LEN(INDEX('Checklist'!$F$4:$F$503,_calc!$E$7))=0,"",INDEX('Checklist'!$F$4:$F$503,_calc!$E$7)))=0,"","Backup: "&amp;IF(LEN(INDEX('Checklist'!$F$4:$F$503,_calc!$E$7))=0,"",INDEX('Checklist'!$F$4:$F$503,_calc!$E$7))&amp;". ")&amp;IF(LEN(IF(LEN(INDEX('Checklist'!$J$4:$J$503,_calc!$E$7))=0,"",INDEX('Checklist'!$J$4:$J$503,_calc!$E$7)))=0,"","Evidence: "&amp;IF(LEN(INDEX('Checklist'!$J$4:$J$503,_calc!$E$7))=0,"",INDEX('Checklist'!$J$4:$J$503,_calc!$E$7))&amp;". ")&amp;IF(LEN(IF(LEN(INDEX('Checklist'!$D$4:$D$503,_calc!$E$7))=0,"",INDEX('Checklist'!$D$4:$D$503,_calc!$E$7)))=0,"","Rule example: "&amp;IF(LEN(INDEX('Checklist'!$D$4:$D$503,_calc!$E$7))=0,"",INDEX('Checklist'!$D$4:$D$503,_calc!$E$7))&amp;". ")&amp;IF(LEN(IF(LEN(INDEX('Checklist'!$P$4:$P$503,_calc!$E$7))=0,"",INDEX('Checklist'!$P$4:$P$503,_calc!$E$7)))=0,"",IF(LEN(INDEX('Checklist'!$P$4:$P$503,_calc!$E$7))=0,"",INDEX('Checklist'!$P$4:$P$503,_calc!$E$7)))))</f>
        <v/>
      </c>
      <c r="K5" s="44">
        <f>IF(_calc!$E$7="","",IF(LEN(INDEX('Checklist'!$G$4:$G$503,_calc!$E$7))=0,"",INDEX('Checklist'!$G$4:$G$503,_calc!$E$7)))</f>
        <v/>
      </c>
    </row>
    <row r="6">
      <c r="A6" s="44">
        <f>IF(_calc!$E$8="","","Survey check – "&amp;IF(LEN(INDEX('Checklist'!$C$4:$C$503,_calc!$E$8))=0,"",INDEX('Checklist'!$C$4:$C$503,_calc!$E$8)))</f>
        <v/>
      </c>
      <c r="B6" s="44">
        <f>IF(_calc!$E$8="","",IF(ISNUMBER(INDEX('Checklist'!$L$4:$L$503,_calc!$E$8)),TEXT(INDEX('Checklist'!$L$4:$L$503,_calc!$E$8),"yyyy-mm-dd"),""))</f>
        <v/>
      </c>
      <c r="C6" s="44">
        <f>IF(_calc!$E$8="","","Survey readiness")</f>
        <v/>
      </c>
      <c r="D6" s="44">
        <f>IF(_calc!$E$8="","",IF(ISNUMBER(INDEX('Checklist'!$H$4:$H$503,_calc!$E$8)),TEXT(INDEX('Checklist'!$H$4:$H$503,_calc!$E$8),"yyyy-mm-dd"),""))</f>
        <v/>
      </c>
      <c r="F6" s="44">
        <f>IF(_calc!$E$8="","",TRIM(IF(LEN(IF(LEN(INDEX('Checklist'!$A$4:$A$503,_calc!$E$8))=0,"",INDEX('Checklist'!$A$4:$A$503,_calc!$E$8)))=0,"","Group: "&amp;IF(LEN(INDEX('Checklist'!$A$4:$A$503,_calc!$E$8))=0,"",INDEX('Checklist'!$A$4:$A$503,_calc!$E$8))&amp;". ")&amp;IF(LEN(IF(LEN(INDEX('Checklist'!$E$4:$E$503,_calc!$E$8))=0,"",INDEX('Checklist'!$E$4:$E$503,_calc!$E$8)))=0,"","Owner: "&amp;IF(LEN(INDEX('Checklist'!$E$4:$E$503,_calc!$E$8))=0,"",INDEX('Checklist'!$E$4:$E$503,_calc!$E$8))&amp;". ")&amp;IF(LEN(IF(LEN(INDEX('Checklist'!$F$4:$F$503,_calc!$E$8))=0,"",INDEX('Checklist'!$F$4:$F$503,_calc!$E$8)))=0,"","Backup: "&amp;IF(LEN(INDEX('Checklist'!$F$4:$F$503,_calc!$E$8))=0,"",INDEX('Checklist'!$F$4:$F$503,_calc!$E$8))&amp;". ")&amp;IF(LEN(IF(LEN(INDEX('Checklist'!$J$4:$J$503,_calc!$E$8))=0,"",INDEX('Checklist'!$J$4:$J$503,_calc!$E$8)))=0,"","Evidence: "&amp;IF(LEN(INDEX('Checklist'!$J$4:$J$503,_calc!$E$8))=0,"",INDEX('Checklist'!$J$4:$J$503,_calc!$E$8))&amp;". ")&amp;IF(LEN(IF(LEN(INDEX('Checklist'!$D$4:$D$503,_calc!$E$8))=0,"",INDEX('Checklist'!$D$4:$D$503,_calc!$E$8)))=0,"","Rule example: "&amp;IF(LEN(INDEX('Checklist'!$D$4:$D$503,_calc!$E$8))=0,"",INDEX('Checklist'!$D$4:$D$503,_calc!$E$8))&amp;". ")&amp;IF(LEN(IF(LEN(INDEX('Checklist'!$P$4:$P$503,_calc!$E$8))=0,"",INDEX('Checklist'!$P$4:$P$503,_calc!$E$8)))=0,"",IF(LEN(INDEX('Checklist'!$P$4:$P$503,_calc!$E$8))=0,"",INDEX('Checklist'!$P$4:$P$503,_calc!$E$8)))))</f>
        <v/>
      </c>
      <c r="K6" s="44">
        <f>IF(_calc!$E$8="","",IF(LEN(INDEX('Checklist'!$G$4:$G$503,_calc!$E$8))=0,"",INDEX('Checklist'!$G$4:$G$503,_calc!$E$8)))</f>
        <v/>
      </c>
    </row>
    <row r="7">
      <c r="A7" s="44">
        <f>IF(_calc!$E$9="","","Survey check – "&amp;IF(LEN(INDEX('Checklist'!$C$4:$C$503,_calc!$E$9))=0,"",INDEX('Checklist'!$C$4:$C$503,_calc!$E$9)))</f>
        <v/>
      </c>
      <c r="B7" s="44">
        <f>IF(_calc!$E$9="","",IF(ISNUMBER(INDEX('Checklist'!$L$4:$L$503,_calc!$E$9)),TEXT(INDEX('Checklist'!$L$4:$L$503,_calc!$E$9),"yyyy-mm-dd"),""))</f>
        <v/>
      </c>
      <c r="C7" s="44">
        <f>IF(_calc!$E$9="","","Survey readiness")</f>
        <v/>
      </c>
      <c r="D7" s="44">
        <f>IF(_calc!$E$9="","",IF(ISNUMBER(INDEX('Checklist'!$H$4:$H$503,_calc!$E$9)),TEXT(INDEX('Checklist'!$H$4:$H$503,_calc!$E$9),"yyyy-mm-dd"),""))</f>
        <v/>
      </c>
      <c r="F7" s="44">
        <f>IF(_calc!$E$9="","",TRIM(IF(LEN(IF(LEN(INDEX('Checklist'!$A$4:$A$503,_calc!$E$9))=0,"",INDEX('Checklist'!$A$4:$A$503,_calc!$E$9)))=0,"","Group: "&amp;IF(LEN(INDEX('Checklist'!$A$4:$A$503,_calc!$E$9))=0,"",INDEX('Checklist'!$A$4:$A$503,_calc!$E$9))&amp;". ")&amp;IF(LEN(IF(LEN(INDEX('Checklist'!$E$4:$E$503,_calc!$E$9))=0,"",INDEX('Checklist'!$E$4:$E$503,_calc!$E$9)))=0,"","Owner: "&amp;IF(LEN(INDEX('Checklist'!$E$4:$E$503,_calc!$E$9))=0,"",INDEX('Checklist'!$E$4:$E$503,_calc!$E$9))&amp;". ")&amp;IF(LEN(IF(LEN(INDEX('Checklist'!$F$4:$F$503,_calc!$E$9))=0,"",INDEX('Checklist'!$F$4:$F$503,_calc!$E$9)))=0,"","Backup: "&amp;IF(LEN(INDEX('Checklist'!$F$4:$F$503,_calc!$E$9))=0,"",INDEX('Checklist'!$F$4:$F$503,_calc!$E$9))&amp;". ")&amp;IF(LEN(IF(LEN(INDEX('Checklist'!$J$4:$J$503,_calc!$E$9))=0,"",INDEX('Checklist'!$J$4:$J$503,_calc!$E$9)))=0,"","Evidence: "&amp;IF(LEN(INDEX('Checklist'!$J$4:$J$503,_calc!$E$9))=0,"",INDEX('Checklist'!$J$4:$J$503,_calc!$E$9))&amp;". ")&amp;IF(LEN(IF(LEN(INDEX('Checklist'!$D$4:$D$503,_calc!$E$9))=0,"",INDEX('Checklist'!$D$4:$D$503,_calc!$E$9)))=0,"","Rule example: "&amp;IF(LEN(INDEX('Checklist'!$D$4:$D$503,_calc!$E$9))=0,"",INDEX('Checklist'!$D$4:$D$503,_calc!$E$9))&amp;". ")&amp;IF(LEN(IF(LEN(INDEX('Checklist'!$P$4:$P$503,_calc!$E$9))=0,"",INDEX('Checklist'!$P$4:$P$503,_calc!$E$9)))=0,"",IF(LEN(INDEX('Checklist'!$P$4:$P$503,_calc!$E$9))=0,"",INDEX('Checklist'!$P$4:$P$503,_calc!$E$9)))))</f>
        <v/>
      </c>
      <c r="K7" s="44">
        <f>IF(_calc!$E$9="","",IF(LEN(INDEX('Checklist'!$G$4:$G$503,_calc!$E$9))=0,"",INDEX('Checklist'!$G$4:$G$503,_calc!$E$9)))</f>
        <v/>
      </c>
    </row>
    <row r="8">
      <c r="A8" s="44">
        <f>IF(_calc!$E$10="","","Survey check – "&amp;IF(LEN(INDEX('Checklist'!$C$4:$C$503,_calc!$E$10))=0,"",INDEX('Checklist'!$C$4:$C$503,_calc!$E$10)))</f>
        <v/>
      </c>
      <c r="B8" s="44">
        <f>IF(_calc!$E$10="","",IF(ISNUMBER(INDEX('Checklist'!$L$4:$L$503,_calc!$E$10)),TEXT(INDEX('Checklist'!$L$4:$L$503,_calc!$E$10),"yyyy-mm-dd"),""))</f>
        <v/>
      </c>
      <c r="C8" s="44">
        <f>IF(_calc!$E$10="","","Survey readiness")</f>
        <v/>
      </c>
      <c r="D8" s="44">
        <f>IF(_calc!$E$10="","",IF(ISNUMBER(INDEX('Checklist'!$H$4:$H$503,_calc!$E$10)),TEXT(INDEX('Checklist'!$H$4:$H$503,_calc!$E$10),"yyyy-mm-dd"),""))</f>
        <v/>
      </c>
      <c r="F8" s="44">
        <f>IF(_calc!$E$10="","",TRIM(IF(LEN(IF(LEN(INDEX('Checklist'!$A$4:$A$503,_calc!$E$10))=0,"",INDEX('Checklist'!$A$4:$A$503,_calc!$E$10)))=0,"","Group: "&amp;IF(LEN(INDEX('Checklist'!$A$4:$A$503,_calc!$E$10))=0,"",INDEX('Checklist'!$A$4:$A$503,_calc!$E$10))&amp;". ")&amp;IF(LEN(IF(LEN(INDEX('Checklist'!$E$4:$E$503,_calc!$E$10))=0,"",INDEX('Checklist'!$E$4:$E$503,_calc!$E$10)))=0,"","Owner: "&amp;IF(LEN(INDEX('Checklist'!$E$4:$E$503,_calc!$E$10))=0,"",INDEX('Checklist'!$E$4:$E$503,_calc!$E$10))&amp;". ")&amp;IF(LEN(IF(LEN(INDEX('Checklist'!$F$4:$F$503,_calc!$E$10))=0,"",INDEX('Checklist'!$F$4:$F$503,_calc!$E$10)))=0,"","Backup: "&amp;IF(LEN(INDEX('Checklist'!$F$4:$F$503,_calc!$E$10))=0,"",INDEX('Checklist'!$F$4:$F$503,_calc!$E$10))&amp;". ")&amp;IF(LEN(IF(LEN(INDEX('Checklist'!$J$4:$J$503,_calc!$E$10))=0,"",INDEX('Checklist'!$J$4:$J$503,_calc!$E$10)))=0,"","Evidence: "&amp;IF(LEN(INDEX('Checklist'!$J$4:$J$503,_calc!$E$10))=0,"",INDEX('Checklist'!$J$4:$J$503,_calc!$E$10))&amp;". ")&amp;IF(LEN(IF(LEN(INDEX('Checklist'!$D$4:$D$503,_calc!$E$10))=0,"",INDEX('Checklist'!$D$4:$D$503,_calc!$E$10)))=0,"","Rule example: "&amp;IF(LEN(INDEX('Checklist'!$D$4:$D$503,_calc!$E$10))=0,"",INDEX('Checklist'!$D$4:$D$503,_calc!$E$10))&amp;". ")&amp;IF(LEN(IF(LEN(INDEX('Checklist'!$P$4:$P$503,_calc!$E$10))=0,"",INDEX('Checklist'!$P$4:$P$503,_calc!$E$10)))=0,"",IF(LEN(INDEX('Checklist'!$P$4:$P$503,_calc!$E$10))=0,"",INDEX('Checklist'!$P$4:$P$503,_calc!$E$10)))))</f>
        <v/>
      </c>
      <c r="K8" s="44">
        <f>IF(_calc!$E$10="","",IF(LEN(INDEX('Checklist'!$G$4:$G$503,_calc!$E$10))=0,"",INDEX('Checklist'!$G$4:$G$503,_calc!$E$10)))</f>
        <v/>
      </c>
    </row>
    <row r="9">
      <c r="A9" s="44">
        <f>IF(_calc!$E$11="","","Survey check – "&amp;IF(LEN(INDEX('Checklist'!$C$4:$C$503,_calc!$E$11))=0,"",INDEX('Checklist'!$C$4:$C$503,_calc!$E$11)))</f>
        <v/>
      </c>
      <c r="B9" s="44">
        <f>IF(_calc!$E$11="","",IF(ISNUMBER(INDEX('Checklist'!$L$4:$L$503,_calc!$E$11)),TEXT(INDEX('Checklist'!$L$4:$L$503,_calc!$E$11),"yyyy-mm-dd"),""))</f>
        <v/>
      </c>
      <c r="C9" s="44">
        <f>IF(_calc!$E$11="","","Survey readiness")</f>
        <v/>
      </c>
      <c r="D9" s="44">
        <f>IF(_calc!$E$11="","",IF(ISNUMBER(INDEX('Checklist'!$H$4:$H$503,_calc!$E$11)),TEXT(INDEX('Checklist'!$H$4:$H$503,_calc!$E$11),"yyyy-mm-dd"),""))</f>
        <v/>
      </c>
      <c r="F9" s="44">
        <f>IF(_calc!$E$11="","",TRIM(IF(LEN(IF(LEN(INDEX('Checklist'!$A$4:$A$503,_calc!$E$11))=0,"",INDEX('Checklist'!$A$4:$A$503,_calc!$E$11)))=0,"","Group: "&amp;IF(LEN(INDEX('Checklist'!$A$4:$A$503,_calc!$E$11))=0,"",INDEX('Checklist'!$A$4:$A$503,_calc!$E$11))&amp;". ")&amp;IF(LEN(IF(LEN(INDEX('Checklist'!$E$4:$E$503,_calc!$E$11))=0,"",INDEX('Checklist'!$E$4:$E$503,_calc!$E$11)))=0,"","Owner: "&amp;IF(LEN(INDEX('Checklist'!$E$4:$E$503,_calc!$E$11))=0,"",INDEX('Checklist'!$E$4:$E$503,_calc!$E$11))&amp;". ")&amp;IF(LEN(IF(LEN(INDEX('Checklist'!$F$4:$F$503,_calc!$E$11))=0,"",INDEX('Checklist'!$F$4:$F$503,_calc!$E$11)))=0,"","Backup: "&amp;IF(LEN(INDEX('Checklist'!$F$4:$F$503,_calc!$E$11))=0,"",INDEX('Checklist'!$F$4:$F$503,_calc!$E$11))&amp;". ")&amp;IF(LEN(IF(LEN(INDEX('Checklist'!$J$4:$J$503,_calc!$E$11))=0,"",INDEX('Checklist'!$J$4:$J$503,_calc!$E$11)))=0,"","Evidence: "&amp;IF(LEN(INDEX('Checklist'!$J$4:$J$503,_calc!$E$11))=0,"",INDEX('Checklist'!$J$4:$J$503,_calc!$E$11))&amp;". ")&amp;IF(LEN(IF(LEN(INDEX('Checklist'!$D$4:$D$503,_calc!$E$11))=0,"",INDEX('Checklist'!$D$4:$D$503,_calc!$E$11)))=0,"","Rule example: "&amp;IF(LEN(INDEX('Checklist'!$D$4:$D$503,_calc!$E$11))=0,"",INDEX('Checklist'!$D$4:$D$503,_calc!$E$11))&amp;". ")&amp;IF(LEN(IF(LEN(INDEX('Checklist'!$P$4:$P$503,_calc!$E$11))=0,"",INDEX('Checklist'!$P$4:$P$503,_calc!$E$11)))=0,"",IF(LEN(INDEX('Checklist'!$P$4:$P$503,_calc!$E$11))=0,"",INDEX('Checklist'!$P$4:$P$503,_calc!$E$11)))))</f>
        <v/>
      </c>
      <c r="K9" s="44">
        <f>IF(_calc!$E$11="","",IF(LEN(INDEX('Checklist'!$G$4:$G$503,_calc!$E$11))=0,"",INDEX('Checklist'!$G$4:$G$503,_calc!$E$11)))</f>
        <v/>
      </c>
    </row>
    <row r="10">
      <c r="A10" s="44">
        <f>IF(_calc!$E$12="","","Survey check – "&amp;IF(LEN(INDEX('Checklist'!$C$4:$C$503,_calc!$E$12))=0,"",INDEX('Checklist'!$C$4:$C$503,_calc!$E$12)))</f>
        <v/>
      </c>
      <c r="B10" s="44">
        <f>IF(_calc!$E$12="","",IF(ISNUMBER(INDEX('Checklist'!$L$4:$L$503,_calc!$E$12)),TEXT(INDEX('Checklist'!$L$4:$L$503,_calc!$E$12),"yyyy-mm-dd"),""))</f>
        <v/>
      </c>
      <c r="C10" s="44">
        <f>IF(_calc!$E$12="","","Survey readiness")</f>
        <v/>
      </c>
      <c r="D10" s="44">
        <f>IF(_calc!$E$12="","",IF(ISNUMBER(INDEX('Checklist'!$H$4:$H$503,_calc!$E$12)),TEXT(INDEX('Checklist'!$H$4:$H$503,_calc!$E$12),"yyyy-mm-dd"),""))</f>
        <v/>
      </c>
      <c r="F10" s="44">
        <f>IF(_calc!$E$12="","",TRIM(IF(LEN(IF(LEN(INDEX('Checklist'!$A$4:$A$503,_calc!$E$12))=0,"",INDEX('Checklist'!$A$4:$A$503,_calc!$E$12)))=0,"","Group: "&amp;IF(LEN(INDEX('Checklist'!$A$4:$A$503,_calc!$E$12))=0,"",INDEX('Checklist'!$A$4:$A$503,_calc!$E$12))&amp;". ")&amp;IF(LEN(IF(LEN(INDEX('Checklist'!$E$4:$E$503,_calc!$E$12))=0,"",INDEX('Checklist'!$E$4:$E$503,_calc!$E$12)))=0,"","Owner: "&amp;IF(LEN(INDEX('Checklist'!$E$4:$E$503,_calc!$E$12))=0,"",INDEX('Checklist'!$E$4:$E$503,_calc!$E$12))&amp;". ")&amp;IF(LEN(IF(LEN(INDEX('Checklist'!$F$4:$F$503,_calc!$E$12))=0,"",INDEX('Checklist'!$F$4:$F$503,_calc!$E$12)))=0,"","Backup: "&amp;IF(LEN(INDEX('Checklist'!$F$4:$F$503,_calc!$E$12))=0,"",INDEX('Checklist'!$F$4:$F$503,_calc!$E$12))&amp;". ")&amp;IF(LEN(IF(LEN(INDEX('Checklist'!$J$4:$J$503,_calc!$E$12))=0,"",INDEX('Checklist'!$J$4:$J$503,_calc!$E$12)))=0,"","Evidence: "&amp;IF(LEN(INDEX('Checklist'!$J$4:$J$503,_calc!$E$12))=0,"",INDEX('Checklist'!$J$4:$J$503,_calc!$E$12))&amp;". ")&amp;IF(LEN(IF(LEN(INDEX('Checklist'!$D$4:$D$503,_calc!$E$12))=0,"",INDEX('Checklist'!$D$4:$D$503,_calc!$E$12)))=0,"","Rule example: "&amp;IF(LEN(INDEX('Checklist'!$D$4:$D$503,_calc!$E$12))=0,"",INDEX('Checklist'!$D$4:$D$503,_calc!$E$12))&amp;". ")&amp;IF(LEN(IF(LEN(INDEX('Checklist'!$P$4:$P$503,_calc!$E$12))=0,"",INDEX('Checklist'!$P$4:$P$503,_calc!$E$12)))=0,"",IF(LEN(INDEX('Checklist'!$P$4:$P$503,_calc!$E$12))=0,"",INDEX('Checklist'!$P$4:$P$503,_calc!$E$12)))))</f>
        <v/>
      </c>
      <c r="K10" s="44">
        <f>IF(_calc!$E$12="","",IF(LEN(INDEX('Checklist'!$G$4:$G$503,_calc!$E$12))=0,"",INDEX('Checklist'!$G$4:$G$503,_calc!$E$12)))</f>
        <v/>
      </c>
    </row>
    <row r="11">
      <c r="A11" s="44">
        <f>IF(_calc!$E$13="","","Survey check – "&amp;IF(LEN(INDEX('Checklist'!$C$4:$C$503,_calc!$E$13))=0,"",INDEX('Checklist'!$C$4:$C$503,_calc!$E$13)))</f>
        <v/>
      </c>
      <c r="B11" s="44">
        <f>IF(_calc!$E$13="","",IF(ISNUMBER(INDEX('Checklist'!$L$4:$L$503,_calc!$E$13)),TEXT(INDEX('Checklist'!$L$4:$L$503,_calc!$E$13),"yyyy-mm-dd"),""))</f>
        <v/>
      </c>
      <c r="C11" s="44">
        <f>IF(_calc!$E$13="","","Survey readiness")</f>
        <v/>
      </c>
      <c r="D11" s="44">
        <f>IF(_calc!$E$13="","",IF(ISNUMBER(INDEX('Checklist'!$H$4:$H$503,_calc!$E$13)),TEXT(INDEX('Checklist'!$H$4:$H$503,_calc!$E$13),"yyyy-mm-dd"),""))</f>
        <v/>
      </c>
      <c r="F11" s="44">
        <f>IF(_calc!$E$13="","",TRIM(IF(LEN(IF(LEN(INDEX('Checklist'!$A$4:$A$503,_calc!$E$13))=0,"",INDEX('Checklist'!$A$4:$A$503,_calc!$E$13)))=0,"","Group: "&amp;IF(LEN(INDEX('Checklist'!$A$4:$A$503,_calc!$E$13))=0,"",INDEX('Checklist'!$A$4:$A$503,_calc!$E$13))&amp;". ")&amp;IF(LEN(IF(LEN(INDEX('Checklist'!$E$4:$E$503,_calc!$E$13))=0,"",INDEX('Checklist'!$E$4:$E$503,_calc!$E$13)))=0,"","Owner: "&amp;IF(LEN(INDEX('Checklist'!$E$4:$E$503,_calc!$E$13))=0,"",INDEX('Checklist'!$E$4:$E$503,_calc!$E$13))&amp;". ")&amp;IF(LEN(IF(LEN(INDEX('Checklist'!$F$4:$F$503,_calc!$E$13))=0,"",INDEX('Checklist'!$F$4:$F$503,_calc!$E$13)))=0,"","Backup: "&amp;IF(LEN(INDEX('Checklist'!$F$4:$F$503,_calc!$E$13))=0,"",INDEX('Checklist'!$F$4:$F$503,_calc!$E$13))&amp;". ")&amp;IF(LEN(IF(LEN(INDEX('Checklist'!$J$4:$J$503,_calc!$E$13))=0,"",INDEX('Checklist'!$J$4:$J$503,_calc!$E$13)))=0,"","Evidence: "&amp;IF(LEN(INDEX('Checklist'!$J$4:$J$503,_calc!$E$13))=0,"",INDEX('Checklist'!$J$4:$J$503,_calc!$E$13))&amp;". ")&amp;IF(LEN(IF(LEN(INDEX('Checklist'!$D$4:$D$503,_calc!$E$13))=0,"",INDEX('Checklist'!$D$4:$D$503,_calc!$E$13)))=0,"","Rule example: "&amp;IF(LEN(INDEX('Checklist'!$D$4:$D$503,_calc!$E$13))=0,"",INDEX('Checklist'!$D$4:$D$503,_calc!$E$13))&amp;". ")&amp;IF(LEN(IF(LEN(INDEX('Checklist'!$P$4:$P$503,_calc!$E$13))=0,"",INDEX('Checklist'!$P$4:$P$503,_calc!$E$13)))=0,"",IF(LEN(INDEX('Checklist'!$P$4:$P$503,_calc!$E$13))=0,"",INDEX('Checklist'!$P$4:$P$503,_calc!$E$13)))))</f>
        <v/>
      </c>
      <c r="K11" s="44">
        <f>IF(_calc!$E$13="","",IF(LEN(INDEX('Checklist'!$G$4:$G$503,_calc!$E$13))=0,"",INDEX('Checklist'!$G$4:$G$503,_calc!$E$13)))</f>
        <v/>
      </c>
    </row>
    <row r="12">
      <c r="A12" s="44">
        <f>IF(_calc!$E$14="","","Survey check – "&amp;IF(LEN(INDEX('Checklist'!$C$4:$C$503,_calc!$E$14))=0,"",INDEX('Checklist'!$C$4:$C$503,_calc!$E$14)))</f>
        <v/>
      </c>
      <c r="B12" s="44">
        <f>IF(_calc!$E$14="","",IF(ISNUMBER(INDEX('Checklist'!$L$4:$L$503,_calc!$E$14)),TEXT(INDEX('Checklist'!$L$4:$L$503,_calc!$E$14),"yyyy-mm-dd"),""))</f>
        <v/>
      </c>
      <c r="C12" s="44">
        <f>IF(_calc!$E$14="","","Survey readiness")</f>
        <v/>
      </c>
      <c r="D12" s="44">
        <f>IF(_calc!$E$14="","",IF(ISNUMBER(INDEX('Checklist'!$H$4:$H$503,_calc!$E$14)),TEXT(INDEX('Checklist'!$H$4:$H$503,_calc!$E$14),"yyyy-mm-dd"),""))</f>
        <v/>
      </c>
      <c r="F12" s="44">
        <f>IF(_calc!$E$14="","",TRIM(IF(LEN(IF(LEN(INDEX('Checklist'!$A$4:$A$503,_calc!$E$14))=0,"",INDEX('Checklist'!$A$4:$A$503,_calc!$E$14)))=0,"","Group: "&amp;IF(LEN(INDEX('Checklist'!$A$4:$A$503,_calc!$E$14))=0,"",INDEX('Checklist'!$A$4:$A$503,_calc!$E$14))&amp;". ")&amp;IF(LEN(IF(LEN(INDEX('Checklist'!$E$4:$E$503,_calc!$E$14))=0,"",INDEX('Checklist'!$E$4:$E$503,_calc!$E$14)))=0,"","Owner: "&amp;IF(LEN(INDEX('Checklist'!$E$4:$E$503,_calc!$E$14))=0,"",INDEX('Checklist'!$E$4:$E$503,_calc!$E$14))&amp;". ")&amp;IF(LEN(IF(LEN(INDEX('Checklist'!$F$4:$F$503,_calc!$E$14))=0,"",INDEX('Checklist'!$F$4:$F$503,_calc!$E$14)))=0,"","Backup: "&amp;IF(LEN(INDEX('Checklist'!$F$4:$F$503,_calc!$E$14))=0,"",INDEX('Checklist'!$F$4:$F$503,_calc!$E$14))&amp;". ")&amp;IF(LEN(IF(LEN(INDEX('Checklist'!$J$4:$J$503,_calc!$E$14))=0,"",INDEX('Checklist'!$J$4:$J$503,_calc!$E$14)))=0,"","Evidence: "&amp;IF(LEN(INDEX('Checklist'!$J$4:$J$503,_calc!$E$14))=0,"",INDEX('Checklist'!$J$4:$J$503,_calc!$E$14))&amp;". ")&amp;IF(LEN(IF(LEN(INDEX('Checklist'!$D$4:$D$503,_calc!$E$14))=0,"",INDEX('Checklist'!$D$4:$D$503,_calc!$E$14)))=0,"","Rule example: "&amp;IF(LEN(INDEX('Checklist'!$D$4:$D$503,_calc!$E$14))=0,"",INDEX('Checklist'!$D$4:$D$503,_calc!$E$14))&amp;". ")&amp;IF(LEN(IF(LEN(INDEX('Checklist'!$P$4:$P$503,_calc!$E$14))=0,"",INDEX('Checklist'!$P$4:$P$503,_calc!$E$14)))=0,"",IF(LEN(INDEX('Checklist'!$P$4:$P$503,_calc!$E$14))=0,"",INDEX('Checklist'!$P$4:$P$503,_calc!$E$14)))))</f>
        <v/>
      </c>
      <c r="K12" s="44">
        <f>IF(_calc!$E$14="","",IF(LEN(INDEX('Checklist'!$G$4:$G$503,_calc!$E$14))=0,"",INDEX('Checklist'!$G$4:$G$503,_calc!$E$14)))</f>
        <v/>
      </c>
    </row>
    <row r="13">
      <c r="A13" s="44">
        <f>IF(_calc!$E$15="","","Survey check – "&amp;IF(LEN(INDEX('Checklist'!$C$4:$C$503,_calc!$E$15))=0,"",INDEX('Checklist'!$C$4:$C$503,_calc!$E$15)))</f>
        <v/>
      </c>
      <c r="B13" s="44">
        <f>IF(_calc!$E$15="","",IF(ISNUMBER(INDEX('Checklist'!$L$4:$L$503,_calc!$E$15)),TEXT(INDEX('Checklist'!$L$4:$L$503,_calc!$E$15),"yyyy-mm-dd"),""))</f>
        <v/>
      </c>
      <c r="C13" s="44">
        <f>IF(_calc!$E$15="","","Survey readiness")</f>
        <v/>
      </c>
      <c r="D13" s="44">
        <f>IF(_calc!$E$15="","",IF(ISNUMBER(INDEX('Checklist'!$H$4:$H$503,_calc!$E$15)),TEXT(INDEX('Checklist'!$H$4:$H$503,_calc!$E$15),"yyyy-mm-dd"),""))</f>
        <v/>
      </c>
      <c r="F13" s="44">
        <f>IF(_calc!$E$15="","",TRIM(IF(LEN(IF(LEN(INDEX('Checklist'!$A$4:$A$503,_calc!$E$15))=0,"",INDEX('Checklist'!$A$4:$A$503,_calc!$E$15)))=0,"","Group: "&amp;IF(LEN(INDEX('Checklist'!$A$4:$A$503,_calc!$E$15))=0,"",INDEX('Checklist'!$A$4:$A$503,_calc!$E$15))&amp;". ")&amp;IF(LEN(IF(LEN(INDEX('Checklist'!$E$4:$E$503,_calc!$E$15))=0,"",INDEX('Checklist'!$E$4:$E$503,_calc!$E$15)))=0,"","Owner: "&amp;IF(LEN(INDEX('Checklist'!$E$4:$E$503,_calc!$E$15))=0,"",INDEX('Checklist'!$E$4:$E$503,_calc!$E$15))&amp;". ")&amp;IF(LEN(IF(LEN(INDEX('Checklist'!$F$4:$F$503,_calc!$E$15))=0,"",INDEX('Checklist'!$F$4:$F$503,_calc!$E$15)))=0,"","Backup: "&amp;IF(LEN(INDEX('Checklist'!$F$4:$F$503,_calc!$E$15))=0,"",INDEX('Checklist'!$F$4:$F$503,_calc!$E$15))&amp;". ")&amp;IF(LEN(IF(LEN(INDEX('Checklist'!$J$4:$J$503,_calc!$E$15))=0,"",INDEX('Checklist'!$J$4:$J$503,_calc!$E$15)))=0,"","Evidence: "&amp;IF(LEN(INDEX('Checklist'!$J$4:$J$503,_calc!$E$15))=0,"",INDEX('Checklist'!$J$4:$J$503,_calc!$E$15))&amp;". ")&amp;IF(LEN(IF(LEN(INDEX('Checklist'!$D$4:$D$503,_calc!$E$15))=0,"",INDEX('Checklist'!$D$4:$D$503,_calc!$E$15)))=0,"","Rule example: "&amp;IF(LEN(INDEX('Checklist'!$D$4:$D$503,_calc!$E$15))=0,"",INDEX('Checklist'!$D$4:$D$503,_calc!$E$15))&amp;". ")&amp;IF(LEN(IF(LEN(INDEX('Checklist'!$P$4:$P$503,_calc!$E$15))=0,"",INDEX('Checklist'!$P$4:$P$503,_calc!$E$15)))=0,"",IF(LEN(INDEX('Checklist'!$P$4:$P$503,_calc!$E$15))=0,"",INDEX('Checklist'!$P$4:$P$503,_calc!$E$15)))))</f>
        <v/>
      </c>
      <c r="K13" s="44">
        <f>IF(_calc!$E$15="","",IF(LEN(INDEX('Checklist'!$G$4:$G$503,_calc!$E$15))=0,"",INDEX('Checklist'!$G$4:$G$503,_calc!$E$15)))</f>
        <v/>
      </c>
    </row>
    <row r="14">
      <c r="A14" s="44">
        <f>IF(_calc!$E$16="","","Survey check – "&amp;IF(LEN(INDEX('Checklist'!$C$4:$C$503,_calc!$E$16))=0,"",INDEX('Checklist'!$C$4:$C$503,_calc!$E$16)))</f>
        <v/>
      </c>
      <c r="B14" s="44">
        <f>IF(_calc!$E$16="","",IF(ISNUMBER(INDEX('Checklist'!$L$4:$L$503,_calc!$E$16)),TEXT(INDEX('Checklist'!$L$4:$L$503,_calc!$E$16),"yyyy-mm-dd"),""))</f>
        <v/>
      </c>
      <c r="C14" s="44">
        <f>IF(_calc!$E$16="","","Survey readiness")</f>
        <v/>
      </c>
      <c r="D14" s="44">
        <f>IF(_calc!$E$16="","",IF(ISNUMBER(INDEX('Checklist'!$H$4:$H$503,_calc!$E$16)),TEXT(INDEX('Checklist'!$H$4:$H$503,_calc!$E$16),"yyyy-mm-dd"),""))</f>
        <v/>
      </c>
      <c r="F14" s="44">
        <f>IF(_calc!$E$16="","",TRIM(IF(LEN(IF(LEN(INDEX('Checklist'!$A$4:$A$503,_calc!$E$16))=0,"",INDEX('Checklist'!$A$4:$A$503,_calc!$E$16)))=0,"","Group: "&amp;IF(LEN(INDEX('Checklist'!$A$4:$A$503,_calc!$E$16))=0,"",INDEX('Checklist'!$A$4:$A$503,_calc!$E$16))&amp;". ")&amp;IF(LEN(IF(LEN(INDEX('Checklist'!$E$4:$E$503,_calc!$E$16))=0,"",INDEX('Checklist'!$E$4:$E$503,_calc!$E$16)))=0,"","Owner: "&amp;IF(LEN(INDEX('Checklist'!$E$4:$E$503,_calc!$E$16))=0,"",INDEX('Checklist'!$E$4:$E$503,_calc!$E$16))&amp;". ")&amp;IF(LEN(IF(LEN(INDEX('Checklist'!$F$4:$F$503,_calc!$E$16))=0,"",INDEX('Checklist'!$F$4:$F$503,_calc!$E$16)))=0,"","Backup: "&amp;IF(LEN(INDEX('Checklist'!$F$4:$F$503,_calc!$E$16))=0,"",INDEX('Checklist'!$F$4:$F$503,_calc!$E$16))&amp;". ")&amp;IF(LEN(IF(LEN(INDEX('Checklist'!$J$4:$J$503,_calc!$E$16))=0,"",INDEX('Checklist'!$J$4:$J$503,_calc!$E$16)))=0,"","Evidence: "&amp;IF(LEN(INDEX('Checklist'!$J$4:$J$503,_calc!$E$16))=0,"",INDEX('Checklist'!$J$4:$J$503,_calc!$E$16))&amp;". ")&amp;IF(LEN(IF(LEN(INDEX('Checklist'!$D$4:$D$503,_calc!$E$16))=0,"",INDEX('Checklist'!$D$4:$D$503,_calc!$E$16)))=0,"","Rule example: "&amp;IF(LEN(INDEX('Checklist'!$D$4:$D$503,_calc!$E$16))=0,"",INDEX('Checklist'!$D$4:$D$503,_calc!$E$16))&amp;". ")&amp;IF(LEN(IF(LEN(INDEX('Checklist'!$P$4:$P$503,_calc!$E$16))=0,"",INDEX('Checklist'!$P$4:$P$503,_calc!$E$16)))=0,"",IF(LEN(INDEX('Checklist'!$P$4:$P$503,_calc!$E$16))=0,"",INDEX('Checklist'!$P$4:$P$503,_calc!$E$16)))))</f>
        <v/>
      </c>
      <c r="K14" s="44">
        <f>IF(_calc!$E$16="","",IF(LEN(INDEX('Checklist'!$G$4:$G$503,_calc!$E$16))=0,"",INDEX('Checklist'!$G$4:$G$503,_calc!$E$16)))</f>
        <v/>
      </c>
    </row>
    <row r="15">
      <c r="A15" s="44">
        <f>IF(_calc!$E$17="","","Survey check – "&amp;IF(LEN(INDEX('Checklist'!$C$4:$C$503,_calc!$E$17))=0,"",INDEX('Checklist'!$C$4:$C$503,_calc!$E$17)))</f>
        <v/>
      </c>
      <c r="B15" s="44">
        <f>IF(_calc!$E$17="","",IF(ISNUMBER(INDEX('Checklist'!$L$4:$L$503,_calc!$E$17)),TEXT(INDEX('Checklist'!$L$4:$L$503,_calc!$E$17),"yyyy-mm-dd"),""))</f>
        <v/>
      </c>
      <c r="C15" s="44">
        <f>IF(_calc!$E$17="","","Survey readiness")</f>
        <v/>
      </c>
      <c r="D15" s="44">
        <f>IF(_calc!$E$17="","",IF(ISNUMBER(INDEX('Checklist'!$H$4:$H$503,_calc!$E$17)),TEXT(INDEX('Checklist'!$H$4:$H$503,_calc!$E$17),"yyyy-mm-dd"),""))</f>
        <v/>
      </c>
      <c r="F15" s="44">
        <f>IF(_calc!$E$17="","",TRIM(IF(LEN(IF(LEN(INDEX('Checklist'!$A$4:$A$503,_calc!$E$17))=0,"",INDEX('Checklist'!$A$4:$A$503,_calc!$E$17)))=0,"","Group: "&amp;IF(LEN(INDEX('Checklist'!$A$4:$A$503,_calc!$E$17))=0,"",INDEX('Checklist'!$A$4:$A$503,_calc!$E$17))&amp;". ")&amp;IF(LEN(IF(LEN(INDEX('Checklist'!$E$4:$E$503,_calc!$E$17))=0,"",INDEX('Checklist'!$E$4:$E$503,_calc!$E$17)))=0,"","Owner: "&amp;IF(LEN(INDEX('Checklist'!$E$4:$E$503,_calc!$E$17))=0,"",INDEX('Checklist'!$E$4:$E$503,_calc!$E$17))&amp;". ")&amp;IF(LEN(IF(LEN(INDEX('Checklist'!$F$4:$F$503,_calc!$E$17))=0,"",INDEX('Checklist'!$F$4:$F$503,_calc!$E$17)))=0,"","Backup: "&amp;IF(LEN(INDEX('Checklist'!$F$4:$F$503,_calc!$E$17))=0,"",INDEX('Checklist'!$F$4:$F$503,_calc!$E$17))&amp;". ")&amp;IF(LEN(IF(LEN(INDEX('Checklist'!$J$4:$J$503,_calc!$E$17))=0,"",INDEX('Checklist'!$J$4:$J$503,_calc!$E$17)))=0,"","Evidence: "&amp;IF(LEN(INDEX('Checklist'!$J$4:$J$503,_calc!$E$17))=0,"",INDEX('Checklist'!$J$4:$J$503,_calc!$E$17))&amp;". ")&amp;IF(LEN(IF(LEN(INDEX('Checklist'!$D$4:$D$503,_calc!$E$17))=0,"",INDEX('Checklist'!$D$4:$D$503,_calc!$E$17)))=0,"","Rule example: "&amp;IF(LEN(INDEX('Checklist'!$D$4:$D$503,_calc!$E$17))=0,"",INDEX('Checklist'!$D$4:$D$503,_calc!$E$17))&amp;". ")&amp;IF(LEN(IF(LEN(INDEX('Checklist'!$P$4:$P$503,_calc!$E$17))=0,"",INDEX('Checklist'!$P$4:$P$503,_calc!$E$17)))=0,"",IF(LEN(INDEX('Checklist'!$P$4:$P$503,_calc!$E$17))=0,"",INDEX('Checklist'!$P$4:$P$503,_calc!$E$17)))))</f>
        <v/>
      </c>
      <c r="K15" s="44">
        <f>IF(_calc!$E$17="","",IF(LEN(INDEX('Checklist'!$G$4:$G$503,_calc!$E$17))=0,"",INDEX('Checklist'!$G$4:$G$503,_calc!$E$17)))</f>
        <v/>
      </c>
    </row>
    <row r="16">
      <c r="A16" s="44">
        <f>IF(_calc!$E$18="","","Survey check – "&amp;IF(LEN(INDEX('Checklist'!$C$4:$C$503,_calc!$E$18))=0,"",INDEX('Checklist'!$C$4:$C$503,_calc!$E$18)))</f>
        <v/>
      </c>
      <c r="B16" s="44">
        <f>IF(_calc!$E$18="","",IF(ISNUMBER(INDEX('Checklist'!$L$4:$L$503,_calc!$E$18)),TEXT(INDEX('Checklist'!$L$4:$L$503,_calc!$E$18),"yyyy-mm-dd"),""))</f>
        <v/>
      </c>
      <c r="C16" s="44">
        <f>IF(_calc!$E$18="","","Survey readiness")</f>
        <v/>
      </c>
      <c r="D16" s="44">
        <f>IF(_calc!$E$18="","",IF(ISNUMBER(INDEX('Checklist'!$H$4:$H$503,_calc!$E$18)),TEXT(INDEX('Checklist'!$H$4:$H$503,_calc!$E$18),"yyyy-mm-dd"),""))</f>
        <v/>
      </c>
      <c r="F16" s="44">
        <f>IF(_calc!$E$18="","",TRIM(IF(LEN(IF(LEN(INDEX('Checklist'!$A$4:$A$503,_calc!$E$18))=0,"",INDEX('Checklist'!$A$4:$A$503,_calc!$E$18)))=0,"","Group: "&amp;IF(LEN(INDEX('Checklist'!$A$4:$A$503,_calc!$E$18))=0,"",INDEX('Checklist'!$A$4:$A$503,_calc!$E$18))&amp;". ")&amp;IF(LEN(IF(LEN(INDEX('Checklist'!$E$4:$E$503,_calc!$E$18))=0,"",INDEX('Checklist'!$E$4:$E$503,_calc!$E$18)))=0,"","Owner: "&amp;IF(LEN(INDEX('Checklist'!$E$4:$E$503,_calc!$E$18))=0,"",INDEX('Checklist'!$E$4:$E$503,_calc!$E$18))&amp;". ")&amp;IF(LEN(IF(LEN(INDEX('Checklist'!$F$4:$F$503,_calc!$E$18))=0,"",INDEX('Checklist'!$F$4:$F$503,_calc!$E$18)))=0,"","Backup: "&amp;IF(LEN(INDEX('Checklist'!$F$4:$F$503,_calc!$E$18))=0,"",INDEX('Checklist'!$F$4:$F$503,_calc!$E$18))&amp;". ")&amp;IF(LEN(IF(LEN(INDEX('Checklist'!$J$4:$J$503,_calc!$E$18))=0,"",INDEX('Checklist'!$J$4:$J$503,_calc!$E$18)))=0,"","Evidence: "&amp;IF(LEN(INDEX('Checklist'!$J$4:$J$503,_calc!$E$18))=0,"",INDEX('Checklist'!$J$4:$J$503,_calc!$E$18))&amp;". ")&amp;IF(LEN(IF(LEN(INDEX('Checklist'!$D$4:$D$503,_calc!$E$18))=0,"",INDEX('Checklist'!$D$4:$D$503,_calc!$E$18)))=0,"","Rule example: "&amp;IF(LEN(INDEX('Checklist'!$D$4:$D$503,_calc!$E$18))=0,"",INDEX('Checklist'!$D$4:$D$503,_calc!$E$18))&amp;". ")&amp;IF(LEN(IF(LEN(INDEX('Checklist'!$P$4:$P$503,_calc!$E$18))=0,"",INDEX('Checklist'!$P$4:$P$503,_calc!$E$18)))=0,"",IF(LEN(INDEX('Checklist'!$P$4:$P$503,_calc!$E$18))=0,"",INDEX('Checklist'!$P$4:$P$503,_calc!$E$18)))))</f>
        <v/>
      </c>
      <c r="K16" s="44">
        <f>IF(_calc!$E$18="","",IF(LEN(INDEX('Checklist'!$G$4:$G$503,_calc!$E$18))=0,"",INDEX('Checklist'!$G$4:$G$503,_calc!$E$18)))</f>
        <v/>
      </c>
    </row>
    <row r="17">
      <c r="A17" s="44">
        <f>IF(_calc!$E$19="","","Survey check – "&amp;IF(LEN(INDEX('Checklist'!$C$4:$C$503,_calc!$E$19))=0,"",INDEX('Checklist'!$C$4:$C$503,_calc!$E$19)))</f>
        <v/>
      </c>
      <c r="B17" s="44">
        <f>IF(_calc!$E$19="","",IF(ISNUMBER(INDEX('Checklist'!$L$4:$L$503,_calc!$E$19)),TEXT(INDEX('Checklist'!$L$4:$L$503,_calc!$E$19),"yyyy-mm-dd"),""))</f>
        <v/>
      </c>
      <c r="C17" s="44">
        <f>IF(_calc!$E$19="","","Survey readiness")</f>
        <v/>
      </c>
      <c r="D17" s="44">
        <f>IF(_calc!$E$19="","",IF(ISNUMBER(INDEX('Checklist'!$H$4:$H$503,_calc!$E$19)),TEXT(INDEX('Checklist'!$H$4:$H$503,_calc!$E$19),"yyyy-mm-dd"),""))</f>
        <v/>
      </c>
      <c r="F17" s="44">
        <f>IF(_calc!$E$19="","",TRIM(IF(LEN(IF(LEN(INDEX('Checklist'!$A$4:$A$503,_calc!$E$19))=0,"",INDEX('Checklist'!$A$4:$A$503,_calc!$E$19)))=0,"","Group: "&amp;IF(LEN(INDEX('Checklist'!$A$4:$A$503,_calc!$E$19))=0,"",INDEX('Checklist'!$A$4:$A$503,_calc!$E$19))&amp;". ")&amp;IF(LEN(IF(LEN(INDEX('Checklist'!$E$4:$E$503,_calc!$E$19))=0,"",INDEX('Checklist'!$E$4:$E$503,_calc!$E$19)))=0,"","Owner: "&amp;IF(LEN(INDEX('Checklist'!$E$4:$E$503,_calc!$E$19))=0,"",INDEX('Checklist'!$E$4:$E$503,_calc!$E$19))&amp;". ")&amp;IF(LEN(IF(LEN(INDEX('Checklist'!$F$4:$F$503,_calc!$E$19))=0,"",INDEX('Checklist'!$F$4:$F$503,_calc!$E$19)))=0,"","Backup: "&amp;IF(LEN(INDEX('Checklist'!$F$4:$F$503,_calc!$E$19))=0,"",INDEX('Checklist'!$F$4:$F$503,_calc!$E$19))&amp;". ")&amp;IF(LEN(IF(LEN(INDEX('Checklist'!$J$4:$J$503,_calc!$E$19))=0,"",INDEX('Checklist'!$J$4:$J$503,_calc!$E$19)))=0,"","Evidence: "&amp;IF(LEN(INDEX('Checklist'!$J$4:$J$503,_calc!$E$19))=0,"",INDEX('Checklist'!$J$4:$J$503,_calc!$E$19))&amp;". ")&amp;IF(LEN(IF(LEN(INDEX('Checklist'!$D$4:$D$503,_calc!$E$19))=0,"",INDEX('Checklist'!$D$4:$D$503,_calc!$E$19)))=0,"","Rule example: "&amp;IF(LEN(INDEX('Checklist'!$D$4:$D$503,_calc!$E$19))=0,"",INDEX('Checklist'!$D$4:$D$503,_calc!$E$19))&amp;". ")&amp;IF(LEN(IF(LEN(INDEX('Checklist'!$P$4:$P$503,_calc!$E$19))=0,"",INDEX('Checklist'!$P$4:$P$503,_calc!$E$19)))=0,"",IF(LEN(INDEX('Checklist'!$P$4:$P$503,_calc!$E$19))=0,"",INDEX('Checklist'!$P$4:$P$503,_calc!$E$19)))))</f>
        <v/>
      </c>
      <c r="K17" s="44">
        <f>IF(_calc!$E$19="","",IF(LEN(INDEX('Checklist'!$G$4:$G$503,_calc!$E$19))=0,"",INDEX('Checklist'!$G$4:$G$503,_calc!$E$19)))</f>
        <v/>
      </c>
    </row>
    <row r="18">
      <c r="A18" s="44">
        <f>IF(_calc!$E$20="","","Survey check – "&amp;IF(LEN(INDEX('Checklist'!$C$4:$C$503,_calc!$E$20))=0,"",INDEX('Checklist'!$C$4:$C$503,_calc!$E$20)))</f>
        <v/>
      </c>
      <c r="B18" s="44">
        <f>IF(_calc!$E$20="","",IF(ISNUMBER(INDEX('Checklist'!$L$4:$L$503,_calc!$E$20)),TEXT(INDEX('Checklist'!$L$4:$L$503,_calc!$E$20),"yyyy-mm-dd"),""))</f>
        <v/>
      </c>
      <c r="C18" s="44">
        <f>IF(_calc!$E$20="","","Survey readiness")</f>
        <v/>
      </c>
      <c r="D18" s="44">
        <f>IF(_calc!$E$20="","",IF(ISNUMBER(INDEX('Checklist'!$H$4:$H$503,_calc!$E$20)),TEXT(INDEX('Checklist'!$H$4:$H$503,_calc!$E$20),"yyyy-mm-dd"),""))</f>
        <v/>
      </c>
      <c r="F18" s="44">
        <f>IF(_calc!$E$20="","",TRIM(IF(LEN(IF(LEN(INDEX('Checklist'!$A$4:$A$503,_calc!$E$20))=0,"",INDEX('Checklist'!$A$4:$A$503,_calc!$E$20)))=0,"","Group: "&amp;IF(LEN(INDEX('Checklist'!$A$4:$A$503,_calc!$E$20))=0,"",INDEX('Checklist'!$A$4:$A$503,_calc!$E$20))&amp;". ")&amp;IF(LEN(IF(LEN(INDEX('Checklist'!$E$4:$E$503,_calc!$E$20))=0,"",INDEX('Checklist'!$E$4:$E$503,_calc!$E$20)))=0,"","Owner: "&amp;IF(LEN(INDEX('Checklist'!$E$4:$E$503,_calc!$E$20))=0,"",INDEX('Checklist'!$E$4:$E$503,_calc!$E$20))&amp;". ")&amp;IF(LEN(IF(LEN(INDEX('Checklist'!$F$4:$F$503,_calc!$E$20))=0,"",INDEX('Checklist'!$F$4:$F$503,_calc!$E$20)))=0,"","Backup: "&amp;IF(LEN(INDEX('Checklist'!$F$4:$F$503,_calc!$E$20))=0,"",INDEX('Checklist'!$F$4:$F$503,_calc!$E$20))&amp;". ")&amp;IF(LEN(IF(LEN(INDEX('Checklist'!$J$4:$J$503,_calc!$E$20))=0,"",INDEX('Checklist'!$J$4:$J$503,_calc!$E$20)))=0,"","Evidence: "&amp;IF(LEN(INDEX('Checklist'!$J$4:$J$503,_calc!$E$20))=0,"",INDEX('Checklist'!$J$4:$J$503,_calc!$E$20))&amp;". ")&amp;IF(LEN(IF(LEN(INDEX('Checklist'!$D$4:$D$503,_calc!$E$20))=0,"",INDEX('Checklist'!$D$4:$D$503,_calc!$E$20)))=0,"","Rule example: "&amp;IF(LEN(INDEX('Checklist'!$D$4:$D$503,_calc!$E$20))=0,"",INDEX('Checklist'!$D$4:$D$503,_calc!$E$20))&amp;". ")&amp;IF(LEN(IF(LEN(INDEX('Checklist'!$P$4:$P$503,_calc!$E$20))=0,"",INDEX('Checklist'!$P$4:$P$503,_calc!$E$20)))=0,"",IF(LEN(INDEX('Checklist'!$P$4:$P$503,_calc!$E$20))=0,"",INDEX('Checklist'!$P$4:$P$503,_calc!$E$20)))))</f>
        <v/>
      </c>
      <c r="K18" s="44">
        <f>IF(_calc!$E$20="","",IF(LEN(INDEX('Checklist'!$G$4:$G$503,_calc!$E$20))=0,"",INDEX('Checklist'!$G$4:$G$503,_calc!$E$20)))</f>
        <v/>
      </c>
    </row>
    <row r="19">
      <c r="A19" s="44">
        <f>IF(_calc!$E$21="","","Survey check – "&amp;IF(LEN(INDEX('Checklist'!$C$4:$C$503,_calc!$E$21))=0,"",INDEX('Checklist'!$C$4:$C$503,_calc!$E$21)))</f>
        <v/>
      </c>
      <c r="B19" s="44">
        <f>IF(_calc!$E$21="","",IF(ISNUMBER(INDEX('Checklist'!$L$4:$L$503,_calc!$E$21)),TEXT(INDEX('Checklist'!$L$4:$L$503,_calc!$E$21),"yyyy-mm-dd"),""))</f>
        <v/>
      </c>
      <c r="C19" s="44">
        <f>IF(_calc!$E$21="","","Survey readiness")</f>
        <v/>
      </c>
      <c r="D19" s="44">
        <f>IF(_calc!$E$21="","",IF(ISNUMBER(INDEX('Checklist'!$H$4:$H$503,_calc!$E$21)),TEXT(INDEX('Checklist'!$H$4:$H$503,_calc!$E$21),"yyyy-mm-dd"),""))</f>
        <v/>
      </c>
      <c r="F19" s="44">
        <f>IF(_calc!$E$21="","",TRIM(IF(LEN(IF(LEN(INDEX('Checklist'!$A$4:$A$503,_calc!$E$21))=0,"",INDEX('Checklist'!$A$4:$A$503,_calc!$E$21)))=0,"","Group: "&amp;IF(LEN(INDEX('Checklist'!$A$4:$A$503,_calc!$E$21))=0,"",INDEX('Checklist'!$A$4:$A$503,_calc!$E$21))&amp;". ")&amp;IF(LEN(IF(LEN(INDEX('Checklist'!$E$4:$E$503,_calc!$E$21))=0,"",INDEX('Checklist'!$E$4:$E$503,_calc!$E$21)))=0,"","Owner: "&amp;IF(LEN(INDEX('Checklist'!$E$4:$E$503,_calc!$E$21))=0,"",INDEX('Checklist'!$E$4:$E$503,_calc!$E$21))&amp;". ")&amp;IF(LEN(IF(LEN(INDEX('Checklist'!$F$4:$F$503,_calc!$E$21))=0,"",INDEX('Checklist'!$F$4:$F$503,_calc!$E$21)))=0,"","Backup: "&amp;IF(LEN(INDEX('Checklist'!$F$4:$F$503,_calc!$E$21))=0,"",INDEX('Checklist'!$F$4:$F$503,_calc!$E$21))&amp;". ")&amp;IF(LEN(IF(LEN(INDEX('Checklist'!$J$4:$J$503,_calc!$E$21))=0,"",INDEX('Checklist'!$J$4:$J$503,_calc!$E$21)))=0,"","Evidence: "&amp;IF(LEN(INDEX('Checklist'!$J$4:$J$503,_calc!$E$21))=0,"",INDEX('Checklist'!$J$4:$J$503,_calc!$E$21))&amp;". ")&amp;IF(LEN(IF(LEN(INDEX('Checklist'!$D$4:$D$503,_calc!$E$21))=0,"",INDEX('Checklist'!$D$4:$D$503,_calc!$E$21)))=0,"","Rule example: "&amp;IF(LEN(INDEX('Checklist'!$D$4:$D$503,_calc!$E$21))=0,"",INDEX('Checklist'!$D$4:$D$503,_calc!$E$21))&amp;". ")&amp;IF(LEN(IF(LEN(INDEX('Checklist'!$P$4:$P$503,_calc!$E$21))=0,"",INDEX('Checklist'!$P$4:$P$503,_calc!$E$21)))=0,"",IF(LEN(INDEX('Checklist'!$P$4:$P$503,_calc!$E$21))=0,"",INDEX('Checklist'!$P$4:$P$503,_calc!$E$21)))))</f>
        <v/>
      </c>
      <c r="K19" s="44">
        <f>IF(_calc!$E$21="","",IF(LEN(INDEX('Checklist'!$G$4:$G$503,_calc!$E$21))=0,"",INDEX('Checklist'!$G$4:$G$503,_calc!$E$21)))</f>
        <v/>
      </c>
    </row>
    <row r="20">
      <c r="A20" s="44">
        <f>IF(_calc!$E$22="","","Survey check – "&amp;IF(LEN(INDEX('Checklist'!$C$4:$C$503,_calc!$E$22))=0,"",INDEX('Checklist'!$C$4:$C$503,_calc!$E$22)))</f>
        <v/>
      </c>
      <c r="B20" s="44">
        <f>IF(_calc!$E$22="","",IF(ISNUMBER(INDEX('Checklist'!$L$4:$L$503,_calc!$E$22)),TEXT(INDEX('Checklist'!$L$4:$L$503,_calc!$E$22),"yyyy-mm-dd"),""))</f>
        <v/>
      </c>
      <c r="C20" s="44">
        <f>IF(_calc!$E$22="","","Survey readiness")</f>
        <v/>
      </c>
      <c r="D20" s="44">
        <f>IF(_calc!$E$22="","",IF(ISNUMBER(INDEX('Checklist'!$H$4:$H$503,_calc!$E$22)),TEXT(INDEX('Checklist'!$H$4:$H$503,_calc!$E$22),"yyyy-mm-dd"),""))</f>
        <v/>
      </c>
      <c r="F20" s="44">
        <f>IF(_calc!$E$22="","",TRIM(IF(LEN(IF(LEN(INDEX('Checklist'!$A$4:$A$503,_calc!$E$22))=0,"",INDEX('Checklist'!$A$4:$A$503,_calc!$E$22)))=0,"","Group: "&amp;IF(LEN(INDEX('Checklist'!$A$4:$A$503,_calc!$E$22))=0,"",INDEX('Checklist'!$A$4:$A$503,_calc!$E$22))&amp;". ")&amp;IF(LEN(IF(LEN(INDEX('Checklist'!$E$4:$E$503,_calc!$E$22))=0,"",INDEX('Checklist'!$E$4:$E$503,_calc!$E$22)))=0,"","Owner: "&amp;IF(LEN(INDEX('Checklist'!$E$4:$E$503,_calc!$E$22))=0,"",INDEX('Checklist'!$E$4:$E$503,_calc!$E$22))&amp;". ")&amp;IF(LEN(IF(LEN(INDEX('Checklist'!$F$4:$F$503,_calc!$E$22))=0,"",INDEX('Checklist'!$F$4:$F$503,_calc!$E$22)))=0,"","Backup: "&amp;IF(LEN(INDEX('Checklist'!$F$4:$F$503,_calc!$E$22))=0,"",INDEX('Checklist'!$F$4:$F$503,_calc!$E$22))&amp;". ")&amp;IF(LEN(IF(LEN(INDEX('Checklist'!$J$4:$J$503,_calc!$E$22))=0,"",INDEX('Checklist'!$J$4:$J$503,_calc!$E$22)))=0,"","Evidence: "&amp;IF(LEN(INDEX('Checklist'!$J$4:$J$503,_calc!$E$22))=0,"",INDEX('Checklist'!$J$4:$J$503,_calc!$E$22))&amp;". ")&amp;IF(LEN(IF(LEN(INDEX('Checklist'!$D$4:$D$503,_calc!$E$22))=0,"",INDEX('Checklist'!$D$4:$D$503,_calc!$E$22)))=0,"","Rule example: "&amp;IF(LEN(INDEX('Checklist'!$D$4:$D$503,_calc!$E$22))=0,"",INDEX('Checklist'!$D$4:$D$503,_calc!$E$22))&amp;". ")&amp;IF(LEN(IF(LEN(INDEX('Checklist'!$P$4:$P$503,_calc!$E$22))=0,"",INDEX('Checklist'!$P$4:$P$503,_calc!$E$22)))=0,"",IF(LEN(INDEX('Checklist'!$P$4:$P$503,_calc!$E$22))=0,"",INDEX('Checklist'!$P$4:$P$503,_calc!$E$22)))))</f>
        <v/>
      </c>
      <c r="K20" s="44">
        <f>IF(_calc!$E$22="","",IF(LEN(INDEX('Checklist'!$G$4:$G$503,_calc!$E$22))=0,"",INDEX('Checklist'!$G$4:$G$503,_calc!$E$22)))</f>
        <v/>
      </c>
    </row>
    <row r="21">
      <c r="A21" s="44">
        <f>IF(_calc!$E$23="","","Survey check – "&amp;IF(LEN(INDEX('Checklist'!$C$4:$C$503,_calc!$E$23))=0,"",INDEX('Checklist'!$C$4:$C$503,_calc!$E$23)))</f>
        <v/>
      </c>
      <c r="B21" s="44">
        <f>IF(_calc!$E$23="","",IF(ISNUMBER(INDEX('Checklist'!$L$4:$L$503,_calc!$E$23)),TEXT(INDEX('Checklist'!$L$4:$L$503,_calc!$E$23),"yyyy-mm-dd"),""))</f>
        <v/>
      </c>
      <c r="C21" s="44">
        <f>IF(_calc!$E$23="","","Survey readiness")</f>
        <v/>
      </c>
      <c r="D21" s="44">
        <f>IF(_calc!$E$23="","",IF(ISNUMBER(INDEX('Checklist'!$H$4:$H$503,_calc!$E$23)),TEXT(INDEX('Checklist'!$H$4:$H$503,_calc!$E$23),"yyyy-mm-dd"),""))</f>
        <v/>
      </c>
      <c r="F21" s="44">
        <f>IF(_calc!$E$23="","",TRIM(IF(LEN(IF(LEN(INDEX('Checklist'!$A$4:$A$503,_calc!$E$23))=0,"",INDEX('Checklist'!$A$4:$A$503,_calc!$E$23)))=0,"","Group: "&amp;IF(LEN(INDEX('Checklist'!$A$4:$A$503,_calc!$E$23))=0,"",INDEX('Checklist'!$A$4:$A$503,_calc!$E$23))&amp;". ")&amp;IF(LEN(IF(LEN(INDEX('Checklist'!$E$4:$E$503,_calc!$E$23))=0,"",INDEX('Checklist'!$E$4:$E$503,_calc!$E$23)))=0,"","Owner: "&amp;IF(LEN(INDEX('Checklist'!$E$4:$E$503,_calc!$E$23))=0,"",INDEX('Checklist'!$E$4:$E$503,_calc!$E$23))&amp;". ")&amp;IF(LEN(IF(LEN(INDEX('Checklist'!$F$4:$F$503,_calc!$E$23))=0,"",INDEX('Checklist'!$F$4:$F$503,_calc!$E$23)))=0,"","Backup: "&amp;IF(LEN(INDEX('Checklist'!$F$4:$F$503,_calc!$E$23))=0,"",INDEX('Checklist'!$F$4:$F$503,_calc!$E$23))&amp;". ")&amp;IF(LEN(IF(LEN(INDEX('Checklist'!$J$4:$J$503,_calc!$E$23))=0,"",INDEX('Checklist'!$J$4:$J$503,_calc!$E$23)))=0,"","Evidence: "&amp;IF(LEN(INDEX('Checklist'!$J$4:$J$503,_calc!$E$23))=0,"",INDEX('Checklist'!$J$4:$J$503,_calc!$E$23))&amp;". ")&amp;IF(LEN(IF(LEN(INDEX('Checklist'!$D$4:$D$503,_calc!$E$23))=0,"",INDEX('Checklist'!$D$4:$D$503,_calc!$E$23)))=0,"","Rule example: "&amp;IF(LEN(INDEX('Checklist'!$D$4:$D$503,_calc!$E$23))=0,"",INDEX('Checklist'!$D$4:$D$503,_calc!$E$23))&amp;". ")&amp;IF(LEN(IF(LEN(INDEX('Checklist'!$P$4:$P$503,_calc!$E$23))=0,"",INDEX('Checklist'!$P$4:$P$503,_calc!$E$23)))=0,"",IF(LEN(INDEX('Checklist'!$P$4:$P$503,_calc!$E$23))=0,"",INDEX('Checklist'!$P$4:$P$503,_calc!$E$23)))))</f>
        <v/>
      </c>
      <c r="K21" s="44">
        <f>IF(_calc!$E$23="","",IF(LEN(INDEX('Checklist'!$G$4:$G$503,_calc!$E$23))=0,"",INDEX('Checklist'!$G$4:$G$503,_calc!$E$23)))</f>
        <v/>
      </c>
    </row>
    <row r="22">
      <c r="A22" s="44">
        <f>IF(_calc!$E$24="","","Survey check – "&amp;IF(LEN(INDEX('Checklist'!$C$4:$C$503,_calc!$E$24))=0,"",INDEX('Checklist'!$C$4:$C$503,_calc!$E$24)))</f>
        <v/>
      </c>
      <c r="B22" s="44">
        <f>IF(_calc!$E$24="","",IF(ISNUMBER(INDEX('Checklist'!$L$4:$L$503,_calc!$E$24)),TEXT(INDEX('Checklist'!$L$4:$L$503,_calc!$E$24),"yyyy-mm-dd"),""))</f>
        <v/>
      </c>
      <c r="C22" s="44">
        <f>IF(_calc!$E$24="","","Survey readiness")</f>
        <v/>
      </c>
      <c r="D22" s="44">
        <f>IF(_calc!$E$24="","",IF(ISNUMBER(INDEX('Checklist'!$H$4:$H$503,_calc!$E$24)),TEXT(INDEX('Checklist'!$H$4:$H$503,_calc!$E$24),"yyyy-mm-dd"),""))</f>
        <v/>
      </c>
      <c r="F22" s="44">
        <f>IF(_calc!$E$24="","",TRIM(IF(LEN(IF(LEN(INDEX('Checklist'!$A$4:$A$503,_calc!$E$24))=0,"",INDEX('Checklist'!$A$4:$A$503,_calc!$E$24)))=0,"","Group: "&amp;IF(LEN(INDEX('Checklist'!$A$4:$A$503,_calc!$E$24))=0,"",INDEX('Checklist'!$A$4:$A$503,_calc!$E$24))&amp;". ")&amp;IF(LEN(IF(LEN(INDEX('Checklist'!$E$4:$E$503,_calc!$E$24))=0,"",INDEX('Checklist'!$E$4:$E$503,_calc!$E$24)))=0,"","Owner: "&amp;IF(LEN(INDEX('Checklist'!$E$4:$E$503,_calc!$E$24))=0,"",INDEX('Checklist'!$E$4:$E$503,_calc!$E$24))&amp;". ")&amp;IF(LEN(IF(LEN(INDEX('Checklist'!$F$4:$F$503,_calc!$E$24))=0,"",INDEX('Checklist'!$F$4:$F$503,_calc!$E$24)))=0,"","Backup: "&amp;IF(LEN(INDEX('Checklist'!$F$4:$F$503,_calc!$E$24))=0,"",INDEX('Checklist'!$F$4:$F$503,_calc!$E$24))&amp;". ")&amp;IF(LEN(IF(LEN(INDEX('Checklist'!$J$4:$J$503,_calc!$E$24))=0,"",INDEX('Checklist'!$J$4:$J$503,_calc!$E$24)))=0,"","Evidence: "&amp;IF(LEN(INDEX('Checklist'!$J$4:$J$503,_calc!$E$24))=0,"",INDEX('Checklist'!$J$4:$J$503,_calc!$E$24))&amp;". ")&amp;IF(LEN(IF(LEN(INDEX('Checklist'!$D$4:$D$503,_calc!$E$24))=0,"",INDEX('Checklist'!$D$4:$D$503,_calc!$E$24)))=0,"","Rule example: "&amp;IF(LEN(INDEX('Checklist'!$D$4:$D$503,_calc!$E$24))=0,"",INDEX('Checklist'!$D$4:$D$503,_calc!$E$24))&amp;". ")&amp;IF(LEN(IF(LEN(INDEX('Checklist'!$P$4:$P$503,_calc!$E$24))=0,"",INDEX('Checklist'!$P$4:$P$503,_calc!$E$24)))=0,"",IF(LEN(INDEX('Checklist'!$P$4:$P$503,_calc!$E$24))=0,"",INDEX('Checklist'!$P$4:$P$503,_calc!$E$24)))))</f>
        <v/>
      </c>
      <c r="K22" s="44">
        <f>IF(_calc!$E$24="","",IF(LEN(INDEX('Checklist'!$G$4:$G$503,_calc!$E$24))=0,"",INDEX('Checklist'!$G$4:$G$503,_calc!$E$24)))</f>
        <v/>
      </c>
    </row>
    <row r="23">
      <c r="A23" s="44">
        <f>IF(_calc!$E$25="","","Survey check – "&amp;IF(LEN(INDEX('Checklist'!$C$4:$C$503,_calc!$E$25))=0,"",INDEX('Checklist'!$C$4:$C$503,_calc!$E$25)))</f>
        <v/>
      </c>
      <c r="B23" s="44">
        <f>IF(_calc!$E$25="","",IF(ISNUMBER(INDEX('Checklist'!$L$4:$L$503,_calc!$E$25)),TEXT(INDEX('Checklist'!$L$4:$L$503,_calc!$E$25),"yyyy-mm-dd"),""))</f>
        <v/>
      </c>
      <c r="C23" s="44">
        <f>IF(_calc!$E$25="","","Survey readiness")</f>
        <v/>
      </c>
      <c r="D23" s="44">
        <f>IF(_calc!$E$25="","",IF(ISNUMBER(INDEX('Checklist'!$H$4:$H$503,_calc!$E$25)),TEXT(INDEX('Checklist'!$H$4:$H$503,_calc!$E$25),"yyyy-mm-dd"),""))</f>
        <v/>
      </c>
      <c r="F23" s="44">
        <f>IF(_calc!$E$25="","",TRIM(IF(LEN(IF(LEN(INDEX('Checklist'!$A$4:$A$503,_calc!$E$25))=0,"",INDEX('Checklist'!$A$4:$A$503,_calc!$E$25)))=0,"","Group: "&amp;IF(LEN(INDEX('Checklist'!$A$4:$A$503,_calc!$E$25))=0,"",INDEX('Checklist'!$A$4:$A$503,_calc!$E$25))&amp;". ")&amp;IF(LEN(IF(LEN(INDEX('Checklist'!$E$4:$E$503,_calc!$E$25))=0,"",INDEX('Checklist'!$E$4:$E$503,_calc!$E$25)))=0,"","Owner: "&amp;IF(LEN(INDEX('Checklist'!$E$4:$E$503,_calc!$E$25))=0,"",INDEX('Checklist'!$E$4:$E$503,_calc!$E$25))&amp;". ")&amp;IF(LEN(IF(LEN(INDEX('Checklist'!$F$4:$F$503,_calc!$E$25))=0,"",INDEX('Checklist'!$F$4:$F$503,_calc!$E$25)))=0,"","Backup: "&amp;IF(LEN(INDEX('Checklist'!$F$4:$F$503,_calc!$E$25))=0,"",INDEX('Checklist'!$F$4:$F$503,_calc!$E$25))&amp;". ")&amp;IF(LEN(IF(LEN(INDEX('Checklist'!$J$4:$J$503,_calc!$E$25))=0,"",INDEX('Checklist'!$J$4:$J$503,_calc!$E$25)))=0,"","Evidence: "&amp;IF(LEN(INDEX('Checklist'!$J$4:$J$503,_calc!$E$25))=0,"",INDEX('Checklist'!$J$4:$J$503,_calc!$E$25))&amp;". ")&amp;IF(LEN(IF(LEN(INDEX('Checklist'!$D$4:$D$503,_calc!$E$25))=0,"",INDEX('Checklist'!$D$4:$D$503,_calc!$E$25)))=0,"","Rule example: "&amp;IF(LEN(INDEX('Checklist'!$D$4:$D$503,_calc!$E$25))=0,"",INDEX('Checklist'!$D$4:$D$503,_calc!$E$25))&amp;". ")&amp;IF(LEN(IF(LEN(INDEX('Checklist'!$P$4:$P$503,_calc!$E$25))=0,"",INDEX('Checklist'!$P$4:$P$503,_calc!$E$25)))=0,"",IF(LEN(INDEX('Checklist'!$P$4:$P$503,_calc!$E$25))=0,"",INDEX('Checklist'!$P$4:$P$503,_calc!$E$25)))))</f>
        <v/>
      </c>
      <c r="K23" s="44">
        <f>IF(_calc!$E$25="","",IF(LEN(INDEX('Checklist'!$G$4:$G$503,_calc!$E$25))=0,"",INDEX('Checklist'!$G$4:$G$503,_calc!$E$25)))</f>
        <v/>
      </c>
    </row>
    <row r="24">
      <c r="A24" s="44">
        <f>IF(_calc!$E$26="","","Survey check – "&amp;IF(LEN(INDEX('Checklist'!$C$4:$C$503,_calc!$E$26))=0,"",INDEX('Checklist'!$C$4:$C$503,_calc!$E$26)))</f>
        <v/>
      </c>
      <c r="B24" s="44">
        <f>IF(_calc!$E$26="","",IF(ISNUMBER(INDEX('Checklist'!$L$4:$L$503,_calc!$E$26)),TEXT(INDEX('Checklist'!$L$4:$L$503,_calc!$E$26),"yyyy-mm-dd"),""))</f>
        <v/>
      </c>
      <c r="C24" s="44">
        <f>IF(_calc!$E$26="","","Survey readiness")</f>
        <v/>
      </c>
      <c r="D24" s="44">
        <f>IF(_calc!$E$26="","",IF(ISNUMBER(INDEX('Checklist'!$H$4:$H$503,_calc!$E$26)),TEXT(INDEX('Checklist'!$H$4:$H$503,_calc!$E$26),"yyyy-mm-dd"),""))</f>
        <v/>
      </c>
      <c r="F24" s="44">
        <f>IF(_calc!$E$26="","",TRIM(IF(LEN(IF(LEN(INDEX('Checklist'!$A$4:$A$503,_calc!$E$26))=0,"",INDEX('Checklist'!$A$4:$A$503,_calc!$E$26)))=0,"","Group: "&amp;IF(LEN(INDEX('Checklist'!$A$4:$A$503,_calc!$E$26))=0,"",INDEX('Checklist'!$A$4:$A$503,_calc!$E$26))&amp;". ")&amp;IF(LEN(IF(LEN(INDEX('Checklist'!$E$4:$E$503,_calc!$E$26))=0,"",INDEX('Checklist'!$E$4:$E$503,_calc!$E$26)))=0,"","Owner: "&amp;IF(LEN(INDEX('Checklist'!$E$4:$E$503,_calc!$E$26))=0,"",INDEX('Checklist'!$E$4:$E$503,_calc!$E$26))&amp;". ")&amp;IF(LEN(IF(LEN(INDEX('Checklist'!$F$4:$F$503,_calc!$E$26))=0,"",INDEX('Checklist'!$F$4:$F$503,_calc!$E$26)))=0,"","Backup: "&amp;IF(LEN(INDEX('Checklist'!$F$4:$F$503,_calc!$E$26))=0,"",INDEX('Checklist'!$F$4:$F$503,_calc!$E$26))&amp;". ")&amp;IF(LEN(IF(LEN(INDEX('Checklist'!$J$4:$J$503,_calc!$E$26))=0,"",INDEX('Checklist'!$J$4:$J$503,_calc!$E$26)))=0,"","Evidence: "&amp;IF(LEN(INDEX('Checklist'!$J$4:$J$503,_calc!$E$26))=0,"",INDEX('Checklist'!$J$4:$J$503,_calc!$E$26))&amp;". ")&amp;IF(LEN(IF(LEN(INDEX('Checklist'!$D$4:$D$503,_calc!$E$26))=0,"",INDEX('Checklist'!$D$4:$D$503,_calc!$E$26)))=0,"","Rule example: "&amp;IF(LEN(INDEX('Checklist'!$D$4:$D$503,_calc!$E$26))=0,"",INDEX('Checklist'!$D$4:$D$503,_calc!$E$26))&amp;". ")&amp;IF(LEN(IF(LEN(INDEX('Checklist'!$P$4:$P$503,_calc!$E$26))=0,"",INDEX('Checklist'!$P$4:$P$503,_calc!$E$26)))=0,"",IF(LEN(INDEX('Checklist'!$P$4:$P$503,_calc!$E$26))=0,"",INDEX('Checklist'!$P$4:$P$503,_calc!$E$26)))))</f>
        <v/>
      </c>
      <c r="K24" s="44">
        <f>IF(_calc!$E$26="","",IF(LEN(INDEX('Checklist'!$G$4:$G$503,_calc!$E$26))=0,"",INDEX('Checklist'!$G$4:$G$503,_calc!$E$26)))</f>
        <v/>
      </c>
    </row>
    <row r="25">
      <c r="A25" s="44">
        <f>IF(_calc!$E$27="","","Survey check – "&amp;IF(LEN(INDEX('Checklist'!$C$4:$C$503,_calc!$E$27))=0,"",INDEX('Checklist'!$C$4:$C$503,_calc!$E$27)))</f>
        <v/>
      </c>
      <c r="B25" s="44">
        <f>IF(_calc!$E$27="","",IF(ISNUMBER(INDEX('Checklist'!$L$4:$L$503,_calc!$E$27)),TEXT(INDEX('Checklist'!$L$4:$L$503,_calc!$E$27),"yyyy-mm-dd"),""))</f>
        <v/>
      </c>
      <c r="C25" s="44">
        <f>IF(_calc!$E$27="","","Survey readiness")</f>
        <v/>
      </c>
      <c r="D25" s="44">
        <f>IF(_calc!$E$27="","",IF(ISNUMBER(INDEX('Checklist'!$H$4:$H$503,_calc!$E$27)),TEXT(INDEX('Checklist'!$H$4:$H$503,_calc!$E$27),"yyyy-mm-dd"),""))</f>
        <v/>
      </c>
      <c r="F25" s="44">
        <f>IF(_calc!$E$27="","",TRIM(IF(LEN(IF(LEN(INDEX('Checklist'!$A$4:$A$503,_calc!$E$27))=0,"",INDEX('Checklist'!$A$4:$A$503,_calc!$E$27)))=0,"","Group: "&amp;IF(LEN(INDEX('Checklist'!$A$4:$A$503,_calc!$E$27))=0,"",INDEX('Checklist'!$A$4:$A$503,_calc!$E$27))&amp;". ")&amp;IF(LEN(IF(LEN(INDEX('Checklist'!$E$4:$E$503,_calc!$E$27))=0,"",INDEX('Checklist'!$E$4:$E$503,_calc!$E$27)))=0,"","Owner: "&amp;IF(LEN(INDEX('Checklist'!$E$4:$E$503,_calc!$E$27))=0,"",INDEX('Checklist'!$E$4:$E$503,_calc!$E$27))&amp;". ")&amp;IF(LEN(IF(LEN(INDEX('Checklist'!$F$4:$F$503,_calc!$E$27))=0,"",INDEX('Checklist'!$F$4:$F$503,_calc!$E$27)))=0,"","Backup: "&amp;IF(LEN(INDEX('Checklist'!$F$4:$F$503,_calc!$E$27))=0,"",INDEX('Checklist'!$F$4:$F$503,_calc!$E$27))&amp;". ")&amp;IF(LEN(IF(LEN(INDEX('Checklist'!$J$4:$J$503,_calc!$E$27))=0,"",INDEX('Checklist'!$J$4:$J$503,_calc!$E$27)))=0,"","Evidence: "&amp;IF(LEN(INDEX('Checklist'!$J$4:$J$503,_calc!$E$27))=0,"",INDEX('Checklist'!$J$4:$J$503,_calc!$E$27))&amp;". ")&amp;IF(LEN(IF(LEN(INDEX('Checklist'!$D$4:$D$503,_calc!$E$27))=0,"",INDEX('Checklist'!$D$4:$D$503,_calc!$E$27)))=0,"","Rule example: "&amp;IF(LEN(INDEX('Checklist'!$D$4:$D$503,_calc!$E$27))=0,"",INDEX('Checklist'!$D$4:$D$503,_calc!$E$27))&amp;". ")&amp;IF(LEN(IF(LEN(INDEX('Checklist'!$P$4:$P$503,_calc!$E$27))=0,"",INDEX('Checklist'!$P$4:$P$503,_calc!$E$27)))=0,"",IF(LEN(INDEX('Checklist'!$P$4:$P$503,_calc!$E$27))=0,"",INDEX('Checklist'!$P$4:$P$503,_calc!$E$27)))))</f>
        <v/>
      </c>
      <c r="K25" s="44">
        <f>IF(_calc!$E$27="","",IF(LEN(INDEX('Checklist'!$G$4:$G$503,_calc!$E$27))=0,"",INDEX('Checklist'!$G$4:$G$503,_calc!$E$27)))</f>
        <v/>
      </c>
    </row>
    <row r="26">
      <c r="A26" s="44">
        <f>IF(_calc!$E$28="","","Survey check – "&amp;IF(LEN(INDEX('Checklist'!$C$4:$C$503,_calc!$E$28))=0,"",INDEX('Checklist'!$C$4:$C$503,_calc!$E$28)))</f>
        <v/>
      </c>
      <c r="B26" s="44">
        <f>IF(_calc!$E$28="","",IF(ISNUMBER(INDEX('Checklist'!$L$4:$L$503,_calc!$E$28)),TEXT(INDEX('Checklist'!$L$4:$L$503,_calc!$E$28),"yyyy-mm-dd"),""))</f>
        <v/>
      </c>
      <c r="C26" s="44">
        <f>IF(_calc!$E$28="","","Survey readiness")</f>
        <v/>
      </c>
      <c r="D26" s="44">
        <f>IF(_calc!$E$28="","",IF(ISNUMBER(INDEX('Checklist'!$H$4:$H$503,_calc!$E$28)),TEXT(INDEX('Checklist'!$H$4:$H$503,_calc!$E$28),"yyyy-mm-dd"),""))</f>
        <v/>
      </c>
      <c r="F26" s="44">
        <f>IF(_calc!$E$28="","",TRIM(IF(LEN(IF(LEN(INDEX('Checklist'!$A$4:$A$503,_calc!$E$28))=0,"",INDEX('Checklist'!$A$4:$A$503,_calc!$E$28)))=0,"","Group: "&amp;IF(LEN(INDEX('Checklist'!$A$4:$A$503,_calc!$E$28))=0,"",INDEX('Checklist'!$A$4:$A$503,_calc!$E$28))&amp;". ")&amp;IF(LEN(IF(LEN(INDEX('Checklist'!$E$4:$E$503,_calc!$E$28))=0,"",INDEX('Checklist'!$E$4:$E$503,_calc!$E$28)))=0,"","Owner: "&amp;IF(LEN(INDEX('Checklist'!$E$4:$E$503,_calc!$E$28))=0,"",INDEX('Checklist'!$E$4:$E$503,_calc!$E$28))&amp;". ")&amp;IF(LEN(IF(LEN(INDEX('Checklist'!$F$4:$F$503,_calc!$E$28))=0,"",INDEX('Checklist'!$F$4:$F$503,_calc!$E$28)))=0,"","Backup: "&amp;IF(LEN(INDEX('Checklist'!$F$4:$F$503,_calc!$E$28))=0,"",INDEX('Checklist'!$F$4:$F$503,_calc!$E$28))&amp;". ")&amp;IF(LEN(IF(LEN(INDEX('Checklist'!$J$4:$J$503,_calc!$E$28))=0,"",INDEX('Checklist'!$J$4:$J$503,_calc!$E$28)))=0,"","Evidence: "&amp;IF(LEN(INDEX('Checklist'!$J$4:$J$503,_calc!$E$28))=0,"",INDEX('Checklist'!$J$4:$J$503,_calc!$E$28))&amp;". ")&amp;IF(LEN(IF(LEN(INDEX('Checklist'!$D$4:$D$503,_calc!$E$28))=0,"",INDEX('Checklist'!$D$4:$D$503,_calc!$E$28)))=0,"","Rule example: "&amp;IF(LEN(INDEX('Checklist'!$D$4:$D$503,_calc!$E$28))=0,"",INDEX('Checklist'!$D$4:$D$503,_calc!$E$28))&amp;". ")&amp;IF(LEN(IF(LEN(INDEX('Checklist'!$P$4:$P$503,_calc!$E$28))=0,"",INDEX('Checklist'!$P$4:$P$503,_calc!$E$28)))=0,"",IF(LEN(INDEX('Checklist'!$P$4:$P$503,_calc!$E$28))=0,"",INDEX('Checklist'!$P$4:$P$503,_calc!$E$28)))))</f>
        <v/>
      </c>
      <c r="K26" s="44">
        <f>IF(_calc!$E$28="","",IF(LEN(INDEX('Checklist'!$G$4:$G$503,_calc!$E$28))=0,"",INDEX('Checklist'!$G$4:$G$503,_calc!$E$28)))</f>
        <v/>
      </c>
    </row>
    <row r="27">
      <c r="A27" s="44">
        <f>IF(_calc!$E$29="","","Survey check – "&amp;IF(LEN(INDEX('Checklist'!$C$4:$C$503,_calc!$E$29))=0,"",INDEX('Checklist'!$C$4:$C$503,_calc!$E$29)))</f>
        <v/>
      </c>
      <c r="B27" s="44">
        <f>IF(_calc!$E$29="","",IF(ISNUMBER(INDEX('Checklist'!$L$4:$L$503,_calc!$E$29)),TEXT(INDEX('Checklist'!$L$4:$L$503,_calc!$E$29),"yyyy-mm-dd"),""))</f>
        <v/>
      </c>
      <c r="C27" s="44">
        <f>IF(_calc!$E$29="","","Survey readiness")</f>
        <v/>
      </c>
      <c r="D27" s="44">
        <f>IF(_calc!$E$29="","",IF(ISNUMBER(INDEX('Checklist'!$H$4:$H$503,_calc!$E$29)),TEXT(INDEX('Checklist'!$H$4:$H$503,_calc!$E$29),"yyyy-mm-dd"),""))</f>
        <v/>
      </c>
      <c r="F27" s="44">
        <f>IF(_calc!$E$29="","",TRIM(IF(LEN(IF(LEN(INDEX('Checklist'!$A$4:$A$503,_calc!$E$29))=0,"",INDEX('Checklist'!$A$4:$A$503,_calc!$E$29)))=0,"","Group: "&amp;IF(LEN(INDEX('Checklist'!$A$4:$A$503,_calc!$E$29))=0,"",INDEX('Checklist'!$A$4:$A$503,_calc!$E$29))&amp;". ")&amp;IF(LEN(IF(LEN(INDEX('Checklist'!$E$4:$E$503,_calc!$E$29))=0,"",INDEX('Checklist'!$E$4:$E$503,_calc!$E$29)))=0,"","Owner: "&amp;IF(LEN(INDEX('Checklist'!$E$4:$E$503,_calc!$E$29))=0,"",INDEX('Checklist'!$E$4:$E$503,_calc!$E$29))&amp;". ")&amp;IF(LEN(IF(LEN(INDEX('Checklist'!$F$4:$F$503,_calc!$E$29))=0,"",INDEX('Checklist'!$F$4:$F$503,_calc!$E$29)))=0,"","Backup: "&amp;IF(LEN(INDEX('Checklist'!$F$4:$F$503,_calc!$E$29))=0,"",INDEX('Checklist'!$F$4:$F$503,_calc!$E$29))&amp;". ")&amp;IF(LEN(IF(LEN(INDEX('Checklist'!$J$4:$J$503,_calc!$E$29))=0,"",INDEX('Checklist'!$J$4:$J$503,_calc!$E$29)))=0,"","Evidence: "&amp;IF(LEN(INDEX('Checklist'!$J$4:$J$503,_calc!$E$29))=0,"",INDEX('Checklist'!$J$4:$J$503,_calc!$E$29))&amp;". ")&amp;IF(LEN(IF(LEN(INDEX('Checklist'!$D$4:$D$503,_calc!$E$29))=0,"",INDEX('Checklist'!$D$4:$D$503,_calc!$E$29)))=0,"","Rule example: "&amp;IF(LEN(INDEX('Checklist'!$D$4:$D$503,_calc!$E$29))=0,"",INDEX('Checklist'!$D$4:$D$503,_calc!$E$29))&amp;". ")&amp;IF(LEN(IF(LEN(INDEX('Checklist'!$P$4:$P$503,_calc!$E$29))=0,"",INDEX('Checklist'!$P$4:$P$503,_calc!$E$29)))=0,"",IF(LEN(INDEX('Checklist'!$P$4:$P$503,_calc!$E$29))=0,"",INDEX('Checklist'!$P$4:$P$503,_calc!$E$29)))))</f>
        <v/>
      </c>
      <c r="K27" s="44">
        <f>IF(_calc!$E$29="","",IF(LEN(INDEX('Checklist'!$G$4:$G$503,_calc!$E$29))=0,"",INDEX('Checklist'!$G$4:$G$503,_calc!$E$29)))</f>
        <v/>
      </c>
    </row>
    <row r="28">
      <c r="A28" s="44">
        <f>IF(_calc!$E$30="","","Survey check – "&amp;IF(LEN(INDEX('Checklist'!$C$4:$C$503,_calc!$E$30))=0,"",INDEX('Checklist'!$C$4:$C$503,_calc!$E$30)))</f>
        <v/>
      </c>
      <c r="B28" s="44">
        <f>IF(_calc!$E$30="","",IF(ISNUMBER(INDEX('Checklist'!$L$4:$L$503,_calc!$E$30)),TEXT(INDEX('Checklist'!$L$4:$L$503,_calc!$E$30),"yyyy-mm-dd"),""))</f>
        <v/>
      </c>
      <c r="C28" s="44">
        <f>IF(_calc!$E$30="","","Survey readiness")</f>
        <v/>
      </c>
      <c r="D28" s="44">
        <f>IF(_calc!$E$30="","",IF(ISNUMBER(INDEX('Checklist'!$H$4:$H$503,_calc!$E$30)),TEXT(INDEX('Checklist'!$H$4:$H$503,_calc!$E$30),"yyyy-mm-dd"),""))</f>
        <v/>
      </c>
      <c r="F28" s="44">
        <f>IF(_calc!$E$30="","",TRIM(IF(LEN(IF(LEN(INDEX('Checklist'!$A$4:$A$503,_calc!$E$30))=0,"",INDEX('Checklist'!$A$4:$A$503,_calc!$E$30)))=0,"","Group: "&amp;IF(LEN(INDEX('Checklist'!$A$4:$A$503,_calc!$E$30))=0,"",INDEX('Checklist'!$A$4:$A$503,_calc!$E$30))&amp;". ")&amp;IF(LEN(IF(LEN(INDEX('Checklist'!$E$4:$E$503,_calc!$E$30))=0,"",INDEX('Checklist'!$E$4:$E$503,_calc!$E$30)))=0,"","Owner: "&amp;IF(LEN(INDEX('Checklist'!$E$4:$E$503,_calc!$E$30))=0,"",INDEX('Checklist'!$E$4:$E$503,_calc!$E$30))&amp;". ")&amp;IF(LEN(IF(LEN(INDEX('Checklist'!$F$4:$F$503,_calc!$E$30))=0,"",INDEX('Checklist'!$F$4:$F$503,_calc!$E$30)))=0,"","Backup: "&amp;IF(LEN(INDEX('Checklist'!$F$4:$F$503,_calc!$E$30))=0,"",INDEX('Checklist'!$F$4:$F$503,_calc!$E$30))&amp;". ")&amp;IF(LEN(IF(LEN(INDEX('Checklist'!$J$4:$J$503,_calc!$E$30))=0,"",INDEX('Checklist'!$J$4:$J$503,_calc!$E$30)))=0,"","Evidence: "&amp;IF(LEN(INDEX('Checklist'!$J$4:$J$503,_calc!$E$30))=0,"",INDEX('Checklist'!$J$4:$J$503,_calc!$E$30))&amp;". ")&amp;IF(LEN(IF(LEN(INDEX('Checklist'!$D$4:$D$503,_calc!$E$30))=0,"",INDEX('Checklist'!$D$4:$D$503,_calc!$E$30)))=0,"","Rule example: "&amp;IF(LEN(INDEX('Checklist'!$D$4:$D$503,_calc!$E$30))=0,"",INDEX('Checklist'!$D$4:$D$503,_calc!$E$30))&amp;". ")&amp;IF(LEN(IF(LEN(INDEX('Checklist'!$P$4:$P$503,_calc!$E$30))=0,"",INDEX('Checklist'!$P$4:$P$503,_calc!$E$30)))=0,"",IF(LEN(INDEX('Checklist'!$P$4:$P$503,_calc!$E$30))=0,"",INDEX('Checklist'!$P$4:$P$503,_calc!$E$30)))))</f>
        <v/>
      </c>
      <c r="K28" s="44">
        <f>IF(_calc!$E$30="","",IF(LEN(INDEX('Checklist'!$G$4:$G$503,_calc!$E$30))=0,"",INDEX('Checklist'!$G$4:$G$503,_calc!$E$30)))</f>
        <v/>
      </c>
    </row>
    <row r="29">
      <c r="A29" s="44">
        <f>IF(_calc!$E$31="","","Survey check – "&amp;IF(LEN(INDEX('Checklist'!$C$4:$C$503,_calc!$E$31))=0,"",INDEX('Checklist'!$C$4:$C$503,_calc!$E$31)))</f>
        <v/>
      </c>
      <c r="B29" s="44">
        <f>IF(_calc!$E$31="","",IF(ISNUMBER(INDEX('Checklist'!$L$4:$L$503,_calc!$E$31)),TEXT(INDEX('Checklist'!$L$4:$L$503,_calc!$E$31),"yyyy-mm-dd"),""))</f>
        <v/>
      </c>
      <c r="C29" s="44">
        <f>IF(_calc!$E$31="","","Survey readiness")</f>
        <v/>
      </c>
      <c r="D29" s="44">
        <f>IF(_calc!$E$31="","",IF(ISNUMBER(INDEX('Checklist'!$H$4:$H$503,_calc!$E$31)),TEXT(INDEX('Checklist'!$H$4:$H$503,_calc!$E$31),"yyyy-mm-dd"),""))</f>
        <v/>
      </c>
      <c r="F29" s="44">
        <f>IF(_calc!$E$31="","",TRIM(IF(LEN(IF(LEN(INDEX('Checklist'!$A$4:$A$503,_calc!$E$31))=0,"",INDEX('Checklist'!$A$4:$A$503,_calc!$E$31)))=0,"","Group: "&amp;IF(LEN(INDEX('Checklist'!$A$4:$A$503,_calc!$E$31))=0,"",INDEX('Checklist'!$A$4:$A$503,_calc!$E$31))&amp;". ")&amp;IF(LEN(IF(LEN(INDEX('Checklist'!$E$4:$E$503,_calc!$E$31))=0,"",INDEX('Checklist'!$E$4:$E$503,_calc!$E$31)))=0,"","Owner: "&amp;IF(LEN(INDEX('Checklist'!$E$4:$E$503,_calc!$E$31))=0,"",INDEX('Checklist'!$E$4:$E$503,_calc!$E$31))&amp;". ")&amp;IF(LEN(IF(LEN(INDEX('Checklist'!$F$4:$F$503,_calc!$E$31))=0,"",INDEX('Checklist'!$F$4:$F$503,_calc!$E$31)))=0,"","Backup: "&amp;IF(LEN(INDEX('Checklist'!$F$4:$F$503,_calc!$E$31))=0,"",INDEX('Checklist'!$F$4:$F$503,_calc!$E$31))&amp;". ")&amp;IF(LEN(IF(LEN(INDEX('Checklist'!$J$4:$J$503,_calc!$E$31))=0,"",INDEX('Checklist'!$J$4:$J$503,_calc!$E$31)))=0,"","Evidence: "&amp;IF(LEN(INDEX('Checklist'!$J$4:$J$503,_calc!$E$31))=0,"",INDEX('Checklist'!$J$4:$J$503,_calc!$E$31))&amp;". ")&amp;IF(LEN(IF(LEN(INDEX('Checklist'!$D$4:$D$503,_calc!$E$31))=0,"",INDEX('Checklist'!$D$4:$D$503,_calc!$E$31)))=0,"","Rule example: "&amp;IF(LEN(INDEX('Checklist'!$D$4:$D$503,_calc!$E$31))=0,"",INDEX('Checklist'!$D$4:$D$503,_calc!$E$31))&amp;". ")&amp;IF(LEN(IF(LEN(INDEX('Checklist'!$P$4:$P$503,_calc!$E$31))=0,"",INDEX('Checklist'!$P$4:$P$503,_calc!$E$31)))=0,"",IF(LEN(INDEX('Checklist'!$P$4:$P$503,_calc!$E$31))=0,"",INDEX('Checklist'!$P$4:$P$503,_calc!$E$31)))))</f>
        <v/>
      </c>
      <c r="K29" s="44">
        <f>IF(_calc!$E$31="","",IF(LEN(INDEX('Checklist'!$G$4:$G$503,_calc!$E$31))=0,"",INDEX('Checklist'!$G$4:$G$503,_calc!$E$31)))</f>
        <v/>
      </c>
    </row>
    <row r="30">
      <c r="A30" s="44">
        <f>IF(_calc!$E$32="","","Survey check – "&amp;IF(LEN(INDEX('Checklist'!$C$4:$C$503,_calc!$E$32))=0,"",INDEX('Checklist'!$C$4:$C$503,_calc!$E$32)))</f>
        <v/>
      </c>
      <c r="B30" s="44">
        <f>IF(_calc!$E$32="","",IF(ISNUMBER(INDEX('Checklist'!$L$4:$L$503,_calc!$E$32)),TEXT(INDEX('Checklist'!$L$4:$L$503,_calc!$E$32),"yyyy-mm-dd"),""))</f>
        <v/>
      </c>
      <c r="C30" s="44">
        <f>IF(_calc!$E$32="","","Survey readiness")</f>
        <v/>
      </c>
      <c r="D30" s="44">
        <f>IF(_calc!$E$32="","",IF(ISNUMBER(INDEX('Checklist'!$H$4:$H$503,_calc!$E$32)),TEXT(INDEX('Checklist'!$H$4:$H$503,_calc!$E$32),"yyyy-mm-dd"),""))</f>
        <v/>
      </c>
      <c r="F30" s="44">
        <f>IF(_calc!$E$32="","",TRIM(IF(LEN(IF(LEN(INDEX('Checklist'!$A$4:$A$503,_calc!$E$32))=0,"",INDEX('Checklist'!$A$4:$A$503,_calc!$E$32)))=0,"","Group: "&amp;IF(LEN(INDEX('Checklist'!$A$4:$A$503,_calc!$E$32))=0,"",INDEX('Checklist'!$A$4:$A$503,_calc!$E$32))&amp;". ")&amp;IF(LEN(IF(LEN(INDEX('Checklist'!$E$4:$E$503,_calc!$E$32))=0,"",INDEX('Checklist'!$E$4:$E$503,_calc!$E$32)))=0,"","Owner: "&amp;IF(LEN(INDEX('Checklist'!$E$4:$E$503,_calc!$E$32))=0,"",INDEX('Checklist'!$E$4:$E$503,_calc!$E$32))&amp;". ")&amp;IF(LEN(IF(LEN(INDEX('Checklist'!$F$4:$F$503,_calc!$E$32))=0,"",INDEX('Checklist'!$F$4:$F$503,_calc!$E$32)))=0,"","Backup: "&amp;IF(LEN(INDEX('Checklist'!$F$4:$F$503,_calc!$E$32))=0,"",INDEX('Checklist'!$F$4:$F$503,_calc!$E$32))&amp;". ")&amp;IF(LEN(IF(LEN(INDEX('Checklist'!$J$4:$J$503,_calc!$E$32))=0,"",INDEX('Checklist'!$J$4:$J$503,_calc!$E$32)))=0,"","Evidence: "&amp;IF(LEN(INDEX('Checklist'!$J$4:$J$503,_calc!$E$32))=0,"",INDEX('Checklist'!$J$4:$J$503,_calc!$E$32))&amp;". ")&amp;IF(LEN(IF(LEN(INDEX('Checklist'!$D$4:$D$503,_calc!$E$32))=0,"",INDEX('Checklist'!$D$4:$D$503,_calc!$E$32)))=0,"","Rule example: "&amp;IF(LEN(INDEX('Checklist'!$D$4:$D$503,_calc!$E$32))=0,"",INDEX('Checklist'!$D$4:$D$503,_calc!$E$32))&amp;". ")&amp;IF(LEN(IF(LEN(INDEX('Checklist'!$P$4:$P$503,_calc!$E$32))=0,"",INDEX('Checklist'!$P$4:$P$503,_calc!$E$32)))=0,"",IF(LEN(INDEX('Checklist'!$P$4:$P$503,_calc!$E$32))=0,"",INDEX('Checklist'!$P$4:$P$503,_calc!$E$32)))))</f>
        <v/>
      </c>
      <c r="K30" s="44">
        <f>IF(_calc!$E$32="","",IF(LEN(INDEX('Checklist'!$G$4:$G$503,_calc!$E$32))=0,"",INDEX('Checklist'!$G$4:$G$503,_calc!$E$32)))</f>
        <v/>
      </c>
    </row>
    <row r="31">
      <c r="A31" s="44">
        <f>IF(_calc!$E$33="","","Survey check – "&amp;IF(LEN(INDEX('Checklist'!$C$4:$C$503,_calc!$E$33))=0,"",INDEX('Checklist'!$C$4:$C$503,_calc!$E$33)))</f>
        <v/>
      </c>
      <c r="B31" s="44">
        <f>IF(_calc!$E$33="","",IF(ISNUMBER(INDEX('Checklist'!$L$4:$L$503,_calc!$E$33)),TEXT(INDEX('Checklist'!$L$4:$L$503,_calc!$E$33),"yyyy-mm-dd"),""))</f>
        <v/>
      </c>
      <c r="C31" s="44">
        <f>IF(_calc!$E$33="","","Survey readiness")</f>
        <v/>
      </c>
      <c r="D31" s="44">
        <f>IF(_calc!$E$33="","",IF(ISNUMBER(INDEX('Checklist'!$H$4:$H$503,_calc!$E$33)),TEXT(INDEX('Checklist'!$H$4:$H$503,_calc!$E$33),"yyyy-mm-dd"),""))</f>
        <v/>
      </c>
      <c r="F31" s="44">
        <f>IF(_calc!$E$33="","",TRIM(IF(LEN(IF(LEN(INDEX('Checklist'!$A$4:$A$503,_calc!$E$33))=0,"",INDEX('Checklist'!$A$4:$A$503,_calc!$E$33)))=0,"","Group: "&amp;IF(LEN(INDEX('Checklist'!$A$4:$A$503,_calc!$E$33))=0,"",INDEX('Checklist'!$A$4:$A$503,_calc!$E$33))&amp;". ")&amp;IF(LEN(IF(LEN(INDEX('Checklist'!$E$4:$E$503,_calc!$E$33))=0,"",INDEX('Checklist'!$E$4:$E$503,_calc!$E$33)))=0,"","Owner: "&amp;IF(LEN(INDEX('Checklist'!$E$4:$E$503,_calc!$E$33))=0,"",INDEX('Checklist'!$E$4:$E$503,_calc!$E$33))&amp;". ")&amp;IF(LEN(IF(LEN(INDEX('Checklist'!$F$4:$F$503,_calc!$E$33))=0,"",INDEX('Checklist'!$F$4:$F$503,_calc!$E$33)))=0,"","Backup: "&amp;IF(LEN(INDEX('Checklist'!$F$4:$F$503,_calc!$E$33))=0,"",INDEX('Checklist'!$F$4:$F$503,_calc!$E$33))&amp;". ")&amp;IF(LEN(IF(LEN(INDEX('Checklist'!$J$4:$J$503,_calc!$E$33))=0,"",INDEX('Checklist'!$J$4:$J$503,_calc!$E$33)))=0,"","Evidence: "&amp;IF(LEN(INDEX('Checklist'!$J$4:$J$503,_calc!$E$33))=0,"",INDEX('Checklist'!$J$4:$J$503,_calc!$E$33))&amp;". ")&amp;IF(LEN(IF(LEN(INDEX('Checklist'!$D$4:$D$503,_calc!$E$33))=0,"",INDEX('Checklist'!$D$4:$D$503,_calc!$E$33)))=0,"","Rule example: "&amp;IF(LEN(INDEX('Checklist'!$D$4:$D$503,_calc!$E$33))=0,"",INDEX('Checklist'!$D$4:$D$503,_calc!$E$33))&amp;". ")&amp;IF(LEN(IF(LEN(INDEX('Checklist'!$P$4:$P$503,_calc!$E$33))=0,"",INDEX('Checklist'!$P$4:$P$503,_calc!$E$33)))=0,"",IF(LEN(INDEX('Checklist'!$P$4:$P$503,_calc!$E$33))=0,"",INDEX('Checklist'!$P$4:$P$503,_calc!$E$33)))))</f>
        <v/>
      </c>
      <c r="K31" s="44">
        <f>IF(_calc!$E$33="","",IF(LEN(INDEX('Checklist'!$G$4:$G$503,_calc!$E$33))=0,"",INDEX('Checklist'!$G$4:$G$503,_calc!$E$33)))</f>
        <v/>
      </c>
    </row>
    <row r="32">
      <c r="A32" s="44">
        <f>IF(_calc!$E$34="","","Survey check – "&amp;IF(LEN(INDEX('Checklist'!$C$4:$C$503,_calc!$E$34))=0,"",INDEX('Checklist'!$C$4:$C$503,_calc!$E$34)))</f>
        <v/>
      </c>
      <c r="B32" s="44">
        <f>IF(_calc!$E$34="","",IF(ISNUMBER(INDEX('Checklist'!$L$4:$L$503,_calc!$E$34)),TEXT(INDEX('Checklist'!$L$4:$L$503,_calc!$E$34),"yyyy-mm-dd"),""))</f>
        <v/>
      </c>
      <c r="C32" s="44">
        <f>IF(_calc!$E$34="","","Survey readiness")</f>
        <v/>
      </c>
      <c r="D32" s="44">
        <f>IF(_calc!$E$34="","",IF(ISNUMBER(INDEX('Checklist'!$H$4:$H$503,_calc!$E$34)),TEXT(INDEX('Checklist'!$H$4:$H$503,_calc!$E$34),"yyyy-mm-dd"),""))</f>
        <v/>
      </c>
      <c r="F32" s="44">
        <f>IF(_calc!$E$34="","",TRIM(IF(LEN(IF(LEN(INDEX('Checklist'!$A$4:$A$503,_calc!$E$34))=0,"",INDEX('Checklist'!$A$4:$A$503,_calc!$E$34)))=0,"","Group: "&amp;IF(LEN(INDEX('Checklist'!$A$4:$A$503,_calc!$E$34))=0,"",INDEX('Checklist'!$A$4:$A$503,_calc!$E$34))&amp;". ")&amp;IF(LEN(IF(LEN(INDEX('Checklist'!$E$4:$E$503,_calc!$E$34))=0,"",INDEX('Checklist'!$E$4:$E$503,_calc!$E$34)))=0,"","Owner: "&amp;IF(LEN(INDEX('Checklist'!$E$4:$E$503,_calc!$E$34))=0,"",INDEX('Checklist'!$E$4:$E$503,_calc!$E$34))&amp;". ")&amp;IF(LEN(IF(LEN(INDEX('Checklist'!$F$4:$F$503,_calc!$E$34))=0,"",INDEX('Checklist'!$F$4:$F$503,_calc!$E$34)))=0,"","Backup: "&amp;IF(LEN(INDEX('Checklist'!$F$4:$F$503,_calc!$E$34))=0,"",INDEX('Checklist'!$F$4:$F$503,_calc!$E$34))&amp;". ")&amp;IF(LEN(IF(LEN(INDEX('Checklist'!$J$4:$J$503,_calc!$E$34))=0,"",INDEX('Checklist'!$J$4:$J$503,_calc!$E$34)))=0,"","Evidence: "&amp;IF(LEN(INDEX('Checklist'!$J$4:$J$503,_calc!$E$34))=0,"",INDEX('Checklist'!$J$4:$J$503,_calc!$E$34))&amp;". ")&amp;IF(LEN(IF(LEN(INDEX('Checklist'!$D$4:$D$503,_calc!$E$34))=0,"",INDEX('Checklist'!$D$4:$D$503,_calc!$E$34)))=0,"","Rule example: "&amp;IF(LEN(INDEX('Checklist'!$D$4:$D$503,_calc!$E$34))=0,"",INDEX('Checklist'!$D$4:$D$503,_calc!$E$34))&amp;". ")&amp;IF(LEN(IF(LEN(INDEX('Checklist'!$P$4:$P$503,_calc!$E$34))=0,"",INDEX('Checklist'!$P$4:$P$503,_calc!$E$34)))=0,"",IF(LEN(INDEX('Checklist'!$P$4:$P$503,_calc!$E$34))=0,"",INDEX('Checklist'!$P$4:$P$503,_calc!$E$34)))))</f>
        <v/>
      </c>
      <c r="K32" s="44">
        <f>IF(_calc!$E$34="","",IF(LEN(INDEX('Checklist'!$G$4:$G$503,_calc!$E$34))=0,"",INDEX('Checklist'!$G$4:$G$503,_calc!$E$34)))</f>
        <v/>
      </c>
    </row>
    <row r="33">
      <c r="A33" s="44">
        <f>IF(_calc!$E$35="","","Survey check – "&amp;IF(LEN(INDEX('Checklist'!$C$4:$C$503,_calc!$E$35))=0,"",INDEX('Checklist'!$C$4:$C$503,_calc!$E$35)))</f>
        <v/>
      </c>
      <c r="B33" s="44">
        <f>IF(_calc!$E$35="","",IF(ISNUMBER(INDEX('Checklist'!$L$4:$L$503,_calc!$E$35)),TEXT(INDEX('Checklist'!$L$4:$L$503,_calc!$E$35),"yyyy-mm-dd"),""))</f>
        <v/>
      </c>
      <c r="C33" s="44">
        <f>IF(_calc!$E$35="","","Survey readiness")</f>
        <v/>
      </c>
      <c r="D33" s="44">
        <f>IF(_calc!$E$35="","",IF(ISNUMBER(INDEX('Checklist'!$H$4:$H$503,_calc!$E$35)),TEXT(INDEX('Checklist'!$H$4:$H$503,_calc!$E$35),"yyyy-mm-dd"),""))</f>
        <v/>
      </c>
      <c r="F33" s="44">
        <f>IF(_calc!$E$35="","",TRIM(IF(LEN(IF(LEN(INDEX('Checklist'!$A$4:$A$503,_calc!$E$35))=0,"",INDEX('Checklist'!$A$4:$A$503,_calc!$E$35)))=0,"","Group: "&amp;IF(LEN(INDEX('Checklist'!$A$4:$A$503,_calc!$E$35))=0,"",INDEX('Checklist'!$A$4:$A$503,_calc!$E$35))&amp;". ")&amp;IF(LEN(IF(LEN(INDEX('Checklist'!$E$4:$E$503,_calc!$E$35))=0,"",INDEX('Checklist'!$E$4:$E$503,_calc!$E$35)))=0,"","Owner: "&amp;IF(LEN(INDEX('Checklist'!$E$4:$E$503,_calc!$E$35))=0,"",INDEX('Checklist'!$E$4:$E$503,_calc!$E$35))&amp;". ")&amp;IF(LEN(IF(LEN(INDEX('Checklist'!$F$4:$F$503,_calc!$E$35))=0,"",INDEX('Checklist'!$F$4:$F$503,_calc!$E$35)))=0,"","Backup: "&amp;IF(LEN(INDEX('Checklist'!$F$4:$F$503,_calc!$E$35))=0,"",INDEX('Checklist'!$F$4:$F$503,_calc!$E$35))&amp;". ")&amp;IF(LEN(IF(LEN(INDEX('Checklist'!$J$4:$J$503,_calc!$E$35))=0,"",INDEX('Checklist'!$J$4:$J$503,_calc!$E$35)))=0,"","Evidence: "&amp;IF(LEN(INDEX('Checklist'!$J$4:$J$503,_calc!$E$35))=0,"",INDEX('Checklist'!$J$4:$J$503,_calc!$E$35))&amp;". ")&amp;IF(LEN(IF(LEN(INDEX('Checklist'!$D$4:$D$503,_calc!$E$35))=0,"",INDEX('Checklist'!$D$4:$D$503,_calc!$E$35)))=0,"","Rule example: "&amp;IF(LEN(INDEX('Checklist'!$D$4:$D$503,_calc!$E$35))=0,"",INDEX('Checklist'!$D$4:$D$503,_calc!$E$35))&amp;". ")&amp;IF(LEN(IF(LEN(INDEX('Checklist'!$P$4:$P$503,_calc!$E$35))=0,"",INDEX('Checklist'!$P$4:$P$503,_calc!$E$35)))=0,"",IF(LEN(INDEX('Checklist'!$P$4:$P$503,_calc!$E$35))=0,"",INDEX('Checklist'!$P$4:$P$503,_calc!$E$35)))))</f>
        <v/>
      </c>
      <c r="K33" s="44">
        <f>IF(_calc!$E$35="","",IF(LEN(INDEX('Checklist'!$G$4:$G$503,_calc!$E$35))=0,"",INDEX('Checklist'!$G$4:$G$503,_calc!$E$35)))</f>
        <v/>
      </c>
    </row>
    <row r="34">
      <c r="A34" s="44">
        <f>IF(_calc!$E$36="","","Survey check – "&amp;IF(LEN(INDEX('Checklist'!$C$4:$C$503,_calc!$E$36))=0,"",INDEX('Checklist'!$C$4:$C$503,_calc!$E$36)))</f>
        <v/>
      </c>
      <c r="B34" s="44">
        <f>IF(_calc!$E$36="","",IF(ISNUMBER(INDEX('Checklist'!$L$4:$L$503,_calc!$E$36)),TEXT(INDEX('Checklist'!$L$4:$L$503,_calc!$E$36),"yyyy-mm-dd"),""))</f>
        <v/>
      </c>
      <c r="C34" s="44">
        <f>IF(_calc!$E$36="","","Survey readiness")</f>
        <v/>
      </c>
      <c r="D34" s="44">
        <f>IF(_calc!$E$36="","",IF(ISNUMBER(INDEX('Checklist'!$H$4:$H$503,_calc!$E$36)),TEXT(INDEX('Checklist'!$H$4:$H$503,_calc!$E$36),"yyyy-mm-dd"),""))</f>
        <v/>
      </c>
      <c r="F34" s="44">
        <f>IF(_calc!$E$36="","",TRIM(IF(LEN(IF(LEN(INDEX('Checklist'!$A$4:$A$503,_calc!$E$36))=0,"",INDEX('Checklist'!$A$4:$A$503,_calc!$E$36)))=0,"","Group: "&amp;IF(LEN(INDEX('Checklist'!$A$4:$A$503,_calc!$E$36))=0,"",INDEX('Checklist'!$A$4:$A$503,_calc!$E$36))&amp;". ")&amp;IF(LEN(IF(LEN(INDEX('Checklist'!$E$4:$E$503,_calc!$E$36))=0,"",INDEX('Checklist'!$E$4:$E$503,_calc!$E$36)))=0,"","Owner: "&amp;IF(LEN(INDEX('Checklist'!$E$4:$E$503,_calc!$E$36))=0,"",INDEX('Checklist'!$E$4:$E$503,_calc!$E$36))&amp;". ")&amp;IF(LEN(IF(LEN(INDEX('Checklist'!$F$4:$F$503,_calc!$E$36))=0,"",INDEX('Checklist'!$F$4:$F$503,_calc!$E$36)))=0,"","Backup: "&amp;IF(LEN(INDEX('Checklist'!$F$4:$F$503,_calc!$E$36))=0,"",INDEX('Checklist'!$F$4:$F$503,_calc!$E$36))&amp;". ")&amp;IF(LEN(IF(LEN(INDEX('Checklist'!$J$4:$J$503,_calc!$E$36))=0,"",INDEX('Checklist'!$J$4:$J$503,_calc!$E$36)))=0,"","Evidence: "&amp;IF(LEN(INDEX('Checklist'!$J$4:$J$503,_calc!$E$36))=0,"",INDEX('Checklist'!$J$4:$J$503,_calc!$E$36))&amp;". ")&amp;IF(LEN(IF(LEN(INDEX('Checklist'!$D$4:$D$503,_calc!$E$36))=0,"",INDEX('Checklist'!$D$4:$D$503,_calc!$E$36)))=0,"","Rule example: "&amp;IF(LEN(INDEX('Checklist'!$D$4:$D$503,_calc!$E$36))=0,"",INDEX('Checklist'!$D$4:$D$503,_calc!$E$36))&amp;". ")&amp;IF(LEN(IF(LEN(INDEX('Checklist'!$P$4:$P$503,_calc!$E$36))=0,"",INDEX('Checklist'!$P$4:$P$503,_calc!$E$36)))=0,"",IF(LEN(INDEX('Checklist'!$P$4:$P$503,_calc!$E$36))=0,"",INDEX('Checklist'!$P$4:$P$503,_calc!$E$36)))))</f>
        <v/>
      </c>
      <c r="K34" s="44">
        <f>IF(_calc!$E$36="","",IF(LEN(INDEX('Checklist'!$G$4:$G$503,_calc!$E$36))=0,"",INDEX('Checklist'!$G$4:$G$503,_calc!$E$36)))</f>
        <v/>
      </c>
    </row>
    <row r="35">
      <c r="A35" s="44">
        <f>IF(_calc!$E$37="","","Survey check – "&amp;IF(LEN(INDEX('Checklist'!$C$4:$C$503,_calc!$E$37))=0,"",INDEX('Checklist'!$C$4:$C$503,_calc!$E$37)))</f>
        <v/>
      </c>
      <c r="B35" s="44">
        <f>IF(_calc!$E$37="","",IF(ISNUMBER(INDEX('Checklist'!$L$4:$L$503,_calc!$E$37)),TEXT(INDEX('Checklist'!$L$4:$L$503,_calc!$E$37),"yyyy-mm-dd"),""))</f>
        <v/>
      </c>
      <c r="C35" s="44">
        <f>IF(_calc!$E$37="","","Survey readiness")</f>
        <v/>
      </c>
      <c r="D35" s="44">
        <f>IF(_calc!$E$37="","",IF(ISNUMBER(INDEX('Checklist'!$H$4:$H$503,_calc!$E$37)),TEXT(INDEX('Checklist'!$H$4:$H$503,_calc!$E$37),"yyyy-mm-dd"),""))</f>
        <v/>
      </c>
      <c r="F35" s="44">
        <f>IF(_calc!$E$37="","",TRIM(IF(LEN(IF(LEN(INDEX('Checklist'!$A$4:$A$503,_calc!$E$37))=0,"",INDEX('Checklist'!$A$4:$A$503,_calc!$E$37)))=0,"","Group: "&amp;IF(LEN(INDEX('Checklist'!$A$4:$A$503,_calc!$E$37))=0,"",INDEX('Checklist'!$A$4:$A$503,_calc!$E$37))&amp;". ")&amp;IF(LEN(IF(LEN(INDEX('Checklist'!$E$4:$E$503,_calc!$E$37))=0,"",INDEX('Checklist'!$E$4:$E$503,_calc!$E$37)))=0,"","Owner: "&amp;IF(LEN(INDEX('Checklist'!$E$4:$E$503,_calc!$E$37))=0,"",INDEX('Checklist'!$E$4:$E$503,_calc!$E$37))&amp;". ")&amp;IF(LEN(IF(LEN(INDEX('Checklist'!$F$4:$F$503,_calc!$E$37))=0,"",INDEX('Checklist'!$F$4:$F$503,_calc!$E$37)))=0,"","Backup: "&amp;IF(LEN(INDEX('Checklist'!$F$4:$F$503,_calc!$E$37))=0,"",INDEX('Checklist'!$F$4:$F$503,_calc!$E$37))&amp;". ")&amp;IF(LEN(IF(LEN(INDEX('Checklist'!$J$4:$J$503,_calc!$E$37))=0,"",INDEX('Checklist'!$J$4:$J$503,_calc!$E$37)))=0,"","Evidence: "&amp;IF(LEN(INDEX('Checklist'!$J$4:$J$503,_calc!$E$37))=0,"",INDEX('Checklist'!$J$4:$J$503,_calc!$E$37))&amp;". ")&amp;IF(LEN(IF(LEN(INDEX('Checklist'!$D$4:$D$503,_calc!$E$37))=0,"",INDEX('Checklist'!$D$4:$D$503,_calc!$E$37)))=0,"","Rule example: "&amp;IF(LEN(INDEX('Checklist'!$D$4:$D$503,_calc!$E$37))=0,"",INDEX('Checklist'!$D$4:$D$503,_calc!$E$37))&amp;". ")&amp;IF(LEN(IF(LEN(INDEX('Checklist'!$P$4:$P$503,_calc!$E$37))=0,"",INDEX('Checklist'!$P$4:$P$503,_calc!$E$37)))=0,"",IF(LEN(INDEX('Checklist'!$P$4:$P$503,_calc!$E$37))=0,"",INDEX('Checklist'!$P$4:$P$503,_calc!$E$37)))))</f>
        <v/>
      </c>
      <c r="K35" s="44">
        <f>IF(_calc!$E$37="","",IF(LEN(INDEX('Checklist'!$G$4:$G$503,_calc!$E$37))=0,"",INDEX('Checklist'!$G$4:$G$503,_calc!$E$37)))</f>
        <v/>
      </c>
    </row>
    <row r="36">
      <c r="A36" s="44">
        <f>IF(_calc!$E$38="","","Survey check – "&amp;IF(LEN(INDEX('Checklist'!$C$4:$C$503,_calc!$E$38))=0,"",INDEX('Checklist'!$C$4:$C$503,_calc!$E$38)))</f>
        <v/>
      </c>
      <c r="B36" s="44">
        <f>IF(_calc!$E$38="","",IF(ISNUMBER(INDEX('Checklist'!$L$4:$L$503,_calc!$E$38)),TEXT(INDEX('Checklist'!$L$4:$L$503,_calc!$E$38),"yyyy-mm-dd"),""))</f>
        <v/>
      </c>
      <c r="C36" s="44">
        <f>IF(_calc!$E$38="","","Survey readiness")</f>
        <v/>
      </c>
      <c r="D36" s="44">
        <f>IF(_calc!$E$38="","",IF(ISNUMBER(INDEX('Checklist'!$H$4:$H$503,_calc!$E$38)),TEXT(INDEX('Checklist'!$H$4:$H$503,_calc!$E$38),"yyyy-mm-dd"),""))</f>
        <v/>
      </c>
      <c r="F36" s="44">
        <f>IF(_calc!$E$38="","",TRIM(IF(LEN(IF(LEN(INDEX('Checklist'!$A$4:$A$503,_calc!$E$38))=0,"",INDEX('Checklist'!$A$4:$A$503,_calc!$E$38)))=0,"","Group: "&amp;IF(LEN(INDEX('Checklist'!$A$4:$A$503,_calc!$E$38))=0,"",INDEX('Checklist'!$A$4:$A$503,_calc!$E$38))&amp;". ")&amp;IF(LEN(IF(LEN(INDEX('Checklist'!$E$4:$E$503,_calc!$E$38))=0,"",INDEX('Checklist'!$E$4:$E$503,_calc!$E$38)))=0,"","Owner: "&amp;IF(LEN(INDEX('Checklist'!$E$4:$E$503,_calc!$E$38))=0,"",INDEX('Checklist'!$E$4:$E$503,_calc!$E$38))&amp;". ")&amp;IF(LEN(IF(LEN(INDEX('Checklist'!$F$4:$F$503,_calc!$E$38))=0,"",INDEX('Checklist'!$F$4:$F$503,_calc!$E$38)))=0,"","Backup: "&amp;IF(LEN(INDEX('Checklist'!$F$4:$F$503,_calc!$E$38))=0,"",INDEX('Checklist'!$F$4:$F$503,_calc!$E$38))&amp;". ")&amp;IF(LEN(IF(LEN(INDEX('Checklist'!$J$4:$J$503,_calc!$E$38))=0,"",INDEX('Checklist'!$J$4:$J$503,_calc!$E$38)))=0,"","Evidence: "&amp;IF(LEN(INDEX('Checklist'!$J$4:$J$503,_calc!$E$38))=0,"",INDEX('Checklist'!$J$4:$J$503,_calc!$E$38))&amp;". ")&amp;IF(LEN(IF(LEN(INDEX('Checklist'!$D$4:$D$503,_calc!$E$38))=0,"",INDEX('Checklist'!$D$4:$D$503,_calc!$E$38)))=0,"","Rule example: "&amp;IF(LEN(INDEX('Checklist'!$D$4:$D$503,_calc!$E$38))=0,"",INDEX('Checklist'!$D$4:$D$503,_calc!$E$38))&amp;". ")&amp;IF(LEN(IF(LEN(INDEX('Checklist'!$P$4:$P$503,_calc!$E$38))=0,"",INDEX('Checklist'!$P$4:$P$503,_calc!$E$38)))=0,"",IF(LEN(INDEX('Checklist'!$P$4:$P$503,_calc!$E$38))=0,"",INDEX('Checklist'!$P$4:$P$503,_calc!$E$38)))))</f>
        <v/>
      </c>
      <c r="K36" s="44">
        <f>IF(_calc!$E$38="","",IF(LEN(INDEX('Checklist'!$G$4:$G$503,_calc!$E$38))=0,"",INDEX('Checklist'!$G$4:$G$503,_calc!$E$38)))</f>
        <v/>
      </c>
    </row>
    <row r="37">
      <c r="A37" s="44">
        <f>IF(_calc!$E$39="","","Survey check – "&amp;IF(LEN(INDEX('Checklist'!$C$4:$C$503,_calc!$E$39))=0,"",INDEX('Checklist'!$C$4:$C$503,_calc!$E$39)))</f>
        <v/>
      </c>
      <c r="B37" s="44">
        <f>IF(_calc!$E$39="","",IF(ISNUMBER(INDEX('Checklist'!$L$4:$L$503,_calc!$E$39)),TEXT(INDEX('Checklist'!$L$4:$L$503,_calc!$E$39),"yyyy-mm-dd"),""))</f>
        <v/>
      </c>
      <c r="C37" s="44">
        <f>IF(_calc!$E$39="","","Survey readiness")</f>
        <v/>
      </c>
      <c r="D37" s="44">
        <f>IF(_calc!$E$39="","",IF(ISNUMBER(INDEX('Checklist'!$H$4:$H$503,_calc!$E$39)),TEXT(INDEX('Checklist'!$H$4:$H$503,_calc!$E$39),"yyyy-mm-dd"),""))</f>
        <v/>
      </c>
      <c r="F37" s="44">
        <f>IF(_calc!$E$39="","",TRIM(IF(LEN(IF(LEN(INDEX('Checklist'!$A$4:$A$503,_calc!$E$39))=0,"",INDEX('Checklist'!$A$4:$A$503,_calc!$E$39)))=0,"","Group: "&amp;IF(LEN(INDEX('Checklist'!$A$4:$A$503,_calc!$E$39))=0,"",INDEX('Checklist'!$A$4:$A$503,_calc!$E$39))&amp;". ")&amp;IF(LEN(IF(LEN(INDEX('Checklist'!$E$4:$E$503,_calc!$E$39))=0,"",INDEX('Checklist'!$E$4:$E$503,_calc!$E$39)))=0,"","Owner: "&amp;IF(LEN(INDEX('Checklist'!$E$4:$E$503,_calc!$E$39))=0,"",INDEX('Checklist'!$E$4:$E$503,_calc!$E$39))&amp;". ")&amp;IF(LEN(IF(LEN(INDEX('Checklist'!$F$4:$F$503,_calc!$E$39))=0,"",INDEX('Checklist'!$F$4:$F$503,_calc!$E$39)))=0,"","Backup: "&amp;IF(LEN(INDEX('Checklist'!$F$4:$F$503,_calc!$E$39))=0,"",INDEX('Checklist'!$F$4:$F$503,_calc!$E$39))&amp;". ")&amp;IF(LEN(IF(LEN(INDEX('Checklist'!$J$4:$J$503,_calc!$E$39))=0,"",INDEX('Checklist'!$J$4:$J$503,_calc!$E$39)))=0,"","Evidence: "&amp;IF(LEN(INDEX('Checklist'!$J$4:$J$503,_calc!$E$39))=0,"",INDEX('Checklist'!$J$4:$J$503,_calc!$E$39))&amp;". ")&amp;IF(LEN(IF(LEN(INDEX('Checklist'!$D$4:$D$503,_calc!$E$39))=0,"",INDEX('Checklist'!$D$4:$D$503,_calc!$E$39)))=0,"","Rule example: "&amp;IF(LEN(INDEX('Checklist'!$D$4:$D$503,_calc!$E$39))=0,"",INDEX('Checklist'!$D$4:$D$503,_calc!$E$39))&amp;". ")&amp;IF(LEN(IF(LEN(INDEX('Checklist'!$P$4:$P$503,_calc!$E$39))=0,"",INDEX('Checklist'!$P$4:$P$503,_calc!$E$39)))=0,"",IF(LEN(INDEX('Checklist'!$P$4:$P$503,_calc!$E$39))=0,"",INDEX('Checklist'!$P$4:$P$503,_calc!$E$39)))))</f>
        <v/>
      </c>
      <c r="K37" s="44">
        <f>IF(_calc!$E$39="","",IF(LEN(INDEX('Checklist'!$G$4:$G$503,_calc!$E$39))=0,"",INDEX('Checklist'!$G$4:$G$503,_calc!$E$39)))</f>
        <v/>
      </c>
    </row>
    <row r="38">
      <c r="A38" s="44">
        <f>IF(_calc!$E$40="","","Survey check – "&amp;IF(LEN(INDEX('Checklist'!$C$4:$C$503,_calc!$E$40))=0,"",INDEX('Checklist'!$C$4:$C$503,_calc!$E$40)))</f>
        <v/>
      </c>
      <c r="B38" s="44">
        <f>IF(_calc!$E$40="","",IF(ISNUMBER(INDEX('Checklist'!$L$4:$L$503,_calc!$E$40)),TEXT(INDEX('Checklist'!$L$4:$L$503,_calc!$E$40),"yyyy-mm-dd"),""))</f>
        <v/>
      </c>
      <c r="C38" s="44">
        <f>IF(_calc!$E$40="","","Survey readiness")</f>
        <v/>
      </c>
      <c r="D38" s="44">
        <f>IF(_calc!$E$40="","",IF(ISNUMBER(INDEX('Checklist'!$H$4:$H$503,_calc!$E$40)),TEXT(INDEX('Checklist'!$H$4:$H$503,_calc!$E$40),"yyyy-mm-dd"),""))</f>
        <v/>
      </c>
      <c r="F38" s="44">
        <f>IF(_calc!$E$40="","",TRIM(IF(LEN(IF(LEN(INDEX('Checklist'!$A$4:$A$503,_calc!$E$40))=0,"",INDEX('Checklist'!$A$4:$A$503,_calc!$E$40)))=0,"","Group: "&amp;IF(LEN(INDEX('Checklist'!$A$4:$A$503,_calc!$E$40))=0,"",INDEX('Checklist'!$A$4:$A$503,_calc!$E$40))&amp;". ")&amp;IF(LEN(IF(LEN(INDEX('Checklist'!$E$4:$E$503,_calc!$E$40))=0,"",INDEX('Checklist'!$E$4:$E$503,_calc!$E$40)))=0,"","Owner: "&amp;IF(LEN(INDEX('Checklist'!$E$4:$E$503,_calc!$E$40))=0,"",INDEX('Checklist'!$E$4:$E$503,_calc!$E$40))&amp;". ")&amp;IF(LEN(IF(LEN(INDEX('Checklist'!$F$4:$F$503,_calc!$E$40))=0,"",INDEX('Checklist'!$F$4:$F$503,_calc!$E$40)))=0,"","Backup: "&amp;IF(LEN(INDEX('Checklist'!$F$4:$F$503,_calc!$E$40))=0,"",INDEX('Checklist'!$F$4:$F$503,_calc!$E$40))&amp;". ")&amp;IF(LEN(IF(LEN(INDEX('Checklist'!$J$4:$J$503,_calc!$E$40))=0,"",INDEX('Checklist'!$J$4:$J$503,_calc!$E$40)))=0,"","Evidence: "&amp;IF(LEN(INDEX('Checklist'!$J$4:$J$503,_calc!$E$40))=0,"",INDEX('Checklist'!$J$4:$J$503,_calc!$E$40))&amp;". ")&amp;IF(LEN(IF(LEN(INDEX('Checklist'!$D$4:$D$503,_calc!$E$40))=0,"",INDEX('Checklist'!$D$4:$D$503,_calc!$E$40)))=0,"","Rule example: "&amp;IF(LEN(INDEX('Checklist'!$D$4:$D$503,_calc!$E$40))=0,"",INDEX('Checklist'!$D$4:$D$503,_calc!$E$40))&amp;". ")&amp;IF(LEN(IF(LEN(INDEX('Checklist'!$P$4:$P$503,_calc!$E$40))=0,"",INDEX('Checklist'!$P$4:$P$503,_calc!$E$40)))=0,"",IF(LEN(INDEX('Checklist'!$P$4:$P$503,_calc!$E$40))=0,"",INDEX('Checklist'!$P$4:$P$503,_calc!$E$40)))))</f>
        <v/>
      </c>
      <c r="K38" s="44">
        <f>IF(_calc!$E$40="","",IF(LEN(INDEX('Checklist'!$G$4:$G$503,_calc!$E$40))=0,"",INDEX('Checklist'!$G$4:$G$503,_calc!$E$40)))</f>
        <v/>
      </c>
    </row>
    <row r="39">
      <c r="A39" s="44">
        <f>IF(_calc!$E$41="","","Survey check – "&amp;IF(LEN(INDEX('Checklist'!$C$4:$C$503,_calc!$E$41))=0,"",INDEX('Checklist'!$C$4:$C$503,_calc!$E$41)))</f>
        <v/>
      </c>
      <c r="B39" s="44">
        <f>IF(_calc!$E$41="","",IF(ISNUMBER(INDEX('Checklist'!$L$4:$L$503,_calc!$E$41)),TEXT(INDEX('Checklist'!$L$4:$L$503,_calc!$E$41),"yyyy-mm-dd"),""))</f>
        <v/>
      </c>
      <c r="C39" s="44">
        <f>IF(_calc!$E$41="","","Survey readiness")</f>
        <v/>
      </c>
      <c r="D39" s="44">
        <f>IF(_calc!$E$41="","",IF(ISNUMBER(INDEX('Checklist'!$H$4:$H$503,_calc!$E$41)),TEXT(INDEX('Checklist'!$H$4:$H$503,_calc!$E$41),"yyyy-mm-dd"),""))</f>
        <v/>
      </c>
      <c r="F39" s="44">
        <f>IF(_calc!$E$41="","",TRIM(IF(LEN(IF(LEN(INDEX('Checklist'!$A$4:$A$503,_calc!$E$41))=0,"",INDEX('Checklist'!$A$4:$A$503,_calc!$E$41)))=0,"","Group: "&amp;IF(LEN(INDEX('Checklist'!$A$4:$A$503,_calc!$E$41))=0,"",INDEX('Checklist'!$A$4:$A$503,_calc!$E$41))&amp;". ")&amp;IF(LEN(IF(LEN(INDEX('Checklist'!$E$4:$E$503,_calc!$E$41))=0,"",INDEX('Checklist'!$E$4:$E$503,_calc!$E$41)))=0,"","Owner: "&amp;IF(LEN(INDEX('Checklist'!$E$4:$E$503,_calc!$E$41))=0,"",INDEX('Checklist'!$E$4:$E$503,_calc!$E$41))&amp;". ")&amp;IF(LEN(IF(LEN(INDEX('Checklist'!$F$4:$F$503,_calc!$E$41))=0,"",INDEX('Checklist'!$F$4:$F$503,_calc!$E$41)))=0,"","Backup: "&amp;IF(LEN(INDEX('Checklist'!$F$4:$F$503,_calc!$E$41))=0,"",INDEX('Checklist'!$F$4:$F$503,_calc!$E$41))&amp;". ")&amp;IF(LEN(IF(LEN(INDEX('Checklist'!$J$4:$J$503,_calc!$E$41))=0,"",INDEX('Checklist'!$J$4:$J$503,_calc!$E$41)))=0,"","Evidence: "&amp;IF(LEN(INDEX('Checklist'!$J$4:$J$503,_calc!$E$41))=0,"",INDEX('Checklist'!$J$4:$J$503,_calc!$E$41))&amp;". ")&amp;IF(LEN(IF(LEN(INDEX('Checklist'!$D$4:$D$503,_calc!$E$41))=0,"",INDEX('Checklist'!$D$4:$D$503,_calc!$E$41)))=0,"","Rule example: "&amp;IF(LEN(INDEX('Checklist'!$D$4:$D$503,_calc!$E$41))=0,"",INDEX('Checklist'!$D$4:$D$503,_calc!$E$41))&amp;". ")&amp;IF(LEN(IF(LEN(INDEX('Checklist'!$P$4:$P$503,_calc!$E$41))=0,"",INDEX('Checklist'!$P$4:$P$503,_calc!$E$41)))=0,"",IF(LEN(INDEX('Checklist'!$P$4:$P$503,_calc!$E$41))=0,"",INDEX('Checklist'!$P$4:$P$503,_calc!$E$41)))))</f>
        <v/>
      </c>
      <c r="K39" s="44">
        <f>IF(_calc!$E$41="","",IF(LEN(INDEX('Checklist'!$G$4:$G$503,_calc!$E$41))=0,"",INDEX('Checklist'!$G$4:$G$503,_calc!$E$41)))</f>
        <v/>
      </c>
    </row>
    <row r="40">
      <c r="A40" s="44">
        <f>IF(_calc!$E$42="","","Survey check – "&amp;IF(LEN(INDEX('Checklist'!$C$4:$C$503,_calc!$E$42))=0,"",INDEX('Checklist'!$C$4:$C$503,_calc!$E$42)))</f>
        <v/>
      </c>
      <c r="B40" s="44">
        <f>IF(_calc!$E$42="","",IF(ISNUMBER(INDEX('Checklist'!$L$4:$L$503,_calc!$E$42)),TEXT(INDEX('Checklist'!$L$4:$L$503,_calc!$E$42),"yyyy-mm-dd"),""))</f>
        <v/>
      </c>
      <c r="C40" s="44">
        <f>IF(_calc!$E$42="","","Survey readiness")</f>
        <v/>
      </c>
      <c r="D40" s="44">
        <f>IF(_calc!$E$42="","",IF(ISNUMBER(INDEX('Checklist'!$H$4:$H$503,_calc!$E$42)),TEXT(INDEX('Checklist'!$H$4:$H$503,_calc!$E$42),"yyyy-mm-dd"),""))</f>
        <v/>
      </c>
      <c r="F40" s="44">
        <f>IF(_calc!$E$42="","",TRIM(IF(LEN(IF(LEN(INDEX('Checklist'!$A$4:$A$503,_calc!$E$42))=0,"",INDEX('Checklist'!$A$4:$A$503,_calc!$E$42)))=0,"","Group: "&amp;IF(LEN(INDEX('Checklist'!$A$4:$A$503,_calc!$E$42))=0,"",INDEX('Checklist'!$A$4:$A$503,_calc!$E$42))&amp;". ")&amp;IF(LEN(IF(LEN(INDEX('Checklist'!$E$4:$E$503,_calc!$E$42))=0,"",INDEX('Checklist'!$E$4:$E$503,_calc!$E$42)))=0,"","Owner: "&amp;IF(LEN(INDEX('Checklist'!$E$4:$E$503,_calc!$E$42))=0,"",INDEX('Checklist'!$E$4:$E$503,_calc!$E$42))&amp;". ")&amp;IF(LEN(IF(LEN(INDEX('Checklist'!$F$4:$F$503,_calc!$E$42))=0,"",INDEX('Checklist'!$F$4:$F$503,_calc!$E$42)))=0,"","Backup: "&amp;IF(LEN(INDEX('Checklist'!$F$4:$F$503,_calc!$E$42))=0,"",INDEX('Checklist'!$F$4:$F$503,_calc!$E$42))&amp;". ")&amp;IF(LEN(IF(LEN(INDEX('Checklist'!$J$4:$J$503,_calc!$E$42))=0,"",INDEX('Checklist'!$J$4:$J$503,_calc!$E$42)))=0,"","Evidence: "&amp;IF(LEN(INDEX('Checklist'!$J$4:$J$503,_calc!$E$42))=0,"",INDEX('Checklist'!$J$4:$J$503,_calc!$E$42))&amp;". ")&amp;IF(LEN(IF(LEN(INDEX('Checklist'!$D$4:$D$503,_calc!$E$42))=0,"",INDEX('Checklist'!$D$4:$D$503,_calc!$E$42)))=0,"","Rule example: "&amp;IF(LEN(INDEX('Checklist'!$D$4:$D$503,_calc!$E$42))=0,"",INDEX('Checklist'!$D$4:$D$503,_calc!$E$42))&amp;". ")&amp;IF(LEN(IF(LEN(INDEX('Checklist'!$P$4:$P$503,_calc!$E$42))=0,"",INDEX('Checklist'!$P$4:$P$503,_calc!$E$42)))=0,"",IF(LEN(INDEX('Checklist'!$P$4:$P$503,_calc!$E$42))=0,"",INDEX('Checklist'!$P$4:$P$503,_calc!$E$42)))))</f>
        <v/>
      </c>
      <c r="K40" s="44">
        <f>IF(_calc!$E$42="","",IF(LEN(INDEX('Checklist'!$G$4:$G$503,_calc!$E$42))=0,"",INDEX('Checklist'!$G$4:$G$503,_calc!$E$42)))</f>
        <v/>
      </c>
    </row>
    <row r="41">
      <c r="A41" s="44">
        <f>IF(_calc!$E$43="","","Survey check – "&amp;IF(LEN(INDEX('Checklist'!$C$4:$C$503,_calc!$E$43))=0,"",INDEX('Checklist'!$C$4:$C$503,_calc!$E$43)))</f>
        <v/>
      </c>
      <c r="B41" s="44">
        <f>IF(_calc!$E$43="","",IF(ISNUMBER(INDEX('Checklist'!$L$4:$L$503,_calc!$E$43)),TEXT(INDEX('Checklist'!$L$4:$L$503,_calc!$E$43),"yyyy-mm-dd"),""))</f>
        <v/>
      </c>
      <c r="C41" s="44">
        <f>IF(_calc!$E$43="","","Survey readiness")</f>
        <v/>
      </c>
      <c r="D41" s="44">
        <f>IF(_calc!$E$43="","",IF(ISNUMBER(INDEX('Checklist'!$H$4:$H$503,_calc!$E$43)),TEXT(INDEX('Checklist'!$H$4:$H$503,_calc!$E$43),"yyyy-mm-dd"),""))</f>
        <v/>
      </c>
      <c r="F41" s="44">
        <f>IF(_calc!$E$43="","",TRIM(IF(LEN(IF(LEN(INDEX('Checklist'!$A$4:$A$503,_calc!$E$43))=0,"",INDEX('Checklist'!$A$4:$A$503,_calc!$E$43)))=0,"","Group: "&amp;IF(LEN(INDEX('Checklist'!$A$4:$A$503,_calc!$E$43))=0,"",INDEX('Checklist'!$A$4:$A$503,_calc!$E$43))&amp;". ")&amp;IF(LEN(IF(LEN(INDEX('Checklist'!$E$4:$E$503,_calc!$E$43))=0,"",INDEX('Checklist'!$E$4:$E$503,_calc!$E$43)))=0,"","Owner: "&amp;IF(LEN(INDEX('Checklist'!$E$4:$E$503,_calc!$E$43))=0,"",INDEX('Checklist'!$E$4:$E$503,_calc!$E$43))&amp;". ")&amp;IF(LEN(IF(LEN(INDEX('Checklist'!$F$4:$F$503,_calc!$E$43))=0,"",INDEX('Checklist'!$F$4:$F$503,_calc!$E$43)))=0,"","Backup: "&amp;IF(LEN(INDEX('Checklist'!$F$4:$F$503,_calc!$E$43))=0,"",INDEX('Checklist'!$F$4:$F$503,_calc!$E$43))&amp;". ")&amp;IF(LEN(IF(LEN(INDEX('Checklist'!$J$4:$J$503,_calc!$E$43))=0,"",INDEX('Checklist'!$J$4:$J$503,_calc!$E$43)))=0,"","Evidence: "&amp;IF(LEN(INDEX('Checklist'!$J$4:$J$503,_calc!$E$43))=0,"",INDEX('Checklist'!$J$4:$J$503,_calc!$E$43))&amp;". ")&amp;IF(LEN(IF(LEN(INDEX('Checklist'!$D$4:$D$503,_calc!$E$43))=0,"",INDEX('Checklist'!$D$4:$D$503,_calc!$E$43)))=0,"","Rule example: "&amp;IF(LEN(INDEX('Checklist'!$D$4:$D$503,_calc!$E$43))=0,"",INDEX('Checklist'!$D$4:$D$503,_calc!$E$43))&amp;". ")&amp;IF(LEN(IF(LEN(INDEX('Checklist'!$P$4:$P$503,_calc!$E$43))=0,"",INDEX('Checklist'!$P$4:$P$503,_calc!$E$43)))=0,"",IF(LEN(INDEX('Checklist'!$P$4:$P$503,_calc!$E$43))=0,"",INDEX('Checklist'!$P$4:$P$503,_calc!$E$43)))))</f>
        <v/>
      </c>
      <c r="K41" s="44">
        <f>IF(_calc!$E$43="","",IF(LEN(INDEX('Checklist'!$G$4:$G$503,_calc!$E$43))=0,"",INDEX('Checklist'!$G$4:$G$503,_calc!$E$43)))</f>
        <v/>
      </c>
    </row>
    <row r="42">
      <c r="A42" s="44">
        <f>IF(_calc!$E$44="","","Survey check – "&amp;IF(LEN(INDEX('Checklist'!$C$4:$C$503,_calc!$E$44))=0,"",INDEX('Checklist'!$C$4:$C$503,_calc!$E$44)))</f>
        <v/>
      </c>
      <c r="B42" s="44">
        <f>IF(_calc!$E$44="","",IF(ISNUMBER(INDEX('Checklist'!$L$4:$L$503,_calc!$E$44)),TEXT(INDEX('Checklist'!$L$4:$L$503,_calc!$E$44),"yyyy-mm-dd"),""))</f>
        <v/>
      </c>
      <c r="C42" s="44">
        <f>IF(_calc!$E$44="","","Survey readiness")</f>
        <v/>
      </c>
      <c r="D42" s="44">
        <f>IF(_calc!$E$44="","",IF(ISNUMBER(INDEX('Checklist'!$H$4:$H$503,_calc!$E$44)),TEXT(INDEX('Checklist'!$H$4:$H$503,_calc!$E$44),"yyyy-mm-dd"),""))</f>
        <v/>
      </c>
      <c r="F42" s="44">
        <f>IF(_calc!$E$44="","",TRIM(IF(LEN(IF(LEN(INDEX('Checklist'!$A$4:$A$503,_calc!$E$44))=0,"",INDEX('Checklist'!$A$4:$A$503,_calc!$E$44)))=0,"","Group: "&amp;IF(LEN(INDEX('Checklist'!$A$4:$A$503,_calc!$E$44))=0,"",INDEX('Checklist'!$A$4:$A$503,_calc!$E$44))&amp;". ")&amp;IF(LEN(IF(LEN(INDEX('Checklist'!$E$4:$E$503,_calc!$E$44))=0,"",INDEX('Checklist'!$E$4:$E$503,_calc!$E$44)))=0,"","Owner: "&amp;IF(LEN(INDEX('Checklist'!$E$4:$E$503,_calc!$E$44))=0,"",INDEX('Checklist'!$E$4:$E$503,_calc!$E$44))&amp;". ")&amp;IF(LEN(IF(LEN(INDEX('Checklist'!$F$4:$F$503,_calc!$E$44))=0,"",INDEX('Checklist'!$F$4:$F$503,_calc!$E$44)))=0,"","Backup: "&amp;IF(LEN(INDEX('Checklist'!$F$4:$F$503,_calc!$E$44))=0,"",INDEX('Checklist'!$F$4:$F$503,_calc!$E$44))&amp;". ")&amp;IF(LEN(IF(LEN(INDEX('Checklist'!$J$4:$J$503,_calc!$E$44))=0,"",INDEX('Checklist'!$J$4:$J$503,_calc!$E$44)))=0,"","Evidence: "&amp;IF(LEN(INDEX('Checklist'!$J$4:$J$503,_calc!$E$44))=0,"",INDEX('Checklist'!$J$4:$J$503,_calc!$E$44))&amp;". ")&amp;IF(LEN(IF(LEN(INDEX('Checklist'!$D$4:$D$503,_calc!$E$44))=0,"",INDEX('Checklist'!$D$4:$D$503,_calc!$E$44)))=0,"","Rule example: "&amp;IF(LEN(INDEX('Checklist'!$D$4:$D$503,_calc!$E$44))=0,"",INDEX('Checklist'!$D$4:$D$503,_calc!$E$44))&amp;". ")&amp;IF(LEN(IF(LEN(INDEX('Checklist'!$P$4:$P$503,_calc!$E$44))=0,"",INDEX('Checklist'!$P$4:$P$503,_calc!$E$44)))=0,"",IF(LEN(INDEX('Checklist'!$P$4:$P$503,_calc!$E$44))=0,"",INDEX('Checklist'!$P$4:$P$503,_calc!$E$44)))))</f>
        <v/>
      </c>
      <c r="K42" s="44">
        <f>IF(_calc!$E$44="","",IF(LEN(INDEX('Checklist'!$G$4:$G$503,_calc!$E$44))=0,"",INDEX('Checklist'!$G$4:$G$503,_calc!$E$44)))</f>
        <v/>
      </c>
    </row>
    <row r="43">
      <c r="A43" s="44">
        <f>IF(_calc!$E$45="","","Survey check – "&amp;IF(LEN(INDEX('Checklist'!$C$4:$C$503,_calc!$E$45))=0,"",INDEX('Checklist'!$C$4:$C$503,_calc!$E$45)))</f>
        <v/>
      </c>
      <c r="B43" s="44">
        <f>IF(_calc!$E$45="","",IF(ISNUMBER(INDEX('Checklist'!$L$4:$L$503,_calc!$E$45)),TEXT(INDEX('Checklist'!$L$4:$L$503,_calc!$E$45),"yyyy-mm-dd"),""))</f>
        <v/>
      </c>
      <c r="C43" s="44">
        <f>IF(_calc!$E$45="","","Survey readiness")</f>
        <v/>
      </c>
      <c r="D43" s="44">
        <f>IF(_calc!$E$45="","",IF(ISNUMBER(INDEX('Checklist'!$H$4:$H$503,_calc!$E$45)),TEXT(INDEX('Checklist'!$H$4:$H$503,_calc!$E$45),"yyyy-mm-dd"),""))</f>
        <v/>
      </c>
      <c r="F43" s="44">
        <f>IF(_calc!$E$45="","",TRIM(IF(LEN(IF(LEN(INDEX('Checklist'!$A$4:$A$503,_calc!$E$45))=0,"",INDEX('Checklist'!$A$4:$A$503,_calc!$E$45)))=0,"","Group: "&amp;IF(LEN(INDEX('Checklist'!$A$4:$A$503,_calc!$E$45))=0,"",INDEX('Checklist'!$A$4:$A$503,_calc!$E$45))&amp;". ")&amp;IF(LEN(IF(LEN(INDEX('Checklist'!$E$4:$E$503,_calc!$E$45))=0,"",INDEX('Checklist'!$E$4:$E$503,_calc!$E$45)))=0,"","Owner: "&amp;IF(LEN(INDEX('Checklist'!$E$4:$E$503,_calc!$E$45))=0,"",INDEX('Checklist'!$E$4:$E$503,_calc!$E$45))&amp;". ")&amp;IF(LEN(IF(LEN(INDEX('Checklist'!$F$4:$F$503,_calc!$E$45))=0,"",INDEX('Checklist'!$F$4:$F$503,_calc!$E$45)))=0,"","Backup: "&amp;IF(LEN(INDEX('Checklist'!$F$4:$F$503,_calc!$E$45))=0,"",INDEX('Checklist'!$F$4:$F$503,_calc!$E$45))&amp;". ")&amp;IF(LEN(IF(LEN(INDEX('Checklist'!$J$4:$J$503,_calc!$E$45))=0,"",INDEX('Checklist'!$J$4:$J$503,_calc!$E$45)))=0,"","Evidence: "&amp;IF(LEN(INDEX('Checklist'!$J$4:$J$503,_calc!$E$45))=0,"",INDEX('Checklist'!$J$4:$J$503,_calc!$E$45))&amp;". ")&amp;IF(LEN(IF(LEN(INDEX('Checklist'!$D$4:$D$503,_calc!$E$45))=0,"",INDEX('Checklist'!$D$4:$D$503,_calc!$E$45)))=0,"","Rule example: "&amp;IF(LEN(INDEX('Checklist'!$D$4:$D$503,_calc!$E$45))=0,"",INDEX('Checklist'!$D$4:$D$503,_calc!$E$45))&amp;". ")&amp;IF(LEN(IF(LEN(INDEX('Checklist'!$P$4:$P$503,_calc!$E$45))=0,"",INDEX('Checklist'!$P$4:$P$503,_calc!$E$45)))=0,"",IF(LEN(INDEX('Checklist'!$P$4:$P$503,_calc!$E$45))=0,"",INDEX('Checklist'!$P$4:$P$503,_calc!$E$45)))))</f>
        <v/>
      </c>
      <c r="K43" s="44">
        <f>IF(_calc!$E$45="","",IF(LEN(INDEX('Checklist'!$G$4:$G$503,_calc!$E$45))=0,"",INDEX('Checklist'!$G$4:$G$503,_calc!$E$45)))</f>
        <v/>
      </c>
    </row>
    <row r="44">
      <c r="A44" s="44">
        <f>IF(_calc!$E$46="","","Survey check – "&amp;IF(LEN(INDEX('Checklist'!$C$4:$C$503,_calc!$E$46))=0,"",INDEX('Checklist'!$C$4:$C$503,_calc!$E$46)))</f>
        <v/>
      </c>
      <c r="B44" s="44">
        <f>IF(_calc!$E$46="","",IF(ISNUMBER(INDEX('Checklist'!$L$4:$L$503,_calc!$E$46)),TEXT(INDEX('Checklist'!$L$4:$L$503,_calc!$E$46),"yyyy-mm-dd"),""))</f>
        <v/>
      </c>
      <c r="C44" s="44">
        <f>IF(_calc!$E$46="","","Survey readiness")</f>
        <v/>
      </c>
      <c r="D44" s="44">
        <f>IF(_calc!$E$46="","",IF(ISNUMBER(INDEX('Checklist'!$H$4:$H$503,_calc!$E$46)),TEXT(INDEX('Checklist'!$H$4:$H$503,_calc!$E$46),"yyyy-mm-dd"),""))</f>
        <v/>
      </c>
      <c r="F44" s="44">
        <f>IF(_calc!$E$46="","",TRIM(IF(LEN(IF(LEN(INDEX('Checklist'!$A$4:$A$503,_calc!$E$46))=0,"",INDEX('Checklist'!$A$4:$A$503,_calc!$E$46)))=0,"","Group: "&amp;IF(LEN(INDEX('Checklist'!$A$4:$A$503,_calc!$E$46))=0,"",INDEX('Checklist'!$A$4:$A$503,_calc!$E$46))&amp;". ")&amp;IF(LEN(IF(LEN(INDEX('Checklist'!$E$4:$E$503,_calc!$E$46))=0,"",INDEX('Checklist'!$E$4:$E$503,_calc!$E$46)))=0,"","Owner: "&amp;IF(LEN(INDEX('Checklist'!$E$4:$E$503,_calc!$E$46))=0,"",INDEX('Checklist'!$E$4:$E$503,_calc!$E$46))&amp;". ")&amp;IF(LEN(IF(LEN(INDEX('Checklist'!$F$4:$F$503,_calc!$E$46))=0,"",INDEX('Checklist'!$F$4:$F$503,_calc!$E$46)))=0,"","Backup: "&amp;IF(LEN(INDEX('Checklist'!$F$4:$F$503,_calc!$E$46))=0,"",INDEX('Checklist'!$F$4:$F$503,_calc!$E$46))&amp;". ")&amp;IF(LEN(IF(LEN(INDEX('Checklist'!$J$4:$J$503,_calc!$E$46))=0,"",INDEX('Checklist'!$J$4:$J$503,_calc!$E$46)))=0,"","Evidence: "&amp;IF(LEN(INDEX('Checklist'!$J$4:$J$503,_calc!$E$46))=0,"",INDEX('Checklist'!$J$4:$J$503,_calc!$E$46))&amp;". ")&amp;IF(LEN(IF(LEN(INDEX('Checklist'!$D$4:$D$503,_calc!$E$46))=0,"",INDEX('Checklist'!$D$4:$D$503,_calc!$E$46)))=0,"","Rule example: "&amp;IF(LEN(INDEX('Checklist'!$D$4:$D$503,_calc!$E$46))=0,"",INDEX('Checklist'!$D$4:$D$503,_calc!$E$46))&amp;". ")&amp;IF(LEN(IF(LEN(INDEX('Checklist'!$P$4:$P$503,_calc!$E$46))=0,"",INDEX('Checklist'!$P$4:$P$503,_calc!$E$46)))=0,"",IF(LEN(INDEX('Checklist'!$P$4:$P$503,_calc!$E$46))=0,"",INDEX('Checklist'!$P$4:$P$503,_calc!$E$46)))))</f>
        <v/>
      </c>
      <c r="K44" s="44">
        <f>IF(_calc!$E$46="","",IF(LEN(INDEX('Checklist'!$G$4:$G$503,_calc!$E$46))=0,"",INDEX('Checklist'!$G$4:$G$503,_calc!$E$46)))</f>
        <v/>
      </c>
    </row>
    <row r="45">
      <c r="A45" s="44">
        <f>IF(_calc!$E$47="","","Survey check – "&amp;IF(LEN(INDEX('Checklist'!$C$4:$C$503,_calc!$E$47))=0,"",INDEX('Checklist'!$C$4:$C$503,_calc!$E$47)))</f>
        <v/>
      </c>
      <c r="B45" s="44">
        <f>IF(_calc!$E$47="","",IF(ISNUMBER(INDEX('Checklist'!$L$4:$L$503,_calc!$E$47)),TEXT(INDEX('Checklist'!$L$4:$L$503,_calc!$E$47),"yyyy-mm-dd"),""))</f>
        <v/>
      </c>
      <c r="C45" s="44">
        <f>IF(_calc!$E$47="","","Survey readiness")</f>
        <v/>
      </c>
      <c r="D45" s="44">
        <f>IF(_calc!$E$47="","",IF(ISNUMBER(INDEX('Checklist'!$H$4:$H$503,_calc!$E$47)),TEXT(INDEX('Checklist'!$H$4:$H$503,_calc!$E$47),"yyyy-mm-dd"),""))</f>
        <v/>
      </c>
      <c r="F45" s="44">
        <f>IF(_calc!$E$47="","",TRIM(IF(LEN(IF(LEN(INDEX('Checklist'!$A$4:$A$503,_calc!$E$47))=0,"",INDEX('Checklist'!$A$4:$A$503,_calc!$E$47)))=0,"","Group: "&amp;IF(LEN(INDEX('Checklist'!$A$4:$A$503,_calc!$E$47))=0,"",INDEX('Checklist'!$A$4:$A$503,_calc!$E$47))&amp;". ")&amp;IF(LEN(IF(LEN(INDEX('Checklist'!$E$4:$E$503,_calc!$E$47))=0,"",INDEX('Checklist'!$E$4:$E$503,_calc!$E$47)))=0,"","Owner: "&amp;IF(LEN(INDEX('Checklist'!$E$4:$E$503,_calc!$E$47))=0,"",INDEX('Checklist'!$E$4:$E$503,_calc!$E$47))&amp;". ")&amp;IF(LEN(IF(LEN(INDEX('Checklist'!$F$4:$F$503,_calc!$E$47))=0,"",INDEX('Checklist'!$F$4:$F$503,_calc!$E$47)))=0,"","Backup: "&amp;IF(LEN(INDEX('Checklist'!$F$4:$F$503,_calc!$E$47))=0,"",INDEX('Checklist'!$F$4:$F$503,_calc!$E$47))&amp;". ")&amp;IF(LEN(IF(LEN(INDEX('Checklist'!$J$4:$J$503,_calc!$E$47))=0,"",INDEX('Checklist'!$J$4:$J$503,_calc!$E$47)))=0,"","Evidence: "&amp;IF(LEN(INDEX('Checklist'!$J$4:$J$503,_calc!$E$47))=0,"",INDEX('Checklist'!$J$4:$J$503,_calc!$E$47))&amp;". ")&amp;IF(LEN(IF(LEN(INDEX('Checklist'!$D$4:$D$503,_calc!$E$47))=0,"",INDEX('Checklist'!$D$4:$D$503,_calc!$E$47)))=0,"","Rule example: "&amp;IF(LEN(INDEX('Checklist'!$D$4:$D$503,_calc!$E$47))=0,"",INDEX('Checklist'!$D$4:$D$503,_calc!$E$47))&amp;". ")&amp;IF(LEN(IF(LEN(INDEX('Checklist'!$P$4:$P$503,_calc!$E$47))=0,"",INDEX('Checklist'!$P$4:$P$503,_calc!$E$47)))=0,"",IF(LEN(INDEX('Checklist'!$P$4:$P$503,_calc!$E$47))=0,"",INDEX('Checklist'!$P$4:$P$503,_calc!$E$47)))))</f>
        <v/>
      </c>
      <c r="K45" s="44">
        <f>IF(_calc!$E$47="","",IF(LEN(INDEX('Checklist'!$G$4:$G$503,_calc!$E$47))=0,"",INDEX('Checklist'!$G$4:$G$503,_calc!$E$47)))</f>
        <v/>
      </c>
    </row>
    <row r="46">
      <c r="A46" s="44">
        <f>IF(_calc!$E$48="","","Survey check – "&amp;IF(LEN(INDEX('Checklist'!$C$4:$C$503,_calc!$E$48))=0,"",INDEX('Checklist'!$C$4:$C$503,_calc!$E$48)))</f>
        <v/>
      </c>
      <c r="B46" s="44">
        <f>IF(_calc!$E$48="","",IF(ISNUMBER(INDEX('Checklist'!$L$4:$L$503,_calc!$E$48)),TEXT(INDEX('Checklist'!$L$4:$L$503,_calc!$E$48),"yyyy-mm-dd"),""))</f>
        <v/>
      </c>
      <c r="C46" s="44">
        <f>IF(_calc!$E$48="","","Survey readiness")</f>
        <v/>
      </c>
      <c r="D46" s="44">
        <f>IF(_calc!$E$48="","",IF(ISNUMBER(INDEX('Checklist'!$H$4:$H$503,_calc!$E$48)),TEXT(INDEX('Checklist'!$H$4:$H$503,_calc!$E$48),"yyyy-mm-dd"),""))</f>
        <v/>
      </c>
      <c r="F46" s="44">
        <f>IF(_calc!$E$48="","",TRIM(IF(LEN(IF(LEN(INDEX('Checklist'!$A$4:$A$503,_calc!$E$48))=0,"",INDEX('Checklist'!$A$4:$A$503,_calc!$E$48)))=0,"","Group: "&amp;IF(LEN(INDEX('Checklist'!$A$4:$A$503,_calc!$E$48))=0,"",INDEX('Checklist'!$A$4:$A$503,_calc!$E$48))&amp;". ")&amp;IF(LEN(IF(LEN(INDEX('Checklist'!$E$4:$E$503,_calc!$E$48))=0,"",INDEX('Checklist'!$E$4:$E$503,_calc!$E$48)))=0,"","Owner: "&amp;IF(LEN(INDEX('Checklist'!$E$4:$E$503,_calc!$E$48))=0,"",INDEX('Checklist'!$E$4:$E$503,_calc!$E$48))&amp;". ")&amp;IF(LEN(IF(LEN(INDEX('Checklist'!$F$4:$F$503,_calc!$E$48))=0,"",INDEX('Checklist'!$F$4:$F$503,_calc!$E$48)))=0,"","Backup: "&amp;IF(LEN(INDEX('Checklist'!$F$4:$F$503,_calc!$E$48))=0,"",INDEX('Checklist'!$F$4:$F$503,_calc!$E$48))&amp;". ")&amp;IF(LEN(IF(LEN(INDEX('Checklist'!$J$4:$J$503,_calc!$E$48))=0,"",INDEX('Checklist'!$J$4:$J$503,_calc!$E$48)))=0,"","Evidence: "&amp;IF(LEN(INDEX('Checklist'!$J$4:$J$503,_calc!$E$48))=0,"",INDEX('Checklist'!$J$4:$J$503,_calc!$E$48))&amp;". ")&amp;IF(LEN(IF(LEN(INDEX('Checklist'!$D$4:$D$503,_calc!$E$48))=0,"",INDEX('Checklist'!$D$4:$D$503,_calc!$E$48)))=0,"","Rule example: "&amp;IF(LEN(INDEX('Checklist'!$D$4:$D$503,_calc!$E$48))=0,"",INDEX('Checklist'!$D$4:$D$503,_calc!$E$48))&amp;". ")&amp;IF(LEN(IF(LEN(INDEX('Checklist'!$P$4:$P$503,_calc!$E$48))=0,"",INDEX('Checklist'!$P$4:$P$503,_calc!$E$48)))=0,"",IF(LEN(INDEX('Checklist'!$P$4:$P$503,_calc!$E$48))=0,"",INDEX('Checklist'!$P$4:$P$503,_calc!$E$48)))))</f>
        <v/>
      </c>
      <c r="K46" s="44">
        <f>IF(_calc!$E$48="","",IF(LEN(INDEX('Checklist'!$G$4:$G$503,_calc!$E$48))=0,"",INDEX('Checklist'!$G$4:$G$503,_calc!$E$48)))</f>
        <v/>
      </c>
    </row>
    <row r="47">
      <c r="A47" s="44">
        <f>IF(_calc!$E$49="","","Survey check – "&amp;IF(LEN(INDEX('Checklist'!$C$4:$C$503,_calc!$E$49))=0,"",INDEX('Checklist'!$C$4:$C$503,_calc!$E$49)))</f>
        <v/>
      </c>
      <c r="B47" s="44">
        <f>IF(_calc!$E$49="","",IF(ISNUMBER(INDEX('Checklist'!$L$4:$L$503,_calc!$E$49)),TEXT(INDEX('Checklist'!$L$4:$L$503,_calc!$E$49),"yyyy-mm-dd"),""))</f>
        <v/>
      </c>
      <c r="C47" s="44">
        <f>IF(_calc!$E$49="","","Survey readiness")</f>
        <v/>
      </c>
      <c r="D47" s="44">
        <f>IF(_calc!$E$49="","",IF(ISNUMBER(INDEX('Checklist'!$H$4:$H$503,_calc!$E$49)),TEXT(INDEX('Checklist'!$H$4:$H$503,_calc!$E$49),"yyyy-mm-dd"),""))</f>
        <v/>
      </c>
      <c r="F47" s="44">
        <f>IF(_calc!$E$49="","",TRIM(IF(LEN(IF(LEN(INDEX('Checklist'!$A$4:$A$503,_calc!$E$49))=0,"",INDEX('Checklist'!$A$4:$A$503,_calc!$E$49)))=0,"","Group: "&amp;IF(LEN(INDEX('Checklist'!$A$4:$A$503,_calc!$E$49))=0,"",INDEX('Checklist'!$A$4:$A$503,_calc!$E$49))&amp;". ")&amp;IF(LEN(IF(LEN(INDEX('Checklist'!$E$4:$E$503,_calc!$E$49))=0,"",INDEX('Checklist'!$E$4:$E$503,_calc!$E$49)))=0,"","Owner: "&amp;IF(LEN(INDEX('Checklist'!$E$4:$E$503,_calc!$E$49))=0,"",INDEX('Checklist'!$E$4:$E$503,_calc!$E$49))&amp;". ")&amp;IF(LEN(IF(LEN(INDEX('Checklist'!$F$4:$F$503,_calc!$E$49))=0,"",INDEX('Checklist'!$F$4:$F$503,_calc!$E$49)))=0,"","Backup: "&amp;IF(LEN(INDEX('Checklist'!$F$4:$F$503,_calc!$E$49))=0,"",INDEX('Checklist'!$F$4:$F$503,_calc!$E$49))&amp;". ")&amp;IF(LEN(IF(LEN(INDEX('Checklist'!$J$4:$J$503,_calc!$E$49))=0,"",INDEX('Checklist'!$J$4:$J$503,_calc!$E$49)))=0,"","Evidence: "&amp;IF(LEN(INDEX('Checklist'!$J$4:$J$503,_calc!$E$49))=0,"",INDEX('Checklist'!$J$4:$J$503,_calc!$E$49))&amp;". ")&amp;IF(LEN(IF(LEN(INDEX('Checklist'!$D$4:$D$503,_calc!$E$49))=0,"",INDEX('Checklist'!$D$4:$D$503,_calc!$E$49)))=0,"","Rule example: "&amp;IF(LEN(INDEX('Checklist'!$D$4:$D$503,_calc!$E$49))=0,"",INDEX('Checklist'!$D$4:$D$503,_calc!$E$49))&amp;". ")&amp;IF(LEN(IF(LEN(INDEX('Checklist'!$P$4:$P$503,_calc!$E$49))=0,"",INDEX('Checklist'!$P$4:$P$503,_calc!$E$49)))=0,"",IF(LEN(INDEX('Checklist'!$P$4:$P$503,_calc!$E$49))=0,"",INDEX('Checklist'!$P$4:$P$503,_calc!$E$49)))))</f>
        <v/>
      </c>
      <c r="K47" s="44">
        <f>IF(_calc!$E$49="","",IF(LEN(INDEX('Checklist'!$G$4:$G$503,_calc!$E$49))=0,"",INDEX('Checklist'!$G$4:$G$503,_calc!$E$49)))</f>
        <v/>
      </c>
    </row>
    <row r="48">
      <c r="A48" s="44">
        <f>IF(_calc!$E$50="","","Survey check – "&amp;IF(LEN(INDEX('Checklist'!$C$4:$C$503,_calc!$E$50))=0,"",INDEX('Checklist'!$C$4:$C$503,_calc!$E$50)))</f>
        <v/>
      </c>
      <c r="B48" s="44">
        <f>IF(_calc!$E$50="","",IF(ISNUMBER(INDEX('Checklist'!$L$4:$L$503,_calc!$E$50)),TEXT(INDEX('Checklist'!$L$4:$L$503,_calc!$E$50),"yyyy-mm-dd"),""))</f>
        <v/>
      </c>
      <c r="C48" s="44">
        <f>IF(_calc!$E$50="","","Survey readiness")</f>
        <v/>
      </c>
      <c r="D48" s="44">
        <f>IF(_calc!$E$50="","",IF(ISNUMBER(INDEX('Checklist'!$H$4:$H$503,_calc!$E$50)),TEXT(INDEX('Checklist'!$H$4:$H$503,_calc!$E$50),"yyyy-mm-dd"),""))</f>
        <v/>
      </c>
      <c r="F48" s="44">
        <f>IF(_calc!$E$50="","",TRIM(IF(LEN(IF(LEN(INDEX('Checklist'!$A$4:$A$503,_calc!$E$50))=0,"",INDEX('Checklist'!$A$4:$A$503,_calc!$E$50)))=0,"","Group: "&amp;IF(LEN(INDEX('Checklist'!$A$4:$A$503,_calc!$E$50))=0,"",INDEX('Checklist'!$A$4:$A$503,_calc!$E$50))&amp;". ")&amp;IF(LEN(IF(LEN(INDEX('Checklist'!$E$4:$E$503,_calc!$E$50))=0,"",INDEX('Checklist'!$E$4:$E$503,_calc!$E$50)))=0,"","Owner: "&amp;IF(LEN(INDEX('Checklist'!$E$4:$E$503,_calc!$E$50))=0,"",INDEX('Checklist'!$E$4:$E$503,_calc!$E$50))&amp;". ")&amp;IF(LEN(IF(LEN(INDEX('Checklist'!$F$4:$F$503,_calc!$E$50))=0,"",INDEX('Checklist'!$F$4:$F$503,_calc!$E$50)))=0,"","Backup: "&amp;IF(LEN(INDEX('Checklist'!$F$4:$F$503,_calc!$E$50))=0,"",INDEX('Checklist'!$F$4:$F$503,_calc!$E$50))&amp;". ")&amp;IF(LEN(IF(LEN(INDEX('Checklist'!$J$4:$J$503,_calc!$E$50))=0,"",INDEX('Checklist'!$J$4:$J$503,_calc!$E$50)))=0,"","Evidence: "&amp;IF(LEN(INDEX('Checklist'!$J$4:$J$503,_calc!$E$50))=0,"",INDEX('Checklist'!$J$4:$J$503,_calc!$E$50))&amp;". ")&amp;IF(LEN(IF(LEN(INDEX('Checklist'!$D$4:$D$503,_calc!$E$50))=0,"",INDEX('Checklist'!$D$4:$D$503,_calc!$E$50)))=0,"","Rule example: "&amp;IF(LEN(INDEX('Checklist'!$D$4:$D$503,_calc!$E$50))=0,"",INDEX('Checklist'!$D$4:$D$503,_calc!$E$50))&amp;". ")&amp;IF(LEN(IF(LEN(INDEX('Checklist'!$P$4:$P$503,_calc!$E$50))=0,"",INDEX('Checklist'!$P$4:$P$503,_calc!$E$50)))=0,"",IF(LEN(INDEX('Checklist'!$P$4:$P$503,_calc!$E$50))=0,"",INDEX('Checklist'!$P$4:$P$503,_calc!$E$50)))))</f>
        <v/>
      </c>
      <c r="K48" s="44">
        <f>IF(_calc!$E$50="","",IF(LEN(INDEX('Checklist'!$G$4:$G$503,_calc!$E$50))=0,"",INDEX('Checklist'!$G$4:$G$503,_calc!$E$50)))</f>
        <v/>
      </c>
    </row>
    <row r="49">
      <c r="A49" s="44">
        <f>IF(_calc!$E$51="","","Survey check – "&amp;IF(LEN(INDEX('Checklist'!$C$4:$C$503,_calc!$E$51))=0,"",INDEX('Checklist'!$C$4:$C$503,_calc!$E$51)))</f>
        <v/>
      </c>
      <c r="B49" s="44">
        <f>IF(_calc!$E$51="","",IF(ISNUMBER(INDEX('Checklist'!$L$4:$L$503,_calc!$E$51)),TEXT(INDEX('Checklist'!$L$4:$L$503,_calc!$E$51),"yyyy-mm-dd"),""))</f>
        <v/>
      </c>
      <c r="C49" s="44">
        <f>IF(_calc!$E$51="","","Survey readiness")</f>
        <v/>
      </c>
      <c r="D49" s="44">
        <f>IF(_calc!$E$51="","",IF(ISNUMBER(INDEX('Checklist'!$H$4:$H$503,_calc!$E$51)),TEXT(INDEX('Checklist'!$H$4:$H$503,_calc!$E$51),"yyyy-mm-dd"),""))</f>
        <v/>
      </c>
      <c r="F49" s="44">
        <f>IF(_calc!$E$51="","",TRIM(IF(LEN(IF(LEN(INDEX('Checklist'!$A$4:$A$503,_calc!$E$51))=0,"",INDEX('Checklist'!$A$4:$A$503,_calc!$E$51)))=0,"","Group: "&amp;IF(LEN(INDEX('Checklist'!$A$4:$A$503,_calc!$E$51))=0,"",INDEX('Checklist'!$A$4:$A$503,_calc!$E$51))&amp;". ")&amp;IF(LEN(IF(LEN(INDEX('Checklist'!$E$4:$E$503,_calc!$E$51))=0,"",INDEX('Checklist'!$E$4:$E$503,_calc!$E$51)))=0,"","Owner: "&amp;IF(LEN(INDEX('Checklist'!$E$4:$E$503,_calc!$E$51))=0,"",INDEX('Checklist'!$E$4:$E$503,_calc!$E$51))&amp;". ")&amp;IF(LEN(IF(LEN(INDEX('Checklist'!$F$4:$F$503,_calc!$E$51))=0,"",INDEX('Checklist'!$F$4:$F$503,_calc!$E$51)))=0,"","Backup: "&amp;IF(LEN(INDEX('Checklist'!$F$4:$F$503,_calc!$E$51))=0,"",INDEX('Checklist'!$F$4:$F$503,_calc!$E$51))&amp;". ")&amp;IF(LEN(IF(LEN(INDEX('Checklist'!$J$4:$J$503,_calc!$E$51))=0,"",INDEX('Checklist'!$J$4:$J$503,_calc!$E$51)))=0,"","Evidence: "&amp;IF(LEN(INDEX('Checklist'!$J$4:$J$503,_calc!$E$51))=0,"",INDEX('Checklist'!$J$4:$J$503,_calc!$E$51))&amp;". ")&amp;IF(LEN(IF(LEN(INDEX('Checklist'!$D$4:$D$503,_calc!$E$51))=0,"",INDEX('Checklist'!$D$4:$D$503,_calc!$E$51)))=0,"","Rule example: "&amp;IF(LEN(INDEX('Checklist'!$D$4:$D$503,_calc!$E$51))=0,"",INDEX('Checklist'!$D$4:$D$503,_calc!$E$51))&amp;". ")&amp;IF(LEN(IF(LEN(INDEX('Checklist'!$P$4:$P$503,_calc!$E$51))=0,"",INDEX('Checklist'!$P$4:$P$503,_calc!$E$51)))=0,"",IF(LEN(INDEX('Checklist'!$P$4:$P$503,_calc!$E$51))=0,"",INDEX('Checklist'!$P$4:$P$503,_calc!$E$51)))))</f>
        <v/>
      </c>
      <c r="K49" s="44">
        <f>IF(_calc!$E$51="","",IF(LEN(INDEX('Checklist'!$G$4:$G$503,_calc!$E$51))=0,"",INDEX('Checklist'!$G$4:$G$503,_calc!$E$51)))</f>
        <v/>
      </c>
    </row>
    <row r="50">
      <c r="A50" s="44">
        <f>IF(_calc!$E$52="","","Survey check – "&amp;IF(LEN(INDEX('Checklist'!$C$4:$C$503,_calc!$E$52))=0,"",INDEX('Checklist'!$C$4:$C$503,_calc!$E$52)))</f>
        <v/>
      </c>
      <c r="B50" s="44">
        <f>IF(_calc!$E$52="","",IF(ISNUMBER(INDEX('Checklist'!$L$4:$L$503,_calc!$E$52)),TEXT(INDEX('Checklist'!$L$4:$L$503,_calc!$E$52),"yyyy-mm-dd"),""))</f>
        <v/>
      </c>
      <c r="C50" s="44">
        <f>IF(_calc!$E$52="","","Survey readiness")</f>
        <v/>
      </c>
      <c r="D50" s="44">
        <f>IF(_calc!$E$52="","",IF(ISNUMBER(INDEX('Checklist'!$H$4:$H$503,_calc!$E$52)),TEXT(INDEX('Checklist'!$H$4:$H$503,_calc!$E$52),"yyyy-mm-dd"),""))</f>
        <v/>
      </c>
      <c r="F50" s="44">
        <f>IF(_calc!$E$52="","",TRIM(IF(LEN(IF(LEN(INDEX('Checklist'!$A$4:$A$503,_calc!$E$52))=0,"",INDEX('Checklist'!$A$4:$A$503,_calc!$E$52)))=0,"","Group: "&amp;IF(LEN(INDEX('Checklist'!$A$4:$A$503,_calc!$E$52))=0,"",INDEX('Checklist'!$A$4:$A$503,_calc!$E$52))&amp;". ")&amp;IF(LEN(IF(LEN(INDEX('Checklist'!$E$4:$E$503,_calc!$E$52))=0,"",INDEX('Checklist'!$E$4:$E$503,_calc!$E$52)))=0,"","Owner: "&amp;IF(LEN(INDEX('Checklist'!$E$4:$E$503,_calc!$E$52))=0,"",INDEX('Checklist'!$E$4:$E$503,_calc!$E$52))&amp;". ")&amp;IF(LEN(IF(LEN(INDEX('Checklist'!$F$4:$F$503,_calc!$E$52))=0,"",INDEX('Checklist'!$F$4:$F$503,_calc!$E$52)))=0,"","Backup: "&amp;IF(LEN(INDEX('Checklist'!$F$4:$F$503,_calc!$E$52))=0,"",INDEX('Checklist'!$F$4:$F$503,_calc!$E$52))&amp;". ")&amp;IF(LEN(IF(LEN(INDEX('Checklist'!$J$4:$J$503,_calc!$E$52))=0,"",INDEX('Checklist'!$J$4:$J$503,_calc!$E$52)))=0,"","Evidence: "&amp;IF(LEN(INDEX('Checklist'!$J$4:$J$503,_calc!$E$52))=0,"",INDEX('Checklist'!$J$4:$J$503,_calc!$E$52))&amp;". ")&amp;IF(LEN(IF(LEN(INDEX('Checklist'!$D$4:$D$503,_calc!$E$52))=0,"",INDEX('Checklist'!$D$4:$D$503,_calc!$E$52)))=0,"","Rule example: "&amp;IF(LEN(INDEX('Checklist'!$D$4:$D$503,_calc!$E$52))=0,"",INDEX('Checklist'!$D$4:$D$503,_calc!$E$52))&amp;". ")&amp;IF(LEN(IF(LEN(INDEX('Checklist'!$P$4:$P$503,_calc!$E$52))=0,"",INDEX('Checklist'!$P$4:$P$503,_calc!$E$52)))=0,"",IF(LEN(INDEX('Checklist'!$P$4:$P$503,_calc!$E$52))=0,"",INDEX('Checklist'!$P$4:$P$503,_calc!$E$52)))))</f>
        <v/>
      </c>
      <c r="K50" s="44">
        <f>IF(_calc!$E$52="","",IF(LEN(INDEX('Checklist'!$G$4:$G$503,_calc!$E$52))=0,"",INDEX('Checklist'!$G$4:$G$503,_calc!$E$52)))</f>
        <v/>
      </c>
    </row>
    <row r="51">
      <c r="A51" s="44">
        <f>IF(_calc!$E$53="","","Survey check – "&amp;IF(LEN(INDEX('Checklist'!$C$4:$C$503,_calc!$E$53))=0,"",INDEX('Checklist'!$C$4:$C$503,_calc!$E$53)))</f>
        <v/>
      </c>
      <c r="B51" s="44">
        <f>IF(_calc!$E$53="","",IF(ISNUMBER(INDEX('Checklist'!$L$4:$L$503,_calc!$E$53)),TEXT(INDEX('Checklist'!$L$4:$L$503,_calc!$E$53),"yyyy-mm-dd"),""))</f>
        <v/>
      </c>
      <c r="C51" s="44">
        <f>IF(_calc!$E$53="","","Survey readiness")</f>
        <v/>
      </c>
      <c r="D51" s="44">
        <f>IF(_calc!$E$53="","",IF(ISNUMBER(INDEX('Checklist'!$H$4:$H$503,_calc!$E$53)),TEXT(INDEX('Checklist'!$H$4:$H$503,_calc!$E$53),"yyyy-mm-dd"),""))</f>
        <v/>
      </c>
      <c r="F51" s="44">
        <f>IF(_calc!$E$53="","",TRIM(IF(LEN(IF(LEN(INDEX('Checklist'!$A$4:$A$503,_calc!$E$53))=0,"",INDEX('Checklist'!$A$4:$A$503,_calc!$E$53)))=0,"","Group: "&amp;IF(LEN(INDEX('Checklist'!$A$4:$A$503,_calc!$E$53))=0,"",INDEX('Checklist'!$A$4:$A$503,_calc!$E$53))&amp;". ")&amp;IF(LEN(IF(LEN(INDEX('Checklist'!$E$4:$E$503,_calc!$E$53))=0,"",INDEX('Checklist'!$E$4:$E$503,_calc!$E$53)))=0,"","Owner: "&amp;IF(LEN(INDEX('Checklist'!$E$4:$E$503,_calc!$E$53))=0,"",INDEX('Checklist'!$E$4:$E$503,_calc!$E$53))&amp;". ")&amp;IF(LEN(IF(LEN(INDEX('Checklist'!$F$4:$F$503,_calc!$E$53))=0,"",INDEX('Checklist'!$F$4:$F$503,_calc!$E$53)))=0,"","Backup: "&amp;IF(LEN(INDEX('Checklist'!$F$4:$F$503,_calc!$E$53))=0,"",INDEX('Checklist'!$F$4:$F$503,_calc!$E$53))&amp;". ")&amp;IF(LEN(IF(LEN(INDEX('Checklist'!$J$4:$J$503,_calc!$E$53))=0,"",INDEX('Checklist'!$J$4:$J$503,_calc!$E$53)))=0,"","Evidence: "&amp;IF(LEN(INDEX('Checklist'!$J$4:$J$503,_calc!$E$53))=0,"",INDEX('Checklist'!$J$4:$J$503,_calc!$E$53))&amp;". ")&amp;IF(LEN(IF(LEN(INDEX('Checklist'!$D$4:$D$503,_calc!$E$53))=0,"",INDEX('Checklist'!$D$4:$D$503,_calc!$E$53)))=0,"","Rule example: "&amp;IF(LEN(INDEX('Checklist'!$D$4:$D$503,_calc!$E$53))=0,"",INDEX('Checklist'!$D$4:$D$503,_calc!$E$53))&amp;". ")&amp;IF(LEN(IF(LEN(INDEX('Checklist'!$P$4:$P$503,_calc!$E$53))=0,"",INDEX('Checklist'!$P$4:$P$503,_calc!$E$53)))=0,"",IF(LEN(INDEX('Checklist'!$P$4:$P$503,_calc!$E$53))=0,"",INDEX('Checklist'!$P$4:$P$503,_calc!$E$53)))))</f>
        <v/>
      </c>
      <c r="K51" s="44">
        <f>IF(_calc!$E$53="","",IF(LEN(INDEX('Checklist'!$G$4:$G$503,_calc!$E$53))=0,"",INDEX('Checklist'!$G$4:$G$503,_calc!$E$53)))</f>
        <v/>
      </c>
    </row>
    <row r="52">
      <c r="A52" s="44">
        <f>IF(_calc!$E$54="","","Survey check – "&amp;IF(LEN(INDEX('Checklist'!$C$4:$C$503,_calc!$E$54))=0,"",INDEX('Checklist'!$C$4:$C$503,_calc!$E$54)))</f>
        <v/>
      </c>
      <c r="B52" s="44">
        <f>IF(_calc!$E$54="","",IF(ISNUMBER(INDEX('Checklist'!$L$4:$L$503,_calc!$E$54)),TEXT(INDEX('Checklist'!$L$4:$L$503,_calc!$E$54),"yyyy-mm-dd"),""))</f>
        <v/>
      </c>
      <c r="C52" s="44">
        <f>IF(_calc!$E$54="","","Survey readiness")</f>
        <v/>
      </c>
      <c r="D52" s="44">
        <f>IF(_calc!$E$54="","",IF(ISNUMBER(INDEX('Checklist'!$H$4:$H$503,_calc!$E$54)),TEXT(INDEX('Checklist'!$H$4:$H$503,_calc!$E$54),"yyyy-mm-dd"),""))</f>
        <v/>
      </c>
      <c r="F52" s="44">
        <f>IF(_calc!$E$54="","",TRIM(IF(LEN(IF(LEN(INDEX('Checklist'!$A$4:$A$503,_calc!$E$54))=0,"",INDEX('Checklist'!$A$4:$A$503,_calc!$E$54)))=0,"","Group: "&amp;IF(LEN(INDEX('Checklist'!$A$4:$A$503,_calc!$E$54))=0,"",INDEX('Checklist'!$A$4:$A$503,_calc!$E$54))&amp;". ")&amp;IF(LEN(IF(LEN(INDEX('Checklist'!$E$4:$E$503,_calc!$E$54))=0,"",INDEX('Checklist'!$E$4:$E$503,_calc!$E$54)))=0,"","Owner: "&amp;IF(LEN(INDEX('Checklist'!$E$4:$E$503,_calc!$E$54))=0,"",INDEX('Checklist'!$E$4:$E$503,_calc!$E$54))&amp;". ")&amp;IF(LEN(IF(LEN(INDEX('Checklist'!$F$4:$F$503,_calc!$E$54))=0,"",INDEX('Checklist'!$F$4:$F$503,_calc!$E$54)))=0,"","Backup: "&amp;IF(LEN(INDEX('Checklist'!$F$4:$F$503,_calc!$E$54))=0,"",INDEX('Checklist'!$F$4:$F$503,_calc!$E$54))&amp;". ")&amp;IF(LEN(IF(LEN(INDEX('Checklist'!$J$4:$J$503,_calc!$E$54))=0,"",INDEX('Checklist'!$J$4:$J$503,_calc!$E$54)))=0,"","Evidence: "&amp;IF(LEN(INDEX('Checklist'!$J$4:$J$503,_calc!$E$54))=0,"",INDEX('Checklist'!$J$4:$J$503,_calc!$E$54))&amp;". ")&amp;IF(LEN(IF(LEN(INDEX('Checklist'!$D$4:$D$503,_calc!$E$54))=0,"",INDEX('Checklist'!$D$4:$D$503,_calc!$E$54)))=0,"","Rule example: "&amp;IF(LEN(INDEX('Checklist'!$D$4:$D$503,_calc!$E$54))=0,"",INDEX('Checklist'!$D$4:$D$503,_calc!$E$54))&amp;". ")&amp;IF(LEN(IF(LEN(INDEX('Checklist'!$P$4:$P$503,_calc!$E$54))=0,"",INDEX('Checklist'!$P$4:$P$503,_calc!$E$54)))=0,"",IF(LEN(INDEX('Checklist'!$P$4:$P$503,_calc!$E$54))=0,"",INDEX('Checklist'!$P$4:$P$503,_calc!$E$54)))))</f>
        <v/>
      </c>
      <c r="K52" s="44">
        <f>IF(_calc!$E$54="","",IF(LEN(INDEX('Checklist'!$G$4:$G$503,_calc!$E$54))=0,"",INDEX('Checklist'!$G$4:$G$503,_calc!$E$54)))</f>
        <v/>
      </c>
    </row>
    <row r="53">
      <c r="A53" s="44">
        <f>IF(_calc!$E$55="","","Survey check – "&amp;IF(LEN(INDEX('Checklist'!$C$4:$C$503,_calc!$E$55))=0,"",INDEX('Checklist'!$C$4:$C$503,_calc!$E$55)))</f>
        <v/>
      </c>
      <c r="B53" s="44">
        <f>IF(_calc!$E$55="","",IF(ISNUMBER(INDEX('Checklist'!$L$4:$L$503,_calc!$E$55)),TEXT(INDEX('Checklist'!$L$4:$L$503,_calc!$E$55),"yyyy-mm-dd"),""))</f>
        <v/>
      </c>
      <c r="C53" s="44">
        <f>IF(_calc!$E$55="","","Survey readiness")</f>
        <v/>
      </c>
      <c r="D53" s="44">
        <f>IF(_calc!$E$55="","",IF(ISNUMBER(INDEX('Checklist'!$H$4:$H$503,_calc!$E$55)),TEXT(INDEX('Checklist'!$H$4:$H$503,_calc!$E$55),"yyyy-mm-dd"),""))</f>
        <v/>
      </c>
      <c r="F53" s="44">
        <f>IF(_calc!$E$55="","",TRIM(IF(LEN(IF(LEN(INDEX('Checklist'!$A$4:$A$503,_calc!$E$55))=0,"",INDEX('Checklist'!$A$4:$A$503,_calc!$E$55)))=0,"","Group: "&amp;IF(LEN(INDEX('Checklist'!$A$4:$A$503,_calc!$E$55))=0,"",INDEX('Checklist'!$A$4:$A$503,_calc!$E$55))&amp;". ")&amp;IF(LEN(IF(LEN(INDEX('Checklist'!$E$4:$E$503,_calc!$E$55))=0,"",INDEX('Checklist'!$E$4:$E$503,_calc!$E$55)))=0,"","Owner: "&amp;IF(LEN(INDEX('Checklist'!$E$4:$E$503,_calc!$E$55))=0,"",INDEX('Checklist'!$E$4:$E$503,_calc!$E$55))&amp;". ")&amp;IF(LEN(IF(LEN(INDEX('Checklist'!$F$4:$F$503,_calc!$E$55))=0,"",INDEX('Checklist'!$F$4:$F$503,_calc!$E$55)))=0,"","Backup: "&amp;IF(LEN(INDEX('Checklist'!$F$4:$F$503,_calc!$E$55))=0,"",INDEX('Checklist'!$F$4:$F$503,_calc!$E$55))&amp;". ")&amp;IF(LEN(IF(LEN(INDEX('Checklist'!$J$4:$J$503,_calc!$E$55))=0,"",INDEX('Checklist'!$J$4:$J$503,_calc!$E$55)))=0,"","Evidence: "&amp;IF(LEN(INDEX('Checklist'!$J$4:$J$503,_calc!$E$55))=0,"",INDEX('Checklist'!$J$4:$J$503,_calc!$E$55))&amp;". ")&amp;IF(LEN(IF(LEN(INDEX('Checklist'!$D$4:$D$503,_calc!$E$55))=0,"",INDEX('Checklist'!$D$4:$D$503,_calc!$E$55)))=0,"","Rule example: "&amp;IF(LEN(INDEX('Checklist'!$D$4:$D$503,_calc!$E$55))=0,"",INDEX('Checklist'!$D$4:$D$503,_calc!$E$55))&amp;". ")&amp;IF(LEN(IF(LEN(INDEX('Checklist'!$P$4:$P$503,_calc!$E$55))=0,"",INDEX('Checklist'!$P$4:$P$503,_calc!$E$55)))=0,"",IF(LEN(INDEX('Checklist'!$P$4:$P$503,_calc!$E$55))=0,"",INDEX('Checklist'!$P$4:$P$503,_calc!$E$55)))))</f>
        <v/>
      </c>
      <c r="K53" s="44">
        <f>IF(_calc!$E$55="","",IF(LEN(INDEX('Checklist'!$G$4:$G$503,_calc!$E$55))=0,"",INDEX('Checklist'!$G$4:$G$503,_calc!$E$55)))</f>
        <v/>
      </c>
    </row>
    <row r="54">
      <c r="A54" s="44">
        <f>IF(_calc!$E$56="","","Survey check – "&amp;IF(LEN(INDEX('Checklist'!$C$4:$C$503,_calc!$E$56))=0,"",INDEX('Checklist'!$C$4:$C$503,_calc!$E$56)))</f>
        <v/>
      </c>
      <c r="B54" s="44">
        <f>IF(_calc!$E$56="","",IF(ISNUMBER(INDEX('Checklist'!$L$4:$L$503,_calc!$E$56)),TEXT(INDEX('Checklist'!$L$4:$L$503,_calc!$E$56),"yyyy-mm-dd"),""))</f>
        <v/>
      </c>
      <c r="C54" s="44">
        <f>IF(_calc!$E$56="","","Survey readiness")</f>
        <v/>
      </c>
      <c r="D54" s="44">
        <f>IF(_calc!$E$56="","",IF(ISNUMBER(INDEX('Checklist'!$H$4:$H$503,_calc!$E$56)),TEXT(INDEX('Checklist'!$H$4:$H$503,_calc!$E$56),"yyyy-mm-dd"),""))</f>
        <v/>
      </c>
      <c r="F54" s="44">
        <f>IF(_calc!$E$56="","",TRIM(IF(LEN(IF(LEN(INDEX('Checklist'!$A$4:$A$503,_calc!$E$56))=0,"",INDEX('Checklist'!$A$4:$A$503,_calc!$E$56)))=0,"","Group: "&amp;IF(LEN(INDEX('Checklist'!$A$4:$A$503,_calc!$E$56))=0,"",INDEX('Checklist'!$A$4:$A$503,_calc!$E$56))&amp;". ")&amp;IF(LEN(IF(LEN(INDEX('Checklist'!$E$4:$E$503,_calc!$E$56))=0,"",INDEX('Checklist'!$E$4:$E$503,_calc!$E$56)))=0,"","Owner: "&amp;IF(LEN(INDEX('Checklist'!$E$4:$E$503,_calc!$E$56))=0,"",INDEX('Checklist'!$E$4:$E$503,_calc!$E$56))&amp;". ")&amp;IF(LEN(IF(LEN(INDEX('Checklist'!$F$4:$F$503,_calc!$E$56))=0,"",INDEX('Checklist'!$F$4:$F$503,_calc!$E$56)))=0,"","Backup: "&amp;IF(LEN(INDEX('Checklist'!$F$4:$F$503,_calc!$E$56))=0,"",INDEX('Checklist'!$F$4:$F$503,_calc!$E$56))&amp;". ")&amp;IF(LEN(IF(LEN(INDEX('Checklist'!$J$4:$J$503,_calc!$E$56))=0,"",INDEX('Checklist'!$J$4:$J$503,_calc!$E$56)))=0,"","Evidence: "&amp;IF(LEN(INDEX('Checklist'!$J$4:$J$503,_calc!$E$56))=0,"",INDEX('Checklist'!$J$4:$J$503,_calc!$E$56))&amp;". ")&amp;IF(LEN(IF(LEN(INDEX('Checklist'!$D$4:$D$503,_calc!$E$56))=0,"",INDEX('Checklist'!$D$4:$D$503,_calc!$E$56)))=0,"","Rule example: "&amp;IF(LEN(INDEX('Checklist'!$D$4:$D$503,_calc!$E$56))=0,"",INDEX('Checklist'!$D$4:$D$503,_calc!$E$56))&amp;". ")&amp;IF(LEN(IF(LEN(INDEX('Checklist'!$P$4:$P$503,_calc!$E$56))=0,"",INDEX('Checklist'!$P$4:$P$503,_calc!$E$56)))=0,"",IF(LEN(INDEX('Checklist'!$P$4:$P$503,_calc!$E$56))=0,"",INDEX('Checklist'!$P$4:$P$503,_calc!$E$56)))))</f>
        <v/>
      </c>
      <c r="K54" s="44">
        <f>IF(_calc!$E$56="","",IF(LEN(INDEX('Checklist'!$G$4:$G$503,_calc!$E$56))=0,"",INDEX('Checklist'!$G$4:$G$503,_calc!$E$56)))</f>
        <v/>
      </c>
    </row>
    <row r="55">
      <c r="A55" s="44">
        <f>IF(_calc!$E$57="","","Survey check – "&amp;IF(LEN(INDEX('Checklist'!$C$4:$C$503,_calc!$E$57))=0,"",INDEX('Checklist'!$C$4:$C$503,_calc!$E$57)))</f>
        <v/>
      </c>
      <c r="B55" s="44">
        <f>IF(_calc!$E$57="","",IF(ISNUMBER(INDEX('Checklist'!$L$4:$L$503,_calc!$E$57)),TEXT(INDEX('Checklist'!$L$4:$L$503,_calc!$E$57),"yyyy-mm-dd"),""))</f>
        <v/>
      </c>
      <c r="C55" s="44">
        <f>IF(_calc!$E$57="","","Survey readiness")</f>
        <v/>
      </c>
      <c r="D55" s="44">
        <f>IF(_calc!$E$57="","",IF(ISNUMBER(INDEX('Checklist'!$H$4:$H$503,_calc!$E$57)),TEXT(INDEX('Checklist'!$H$4:$H$503,_calc!$E$57),"yyyy-mm-dd"),""))</f>
        <v/>
      </c>
      <c r="F55" s="44">
        <f>IF(_calc!$E$57="","",TRIM(IF(LEN(IF(LEN(INDEX('Checklist'!$A$4:$A$503,_calc!$E$57))=0,"",INDEX('Checklist'!$A$4:$A$503,_calc!$E$57)))=0,"","Group: "&amp;IF(LEN(INDEX('Checklist'!$A$4:$A$503,_calc!$E$57))=0,"",INDEX('Checklist'!$A$4:$A$503,_calc!$E$57))&amp;". ")&amp;IF(LEN(IF(LEN(INDEX('Checklist'!$E$4:$E$503,_calc!$E$57))=0,"",INDEX('Checklist'!$E$4:$E$503,_calc!$E$57)))=0,"","Owner: "&amp;IF(LEN(INDEX('Checklist'!$E$4:$E$503,_calc!$E$57))=0,"",INDEX('Checklist'!$E$4:$E$503,_calc!$E$57))&amp;". ")&amp;IF(LEN(IF(LEN(INDEX('Checklist'!$F$4:$F$503,_calc!$E$57))=0,"",INDEX('Checklist'!$F$4:$F$503,_calc!$E$57)))=0,"","Backup: "&amp;IF(LEN(INDEX('Checklist'!$F$4:$F$503,_calc!$E$57))=0,"",INDEX('Checklist'!$F$4:$F$503,_calc!$E$57))&amp;". ")&amp;IF(LEN(IF(LEN(INDEX('Checklist'!$J$4:$J$503,_calc!$E$57))=0,"",INDEX('Checklist'!$J$4:$J$503,_calc!$E$57)))=0,"","Evidence: "&amp;IF(LEN(INDEX('Checklist'!$J$4:$J$503,_calc!$E$57))=0,"",INDEX('Checklist'!$J$4:$J$503,_calc!$E$57))&amp;". ")&amp;IF(LEN(IF(LEN(INDEX('Checklist'!$D$4:$D$503,_calc!$E$57))=0,"",INDEX('Checklist'!$D$4:$D$503,_calc!$E$57)))=0,"","Rule example: "&amp;IF(LEN(INDEX('Checklist'!$D$4:$D$503,_calc!$E$57))=0,"",INDEX('Checklist'!$D$4:$D$503,_calc!$E$57))&amp;". ")&amp;IF(LEN(IF(LEN(INDEX('Checklist'!$P$4:$P$503,_calc!$E$57))=0,"",INDEX('Checklist'!$P$4:$P$503,_calc!$E$57)))=0,"",IF(LEN(INDEX('Checklist'!$P$4:$P$503,_calc!$E$57))=0,"",INDEX('Checklist'!$P$4:$P$503,_calc!$E$57)))))</f>
        <v/>
      </c>
      <c r="K55" s="44">
        <f>IF(_calc!$E$57="","",IF(LEN(INDEX('Checklist'!$G$4:$G$503,_calc!$E$57))=0,"",INDEX('Checklist'!$G$4:$G$503,_calc!$E$57)))</f>
        <v/>
      </c>
    </row>
    <row r="56">
      <c r="A56" s="44">
        <f>IF(_calc!$E$58="","","Survey check – "&amp;IF(LEN(INDEX('Checklist'!$C$4:$C$503,_calc!$E$58))=0,"",INDEX('Checklist'!$C$4:$C$503,_calc!$E$58)))</f>
        <v/>
      </c>
      <c r="B56" s="44">
        <f>IF(_calc!$E$58="","",IF(ISNUMBER(INDEX('Checklist'!$L$4:$L$503,_calc!$E$58)),TEXT(INDEX('Checklist'!$L$4:$L$503,_calc!$E$58),"yyyy-mm-dd"),""))</f>
        <v/>
      </c>
      <c r="C56" s="44">
        <f>IF(_calc!$E$58="","","Survey readiness")</f>
        <v/>
      </c>
      <c r="D56" s="44">
        <f>IF(_calc!$E$58="","",IF(ISNUMBER(INDEX('Checklist'!$H$4:$H$503,_calc!$E$58)),TEXT(INDEX('Checklist'!$H$4:$H$503,_calc!$E$58),"yyyy-mm-dd"),""))</f>
        <v/>
      </c>
      <c r="F56" s="44">
        <f>IF(_calc!$E$58="","",TRIM(IF(LEN(IF(LEN(INDEX('Checklist'!$A$4:$A$503,_calc!$E$58))=0,"",INDEX('Checklist'!$A$4:$A$503,_calc!$E$58)))=0,"","Group: "&amp;IF(LEN(INDEX('Checklist'!$A$4:$A$503,_calc!$E$58))=0,"",INDEX('Checklist'!$A$4:$A$503,_calc!$E$58))&amp;". ")&amp;IF(LEN(IF(LEN(INDEX('Checklist'!$E$4:$E$503,_calc!$E$58))=0,"",INDEX('Checklist'!$E$4:$E$503,_calc!$E$58)))=0,"","Owner: "&amp;IF(LEN(INDEX('Checklist'!$E$4:$E$503,_calc!$E$58))=0,"",INDEX('Checklist'!$E$4:$E$503,_calc!$E$58))&amp;". ")&amp;IF(LEN(IF(LEN(INDEX('Checklist'!$F$4:$F$503,_calc!$E$58))=0,"",INDEX('Checklist'!$F$4:$F$503,_calc!$E$58)))=0,"","Backup: "&amp;IF(LEN(INDEX('Checklist'!$F$4:$F$503,_calc!$E$58))=0,"",INDEX('Checklist'!$F$4:$F$503,_calc!$E$58))&amp;". ")&amp;IF(LEN(IF(LEN(INDEX('Checklist'!$J$4:$J$503,_calc!$E$58))=0,"",INDEX('Checklist'!$J$4:$J$503,_calc!$E$58)))=0,"","Evidence: "&amp;IF(LEN(INDEX('Checklist'!$J$4:$J$503,_calc!$E$58))=0,"",INDEX('Checklist'!$J$4:$J$503,_calc!$E$58))&amp;". ")&amp;IF(LEN(IF(LEN(INDEX('Checklist'!$D$4:$D$503,_calc!$E$58))=0,"",INDEX('Checklist'!$D$4:$D$503,_calc!$E$58)))=0,"","Rule example: "&amp;IF(LEN(INDEX('Checklist'!$D$4:$D$503,_calc!$E$58))=0,"",INDEX('Checklist'!$D$4:$D$503,_calc!$E$58))&amp;". ")&amp;IF(LEN(IF(LEN(INDEX('Checklist'!$P$4:$P$503,_calc!$E$58))=0,"",INDEX('Checklist'!$P$4:$P$503,_calc!$E$58)))=0,"",IF(LEN(INDEX('Checklist'!$P$4:$P$503,_calc!$E$58))=0,"",INDEX('Checklist'!$P$4:$P$503,_calc!$E$58)))))</f>
        <v/>
      </c>
      <c r="K56" s="44">
        <f>IF(_calc!$E$58="","",IF(LEN(INDEX('Checklist'!$G$4:$G$503,_calc!$E$58))=0,"",INDEX('Checklist'!$G$4:$G$503,_calc!$E$58)))</f>
        <v/>
      </c>
    </row>
    <row r="57">
      <c r="A57" s="44">
        <f>IF(_calc!$E$59="","","Survey check – "&amp;IF(LEN(INDEX('Checklist'!$C$4:$C$503,_calc!$E$59))=0,"",INDEX('Checklist'!$C$4:$C$503,_calc!$E$59)))</f>
        <v/>
      </c>
      <c r="B57" s="44">
        <f>IF(_calc!$E$59="","",IF(ISNUMBER(INDEX('Checklist'!$L$4:$L$503,_calc!$E$59)),TEXT(INDEX('Checklist'!$L$4:$L$503,_calc!$E$59),"yyyy-mm-dd"),""))</f>
        <v/>
      </c>
      <c r="C57" s="44">
        <f>IF(_calc!$E$59="","","Survey readiness")</f>
        <v/>
      </c>
      <c r="D57" s="44">
        <f>IF(_calc!$E$59="","",IF(ISNUMBER(INDEX('Checklist'!$H$4:$H$503,_calc!$E$59)),TEXT(INDEX('Checklist'!$H$4:$H$503,_calc!$E$59),"yyyy-mm-dd"),""))</f>
        <v/>
      </c>
      <c r="F57" s="44">
        <f>IF(_calc!$E$59="","",TRIM(IF(LEN(IF(LEN(INDEX('Checklist'!$A$4:$A$503,_calc!$E$59))=0,"",INDEX('Checklist'!$A$4:$A$503,_calc!$E$59)))=0,"","Group: "&amp;IF(LEN(INDEX('Checklist'!$A$4:$A$503,_calc!$E$59))=0,"",INDEX('Checklist'!$A$4:$A$503,_calc!$E$59))&amp;". ")&amp;IF(LEN(IF(LEN(INDEX('Checklist'!$E$4:$E$503,_calc!$E$59))=0,"",INDEX('Checklist'!$E$4:$E$503,_calc!$E$59)))=0,"","Owner: "&amp;IF(LEN(INDEX('Checklist'!$E$4:$E$503,_calc!$E$59))=0,"",INDEX('Checklist'!$E$4:$E$503,_calc!$E$59))&amp;". ")&amp;IF(LEN(IF(LEN(INDEX('Checklist'!$F$4:$F$503,_calc!$E$59))=0,"",INDEX('Checklist'!$F$4:$F$503,_calc!$E$59)))=0,"","Backup: "&amp;IF(LEN(INDEX('Checklist'!$F$4:$F$503,_calc!$E$59))=0,"",INDEX('Checklist'!$F$4:$F$503,_calc!$E$59))&amp;". ")&amp;IF(LEN(IF(LEN(INDEX('Checklist'!$J$4:$J$503,_calc!$E$59))=0,"",INDEX('Checklist'!$J$4:$J$503,_calc!$E$59)))=0,"","Evidence: "&amp;IF(LEN(INDEX('Checklist'!$J$4:$J$503,_calc!$E$59))=0,"",INDEX('Checklist'!$J$4:$J$503,_calc!$E$59))&amp;". ")&amp;IF(LEN(IF(LEN(INDEX('Checklist'!$D$4:$D$503,_calc!$E$59))=0,"",INDEX('Checklist'!$D$4:$D$503,_calc!$E$59)))=0,"","Rule example: "&amp;IF(LEN(INDEX('Checklist'!$D$4:$D$503,_calc!$E$59))=0,"",INDEX('Checklist'!$D$4:$D$503,_calc!$E$59))&amp;". ")&amp;IF(LEN(IF(LEN(INDEX('Checklist'!$P$4:$P$503,_calc!$E$59))=0,"",INDEX('Checklist'!$P$4:$P$503,_calc!$E$59)))=0,"",IF(LEN(INDEX('Checklist'!$P$4:$P$503,_calc!$E$59))=0,"",INDEX('Checklist'!$P$4:$P$503,_calc!$E$59)))))</f>
        <v/>
      </c>
      <c r="K57" s="44">
        <f>IF(_calc!$E$59="","",IF(LEN(INDEX('Checklist'!$G$4:$G$503,_calc!$E$59))=0,"",INDEX('Checklist'!$G$4:$G$503,_calc!$E$59)))</f>
        <v/>
      </c>
    </row>
    <row r="58">
      <c r="A58" s="44">
        <f>IF(_calc!$E$60="","","Survey check – "&amp;IF(LEN(INDEX('Checklist'!$C$4:$C$503,_calc!$E$60))=0,"",INDEX('Checklist'!$C$4:$C$503,_calc!$E$60)))</f>
        <v/>
      </c>
      <c r="B58" s="44">
        <f>IF(_calc!$E$60="","",IF(ISNUMBER(INDEX('Checklist'!$L$4:$L$503,_calc!$E$60)),TEXT(INDEX('Checklist'!$L$4:$L$503,_calc!$E$60),"yyyy-mm-dd"),""))</f>
        <v/>
      </c>
      <c r="C58" s="44">
        <f>IF(_calc!$E$60="","","Survey readiness")</f>
        <v/>
      </c>
      <c r="D58" s="44">
        <f>IF(_calc!$E$60="","",IF(ISNUMBER(INDEX('Checklist'!$H$4:$H$503,_calc!$E$60)),TEXT(INDEX('Checklist'!$H$4:$H$503,_calc!$E$60),"yyyy-mm-dd"),""))</f>
        <v/>
      </c>
      <c r="F58" s="44">
        <f>IF(_calc!$E$60="","",TRIM(IF(LEN(IF(LEN(INDEX('Checklist'!$A$4:$A$503,_calc!$E$60))=0,"",INDEX('Checklist'!$A$4:$A$503,_calc!$E$60)))=0,"","Group: "&amp;IF(LEN(INDEX('Checklist'!$A$4:$A$503,_calc!$E$60))=0,"",INDEX('Checklist'!$A$4:$A$503,_calc!$E$60))&amp;". ")&amp;IF(LEN(IF(LEN(INDEX('Checklist'!$E$4:$E$503,_calc!$E$60))=0,"",INDEX('Checklist'!$E$4:$E$503,_calc!$E$60)))=0,"","Owner: "&amp;IF(LEN(INDEX('Checklist'!$E$4:$E$503,_calc!$E$60))=0,"",INDEX('Checklist'!$E$4:$E$503,_calc!$E$60))&amp;". ")&amp;IF(LEN(IF(LEN(INDEX('Checklist'!$F$4:$F$503,_calc!$E$60))=0,"",INDEX('Checklist'!$F$4:$F$503,_calc!$E$60)))=0,"","Backup: "&amp;IF(LEN(INDEX('Checklist'!$F$4:$F$503,_calc!$E$60))=0,"",INDEX('Checklist'!$F$4:$F$503,_calc!$E$60))&amp;". ")&amp;IF(LEN(IF(LEN(INDEX('Checklist'!$J$4:$J$503,_calc!$E$60))=0,"",INDEX('Checklist'!$J$4:$J$503,_calc!$E$60)))=0,"","Evidence: "&amp;IF(LEN(INDEX('Checklist'!$J$4:$J$503,_calc!$E$60))=0,"",INDEX('Checklist'!$J$4:$J$503,_calc!$E$60))&amp;". ")&amp;IF(LEN(IF(LEN(INDEX('Checklist'!$D$4:$D$503,_calc!$E$60))=0,"",INDEX('Checklist'!$D$4:$D$503,_calc!$E$60)))=0,"","Rule example: "&amp;IF(LEN(INDEX('Checklist'!$D$4:$D$503,_calc!$E$60))=0,"",INDEX('Checklist'!$D$4:$D$503,_calc!$E$60))&amp;". ")&amp;IF(LEN(IF(LEN(INDEX('Checklist'!$P$4:$P$503,_calc!$E$60))=0,"",INDEX('Checklist'!$P$4:$P$503,_calc!$E$60)))=0,"",IF(LEN(INDEX('Checklist'!$P$4:$P$503,_calc!$E$60))=0,"",INDEX('Checklist'!$P$4:$P$503,_calc!$E$60)))))</f>
        <v/>
      </c>
      <c r="K58" s="44">
        <f>IF(_calc!$E$60="","",IF(LEN(INDEX('Checklist'!$G$4:$G$503,_calc!$E$60))=0,"",INDEX('Checklist'!$G$4:$G$503,_calc!$E$60)))</f>
        <v/>
      </c>
    </row>
    <row r="59">
      <c r="A59" s="44">
        <f>IF(_calc!$E$61="","","Survey check – "&amp;IF(LEN(INDEX('Checklist'!$C$4:$C$503,_calc!$E$61))=0,"",INDEX('Checklist'!$C$4:$C$503,_calc!$E$61)))</f>
        <v/>
      </c>
      <c r="B59" s="44">
        <f>IF(_calc!$E$61="","",IF(ISNUMBER(INDEX('Checklist'!$L$4:$L$503,_calc!$E$61)),TEXT(INDEX('Checklist'!$L$4:$L$503,_calc!$E$61),"yyyy-mm-dd"),""))</f>
        <v/>
      </c>
      <c r="C59" s="44">
        <f>IF(_calc!$E$61="","","Survey readiness")</f>
        <v/>
      </c>
      <c r="D59" s="44">
        <f>IF(_calc!$E$61="","",IF(ISNUMBER(INDEX('Checklist'!$H$4:$H$503,_calc!$E$61)),TEXT(INDEX('Checklist'!$H$4:$H$503,_calc!$E$61),"yyyy-mm-dd"),""))</f>
        <v/>
      </c>
      <c r="F59" s="44">
        <f>IF(_calc!$E$61="","",TRIM(IF(LEN(IF(LEN(INDEX('Checklist'!$A$4:$A$503,_calc!$E$61))=0,"",INDEX('Checklist'!$A$4:$A$503,_calc!$E$61)))=0,"","Group: "&amp;IF(LEN(INDEX('Checklist'!$A$4:$A$503,_calc!$E$61))=0,"",INDEX('Checklist'!$A$4:$A$503,_calc!$E$61))&amp;". ")&amp;IF(LEN(IF(LEN(INDEX('Checklist'!$E$4:$E$503,_calc!$E$61))=0,"",INDEX('Checklist'!$E$4:$E$503,_calc!$E$61)))=0,"","Owner: "&amp;IF(LEN(INDEX('Checklist'!$E$4:$E$503,_calc!$E$61))=0,"",INDEX('Checklist'!$E$4:$E$503,_calc!$E$61))&amp;". ")&amp;IF(LEN(IF(LEN(INDEX('Checklist'!$F$4:$F$503,_calc!$E$61))=0,"",INDEX('Checklist'!$F$4:$F$503,_calc!$E$61)))=0,"","Backup: "&amp;IF(LEN(INDEX('Checklist'!$F$4:$F$503,_calc!$E$61))=0,"",INDEX('Checklist'!$F$4:$F$503,_calc!$E$61))&amp;". ")&amp;IF(LEN(IF(LEN(INDEX('Checklist'!$J$4:$J$503,_calc!$E$61))=0,"",INDEX('Checklist'!$J$4:$J$503,_calc!$E$61)))=0,"","Evidence: "&amp;IF(LEN(INDEX('Checklist'!$J$4:$J$503,_calc!$E$61))=0,"",INDEX('Checklist'!$J$4:$J$503,_calc!$E$61))&amp;". ")&amp;IF(LEN(IF(LEN(INDEX('Checklist'!$D$4:$D$503,_calc!$E$61))=0,"",INDEX('Checklist'!$D$4:$D$503,_calc!$E$61)))=0,"","Rule example: "&amp;IF(LEN(INDEX('Checklist'!$D$4:$D$503,_calc!$E$61))=0,"",INDEX('Checklist'!$D$4:$D$503,_calc!$E$61))&amp;". ")&amp;IF(LEN(IF(LEN(INDEX('Checklist'!$P$4:$P$503,_calc!$E$61))=0,"",INDEX('Checklist'!$P$4:$P$503,_calc!$E$61)))=0,"",IF(LEN(INDEX('Checklist'!$P$4:$P$503,_calc!$E$61))=0,"",INDEX('Checklist'!$P$4:$P$503,_calc!$E$61)))))</f>
        <v/>
      </c>
      <c r="K59" s="44">
        <f>IF(_calc!$E$61="","",IF(LEN(INDEX('Checklist'!$G$4:$G$503,_calc!$E$61))=0,"",INDEX('Checklist'!$G$4:$G$503,_calc!$E$61)))</f>
        <v/>
      </c>
    </row>
    <row r="60">
      <c r="A60" s="44">
        <f>IF(_calc!$E$62="","","Survey check – "&amp;IF(LEN(INDEX('Checklist'!$C$4:$C$503,_calc!$E$62))=0,"",INDEX('Checklist'!$C$4:$C$503,_calc!$E$62)))</f>
        <v/>
      </c>
      <c r="B60" s="44">
        <f>IF(_calc!$E$62="","",IF(ISNUMBER(INDEX('Checklist'!$L$4:$L$503,_calc!$E$62)),TEXT(INDEX('Checklist'!$L$4:$L$503,_calc!$E$62),"yyyy-mm-dd"),""))</f>
        <v/>
      </c>
      <c r="C60" s="44">
        <f>IF(_calc!$E$62="","","Survey readiness")</f>
        <v/>
      </c>
      <c r="D60" s="44">
        <f>IF(_calc!$E$62="","",IF(ISNUMBER(INDEX('Checklist'!$H$4:$H$503,_calc!$E$62)),TEXT(INDEX('Checklist'!$H$4:$H$503,_calc!$E$62),"yyyy-mm-dd"),""))</f>
        <v/>
      </c>
      <c r="F60" s="44">
        <f>IF(_calc!$E$62="","",TRIM(IF(LEN(IF(LEN(INDEX('Checklist'!$A$4:$A$503,_calc!$E$62))=0,"",INDEX('Checklist'!$A$4:$A$503,_calc!$E$62)))=0,"","Group: "&amp;IF(LEN(INDEX('Checklist'!$A$4:$A$503,_calc!$E$62))=0,"",INDEX('Checklist'!$A$4:$A$503,_calc!$E$62))&amp;". ")&amp;IF(LEN(IF(LEN(INDEX('Checklist'!$E$4:$E$503,_calc!$E$62))=0,"",INDEX('Checklist'!$E$4:$E$503,_calc!$E$62)))=0,"","Owner: "&amp;IF(LEN(INDEX('Checklist'!$E$4:$E$503,_calc!$E$62))=0,"",INDEX('Checklist'!$E$4:$E$503,_calc!$E$62))&amp;". ")&amp;IF(LEN(IF(LEN(INDEX('Checklist'!$F$4:$F$503,_calc!$E$62))=0,"",INDEX('Checklist'!$F$4:$F$503,_calc!$E$62)))=0,"","Backup: "&amp;IF(LEN(INDEX('Checklist'!$F$4:$F$503,_calc!$E$62))=0,"",INDEX('Checklist'!$F$4:$F$503,_calc!$E$62))&amp;". ")&amp;IF(LEN(IF(LEN(INDEX('Checklist'!$J$4:$J$503,_calc!$E$62))=0,"",INDEX('Checklist'!$J$4:$J$503,_calc!$E$62)))=0,"","Evidence: "&amp;IF(LEN(INDEX('Checklist'!$J$4:$J$503,_calc!$E$62))=0,"",INDEX('Checklist'!$J$4:$J$503,_calc!$E$62))&amp;". ")&amp;IF(LEN(IF(LEN(INDEX('Checklist'!$D$4:$D$503,_calc!$E$62))=0,"",INDEX('Checklist'!$D$4:$D$503,_calc!$E$62)))=0,"","Rule example: "&amp;IF(LEN(INDEX('Checklist'!$D$4:$D$503,_calc!$E$62))=0,"",INDEX('Checklist'!$D$4:$D$503,_calc!$E$62))&amp;". ")&amp;IF(LEN(IF(LEN(INDEX('Checklist'!$P$4:$P$503,_calc!$E$62))=0,"",INDEX('Checklist'!$P$4:$P$503,_calc!$E$62)))=0,"",IF(LEN(INDEX('Checklist'!$P$4:$P$503,_calc!$E$62))=0,"",INDEX('Checklist'!$P$4:$P$503,_calc!$E$62)))))</f>
        <v/>
      </c>
      <c r="K60" s="44">
        <f>IF(_calc!$E$62="","",IF(LEN(INDEX('Checklist'!$G$4:$G$503,_calc!$E$62))=0,"",INDEX('Checklist'!$G$4:$G$503,_calc!$E$62)))</f>
        <v/>
      </c>
    </row>
    <row r="61">
      <c r="A61" s="44">
        <f>IF(_calc!$E$63="","","Survey check – "&amp;IF(LEN(INDEX('Checklist'!$C$4:$C$503,_calc!$E$63))=0,"",INDEX('Checklist'!$C$4:$C$503,_calc!$E$63)))</f>
        <v/>
      </c>
      <c r="B61" s="44">
        <f>IF(_calc!$E$63="","",IF(ISNUMBER(INDEX('Checklist'!$L$4:$L$503,_calc!$E$63)),TEXT(INDEX('Checklist'!$L$4:$L$503,_calc!$E$63),"yyyy-mm-dd"),""))</f>
        <v/>
      </c>
      <c r="C61" s="44">
        <f>IF(_calc!$E$63="","","Survey readiness")</f>
        <v/>
      </c>
      <c r="D61" s="44">
        <f>IF(_calc!$E$63="","",IF(ISNUMBER(INDEX('Checklist'!$H$4:$H$503,_calc!$E$63)),TEXT(INDEX('Checklist'!$H$4:$H$503,_calc!$E$63),"yyyy-mm-dd"),""))</f>
        <v/>
      </c>
      <c r="F61" s="44">
        <f>IF(_calc!$E$63="","",TRIM(IF(LEN(IF(LEN(INDEX('Checklist'!$A$4:$A$503,_calc!$E$63))=0,"",INDEX('Checklist'!$A$4:$A$503,_calc!$E$63)))=0,"","Group: "&amp;IF(LEN(INDEX('Checklist'!$A$4:$A$503,_calc!$E$63))=0,"",INDEX('Checklist'!$A$4:$A$503,_calc!$E$63))&amp;". ")&amp;IF(LEN(IF(LEN(INDEX('Checklist'!$E$4:$E$503,_calc!$E$63))=0,"",INDEX('Checklist'!$E$4:$E$503,_calc!$E$63)))=0,"","Owner: "&amp;IF(LEN(INDEX('Checklist'!$E$4:$E$503,_calc!$E$63))=0,"",INDEX('Checklist'!$E$4:$E$503,_calc!$E$63))&amp;". ")&amp;IF(LEN(IF(LEN(INDEX('Checklist'!$F$4:$F$503,_calc!$E$63))=0,"",INDEX('Checklist'!$F$4:$F$503,_calc!$E$63)))=0,"","Backup: "&amp;IF(LEN(INDEX('Checklist'!$F$4:$F$503,_calc!$E$63))=0,"",INDEX('Checklist'!$F$4:$F$503,_calc!$E$63))&amp;". ")&amp;IF(LEN(IF(LEN(INDEX('Checklist'!$J$4:$J$503,_calc!$E$63))=0,"",INDEX('Checklist'!$J$4:$J$503,_calc!$E$63)))=0,"","Evidence: "&amp;IF(LEN(INDEX('Checklist'!$J$4:$J$503,_calc!$E$63))=0,"",INDEX('Checklist'!$J$4:$J$503,_calc!$E$63))&amp;". ")&amp;IF(LEN(IF(LEN(INDEX('Checklist'!$D$4:$D$503,_calc!$E$63))=0,"",INDEX('Checklist'!$D$4:$D$503,_calc!$E$63)))=0,"","Rule example: "&amp;IF(LEN(INDEX('Checklist'!$D$4:$D$503,_calc!$E$63))=0,"",INDEX('Checklist'!$D$4:$D$503,_calc!$E$63))&amp;". ")&amp;IF(LEN(IF(LEN(INDEX('Checklist'!$P$4:$P$503,_calc!$E$63))=0,"",INDEX('Checklist'!$P$4:$P$503,_calc!$E$63)))=0,"",IF(LEN(INDEX('Checklist'!$P$4:$P$503,_calc!$E$63))=0,"",INDEX('Checklist'!$P$4:$P$503,_calc!$E$63)))))</f>
        <v/>
      </c>
      <c r="K61" s="44">
        <f>IF(_calc!$E$63="","",IF(LEN(INDEX('Checklist'!$G$4:$G$503,_calc!$E$63))=0,"",INDEX('Checklist'!$G$4:$G$503,_calc!$E$63)))</f>
        <v/>
      </c>
    </row>
    <row r="62">
      <c r="A62" s="44">
        <f>IF(_calc!$E$64="","","Survey check – "&amp;IF(LEN(INDEX('Checklist'!$C$4:$C$503,_calc!$E$64))=0,"",INDEX('Checklist'!$C$4:$C$503,_calc!$E$64)))</f>
        <v/>
      </c>
      <c r="B62" s="44">
        <f>IF(_calc!$E$64="","",IF(ISNUMBER(INDEX('Checklist'!$L$4:$L$503,_calc!$E$64)),TEXT(INDEX('Checklist'!$L$4:$L$503,_calc!$E$64),"yyyy-mm-dd"),""))</f>
        <v/>
      </c>
      <c r="C62" s="44">
        <f>IF(_calc!$E$64="","","Survey readiness")</f>
        <v/>
      </c>
      <c r="D62" s="44">
        <f>IF(_calc!$E$64="","",IF(ISNUMBER(INDEX('Checklist'!$H$4:$H$503,_calc!$E$64)),TEXT(INDEX('Checklist'!$H$4:$H$503,_calc!$E$64),"yyyy-mm-dd"),""))</f>
        <v/>
      </c>
      <c r="F62" s="44">
        <f>IF(_calc!$E$64="","",TRIM(IF(LEN(IF(LEN(INDEX('Checklist'!$A$4:$A$503,_calc!$E$64))=0,"",INDEX('Checklist'!$A$4:$A$503,_calc!$E$64)))=0,"","Group: "&amp;IF(LEN(INDEX('Checklist'!$A$4:$A$503,_calc!$E$64))=0,"",INDEX('Checklist'!$A$4:$A$503,_calc!$E$64))&amp;". ")&amp;IF(LEN(IF(LEN(INDEX('Checklist'!$E$4:$E$503,_calc!$E$64))=0,"",INDEX('Checklist'!$E$4:$E$503,_calc!$E$64)))=0,"","Owner: "&amp;IF(LEN(INDEX('Checklist'!$E$4:$E$503,_calc!$E$64))=0,"",INDEX('Checklist'!$E$4:$E$503,_calc!$E$64))&amp;". ")&amp;IF(LEN(IF(LEN(INDEX('Checklist'!$F$4:$F$503,_calc!$E$64))=0,"",INDEX('Checklist'!$F$4:$F$503,_calc!$E$64)))=0,"","Backup: "&amp;IF(LEN(INDEX('Checklist'!$F$4:$F$503,_calc!$E$64))=0,"",INDEX('Checklist'!$F$4:$F$503,_calc!$E$64))&amp;". ")&amp;IF(LEN(IF(LEN(INDEX('Checklist'!$J$4:$J$503,_calc!$E$64))=0,"",INDEX('Checklist'!$J$4:$J$503,_calc!$E$64)))=0,"","Evidence: "&amp;IF(LEN(INDEX('Checklist'!$J$4:$J$503,_calc!$E$64))=0,"",INDEX('Checklist'!$J$4:$J$503,_calc!$E$64))&amp;". ")&amp;IF(LEN(IF(LEN(INDEX('Checklist'!$D$4:$D$503,_calc!$E$64))=0,"",INDEX('Checklist'!$D$4:$D$503,_calc!$E$64)))=0,"","Rule example: "&amp;IF(LEN(INDEX('Checklist'!$D$4:$D$503,_calc!$E$64))=0,"",INDEX('Checklist'!$D$4:$D$503,_calc!$E$64))&amp;". ")&amp;IF(LEN(IF(LEN(INDEX('Checklist'!$P$4:$P$503,_calc!$E$64))=0,"",INDEX('Checklist'!$P$4:$P$503,_calc!$E$64)))=0,"",IF(LEN(INDEX('Checklist'!$P$4:$P$503,_calc!$E$64))=0,"",INDEX('Checklist'!$P$4:$P$503,_calc!$E$64)))))</f>
        <v/>
      </c>
      <c r="K62" s="44">
        <f>IF(_calc!$E$64="","",IF(LEN(INDEX('Checklist'!$G$4:$G$503,_calc!$E$64))=0,"",INDEX('Checklist'!$G$4:$G$503,_calc!$E$64)))</f>
        <v/>
      </c>
    </row>
    <row r="63">
      <c r="A63" s="44">
        <f>IF(_calc!$E$65="","","Survey check – "&amp;IF(LEN(INDEX('Checklist'!$C$4:$C$503,_calc!$E$65))=0,"",INDEX('Checklist'!$C$4:$C$503,_calc!$E$65)))</f>
        <v/>
      </c>
      <c r="B63" s="44">
        <f>IF(_calc!$E$65="","",IF(ISNUMBER(INDEX('Checklist'!$L$4:$L$503,_calc!$E$65)),TEXT(INDEX('Checklist'!$L$4:$L$503,_calc!$E$65),"yyyy-mm-dd"),""))</f>
        <v/>
      </c>
      <c r="C63" s="44">
        <f>IF(_calc!$E$65="","","Survey readiness")</f>
        <v/>
      </c>
      <c r="D63" s="44">
        <f>IF(_calc!$E$65="","",IF(ISNUMBER(INDEX('Checklist'!$H$4:$H$503,_calc!$E$65)),TEXT(INDEX('Checklist'!$H$4:$H$503,_calc!$E$65),"yyyy-mm-dd"),""))</f>
        <v/>
      </c>
      <c r="F63" s="44">
        <f>IF(_calc!$E$65="","",TRIM(IF(LEN(IF(LEN(INDEX('Checklist'!$A$4:$A$503,_calc!$E$65))=0,"",INDEX('Checklist'!$A$4:$A$503,_calc!$E$65)))=0,"","Group: "&amp;IF(LEN(INDEX('Checklist'!$A$4:$A$503,_calc!$E$65))=0,"",INDEX('Checklist'!$A$4:$A$503,_calc!$E$65))&amp;". ")&amp;IF(LEN(IF(LEN(INDEX('Checklist'!$E$4:$E$503,_calc!$E$65))=0,"",INDEX('Checklist'!$E$4:$E$503,_calc!$E$65)))=0,"","Owner: "&amp;IF(LEN(INDEX('Checklist'!$E$4:$E$503,_calc!$E$65))=0,"",INDEX('Checklist'!$E$4:$E$503,_calc!$E$65))&amp;". ")&amp;IF(LEN(IF(LEN(INDEX('Checklist'!$F$4:$F$503,_calc!$E$65))=0,"",INDEX('Checklist'!$F$4:$F$503,_calc!$E$65)))=0,"","Backup: "&amp;IF(LEN(INDEX('Checklist'!$F$4:$F$503,_calc!$E$65))=0,"",INDEX('Checklist'!$F$4:$F$503,_calc!$E$65))&amp;". ")&amp;IF(LEN(IF(LEN(INDEX('Checklist'!$J$4:$J$503,_calc!$E$65))=0,"",INDEX('Checklist'!$J$4:$J$503,_calc!$E$65)))=0,"","Evidence: "&amp;IF(LEN(INDEX('Checklist'!$J$4:$J$503,_calc!$E$65))=0,"",INDEX('Checklist'!$J$4:$J$503,_calc!$E$65))&amp;". ")&amp;IF(LEN(IF(LEN(INDEX('Checklist'!$D$4:$D$503,_calc!$E$65))=0,"",INDEX('Checklist'!$D$4:$D$503,_calc!$E$65)))=0,"","Rule example: "&amp;IF(LEN(INDEX('Checklist'!$D$4:$D$503,_calc!$E$65))=0,"",INDEX('Checklist'!$D$4:$D$503,_calc!$E$65))&amp;". ")&amp;IF(LEN(IF(LEN(INDEX('Checklist'!$P$4:$P$503,_calc!$E$65))=0,"",INDEX('Checklist'!$P$4:$P$503,_calc!$E$65)))=0,"",IF(LEN(INDEX('Checklist'!$P$4:$P$503,_calc!$E$65))=0,"",INDEX('Checklist'!$P$4:$P$503,_calc!$E$65)))))</f>
        <v/>
      </c>
      <c r="K63" s="44">
        <f>IF(_calc!$E$65="","",IF(LEN(INDEX('Checklist'!$G$4:$G$503,_calc!$E$65))=0,"",INDEX('Checklist'!$G$4:$G$503,_calc!$E$65)))</f>
        <v/>
      </c>
    </row>
    <row r="64">
      <c r="A64" s="44">
        <f>IF(_calc!$E$66="","","Survey check – "&amp;IF(LEN(INDEX('Checklist'!$C$4:$C$503,_calc!$E$66))=0,"",INDEX('Checklist'!$C$4:$C$503,_calc!$E$66)))</f>
        <v/>
      </c>
      <c r="B64" s="44">
        <f>IF(_calc!$E$66="","",IF(ISNUMBER(INDEX('Checklist'!$L$4:$L$503,_calc!$E$66)),TEXT(INDEX('Checklist'!$L$4:$L$503,_calc!$E$66),"yyyy-mm-dd"),""))</f>
        <v/>
      </c>
      <c r="C64" s="44">
        <f>IF(_calc!$E$66="","","Survey readiness")</f>
        <v/>
      </c>
      <c r="D64" s="44">
        <f>IF(_calc!$E$66="","",IF(ISNUMBER(INDEX('Checklist'!$H$4:$H$503,_calc!$E$66)),TEXT(INDEX('Checklist'!$H$4:$H$503,_calc!$E$66),"yyyy-mm-dd"),""))</f>
        <v/>
      </c>
      <c r="F64" s="44">
        <f>IF(_calc!$E$66="","",TRIM(IF(LEN(IF(LEN(INDEX('Checklist'!$A$4:$A$503,_calc!$E$66))=0,"",INDEX('Checklist'!$A$4:$A$503,_calc!$E$66)))=0,"","Group: "&amp;IF(LEN(INDEX('Checklist'!$A$4:$A$503,_calc!$E$66))=0,"",INDEX('Checklist'!$A$4:$A$503,_calc!$E$66))&amp;". ")&amp;IF(LEN(IF(LEN(INDEX('Checklist'!$E$4:$E$503,_calc!$E$66))=0,"",INDEX('Checklist'!$E$4:$E$503,_calc!$E$66)))=0,"","Owner: "&amp;IF(LEN(INDEX('Checklist'!$E$4:$E$503,_calc!$E$66))=0,"",INDEX('Checklist'!$E$4:$E$503,_calc!$E$66))&amp;". ")&amp;IF(LEN(IF(LEN(INDEX('Checklist'!$F$4:$F$503,_calc!$E$66))=0,"",INDEX('Checklist'!$F$4:$F$503,_calc!$E$66)))=0,"","Backup: "&amp;IF(LEN(INDEX('Checklist'!$F$4:$F$503,_calc!$E$66))=0,"",INDEX('Checklist'!$F$4:$F$503,_calc!$E$66))&amp;". ")&amp;IF(LEN(IF(LEN(INDEX('Checklist'!$J$4:$J$503,_calc!$E$66))=0,"",INDEX('Checklist'!$J$4:$J$503,_calc!$E$66)))=0,"","Evidence: "&amp;IF(LEN(INDEX('Checklist'!$J$4:$J$503,_calc!$E$66))=0,"",INDEX('Checklist'!$J$4:$J$503,_calc!$E$66))&amp;". ")&amp;IF(LEN(IF(LEN(INDEX('Checklist'!$D$4:$D$503,_calc!$E$66))=0,"",INDEX('Checklist'!$D$4:$D$503,_calc!$E$66)))=0,"","Rule example: "&amp;IF(LEN(INDEX('Checklist'!$D$4:$D$503,_calc!$E$66))=0,"",INDEX('Checklist'!$D$4:$D$503,_calc!$E$66))&amp;". ")&amp;IF(LEN(IF(LEN(INDEX('Checklist'!$P$4:$P$503,_calc!$E$66))=0,"",INDEX('Checklist'!$P$4:$P$503,_calc!$E$66)))=0,"",IF(LEN(INDEX('Checklist'!$P$4:$P$503,_calc!$E$66))=0,"",INDEX('Checklist'!$P$4:$P$503,_calc!$E$66)))))</f>
        <v/>
      </c>
      <c r="K64" s="44">
        <f>IF(_calc!$E$66="","",IF(LEN(INDEX('Checklist'!$G$4:$G$503,_calc!$E$66))=0,"",INDEX('Checklist'!$G$4:$G$503,_calc!$E$66)))</f>
        <v/>
      </c>
    </row>
    <row r="65">
      <c r="A65" s="44">
        <f>IF(_calc!$E$67="","","Survey check – "&amp;IF(LEN(INDEX('Checklist'!$C$4:$C$503,_calc!$E$67))=0,"",INDEX('Checklist'!$C$4:$C$503,_calc!$E$67)))</f>
        <v/>
      </c>
      <c r="B65" s="44">
        <f>IF(_calc!$E$67="","",IF(ISNUMBER(INDEX('Checklist'!$L$4:$L$503,_calc!$E$67)),TEXT(INDEX('Checklist'!$L$4:$L$503,_calc!$E$67),"yyyy-mm-dd"),""))</f>
        <v/>
      </c>
      <c r="C65" s="44">
        <f>IF(_calc!$E$67="","","Survey readiness")</f>
        <v/>
      </c>
      <c r="D65" s="44">
        <f>IF(_calc!$E$67="","",IF(ISNUMBER(INDEX('Checklist'!$H$4:$H$503,_calc!$E$67)),TEXT(INDEX('Checklist'!$H$4:$H$503,_calc!$E$67),"yyyy-mm-dd"),""))</f>
        <v/>
      </c>
      <c r="F65" s="44">
        <f>IF(_calc!$E$67="","",TRIM(IF(LEN(IF(LEN(INDEX('Checklist'!$A$4:$A$503,_calc!$E$67))=0,"",INDEX('Checklist'!$A$4:$A$503,_calc!$E$67)))=0,"","Group: "&amp;IF(LEN(INDEX('Checklist'!$A$4:$A$503,_calc!$E$67))=0,"",INDEX('Checklist'!$A$4:$A$503,_calc!$E$67))&amp;". ")&amp;IF(LEN(IF(LEN(INDEX('Checklist'!$E$4:$E$503,_calc!$E$67))=0,"",INDEX('Checklist'!$E$4:$E$503,_calc!$E$67)))=0,"","Owner: "&amp;IF(LEN(INDEX('Checklist'!$E$4:$E$503,_calc!$E$67))=0,"",INDEX('Checklist'!$E$4:$E$503,_calc!$E$67))&amp;". ")&amp;IF(LEN(IF(LEN(INDEX('Checklist'!$F$4:$F$503,_calc!$E$67))=0,"",INDEX('Checklist'!$F$4:$F$503,_calc!$E$67)))=0,"","Backup: "&amp;IF(LEN(INDEX('Checklist'!$F$4:$F$503,_calc!$E$67))=0,"",INDEX('Checklist'!$F$4:$F$503,_calc!$E$67))&amp;". ")&amp;IF(LEN(IF(LEN(INDEX('Checklist'!$J$4:$J$503,_calc!$E$67))=0,"",INDEX('Checklist'!$J$4:$J$503,_calc!$E$67)))=0,"","Evidence: "&amp;IF(LEN(INDEX('Checklist'!$J$4:$J$503,_calc!$E$67))=0,"",INDEX('Checklist'!$J$4:$J$503,_calc!$E$67))&amp;". ")&amp;IF(LEN(IF(LEN(INDEX('Checklist'!$D$4:$D$503,_calc!$E$67))=0,"",INDEX('Checklist'!$D$4:$D$503,_calc!$E$67)))=0,"","Rule example: "&amp;IF(LEN(INDEX('Checklist'!$D$4:$D$503,_calc!$E$67))=0,"",INDEX('Checklist'!$D$4:$D$503,_calc!$E$67))&amp;". ")&amp;IF(LEN(IF(LEN(INDEX('Checklist'!$P$4:$P$503,_calc!$E$67))=0,"",INDEX('Checklist'!$P$4:$P$503,_calc!$E$67)))=0,"",IF(LEN(INDEX('Checklist'!$P$4:$P$503,_calc!$E$67))=0,"",INDEX('Checklist'!$P$4:$P$503,_calc!$E$67)))))</f>
        <v/>
      </c>
      <c r="K65" s="44">
        <f>IF(_calc!$E$67="","",IF(LEN(INDEX('Checklist'!$G$4:$G$503,_calc!$E$67))=0,"",INDEX('Checklist'!$G$4:$G$503,_calc!$E$67)))</f>
        <v/>
      </c>
    </row>
    <row r="66">
      <c r="A66" s="44">
        <f>IF(_calc!$E$68="","","Survey check – "&amp;IF(LEN(INDEX('Checklist'!$C$4:$C$503,_calc!$E$68))=0,"",INDEX('Checklist'!$C$4:$C$503,_calc!$E$68)))</f>
        <v/>
      </c>
      <c r="B66" s="44">
        <f>IF(_calc!$E$68="","",IF(ISNUMBER(INDEX('Checklist'!$L$4:$L$503,_calc!$E$68)),TEXT(INDEX('Checklist'!$L$4:$L$503,_calc!$E$68),"yyyy-mm-dd"),""))</f>
        <v/>
      </c>
      <c r="C66" s="44">
        <f>IF(_calc!$E$68="","","Survey readiness")</f>
        <v/>
      </c>
      <c r="D66" s="44">
        <f>IF(_calc!$E$68="","",IF(ISNUMBER(INDEX('Checklist'!$H$4:$H$503,_calc!$E$68)),TEXT(INDEX('Checklist'!$H$4:$H$503,_calc!$E$68),"yyyy-mm-dd"),""))</f>
        <v/>
      </c>
      <c r="F66" s="44">
        <f>IF(_calc!$E$68="","",TRIM(IF(LEN(IF(LEN(INDEX('Checklist'!$A$4:$A$503,_calc!$E$68))=0,"",INDEX('Checklist'!$A$4:$A$503,_calc!$E$68)))=0,"","Group: "&amp;IF(LEN(INDEX('Checklist'!$A$4:$A$503,_calc!$E$68))=0,"",INDEX('Checklist'!$A$4:$A$503,_calc!$E$68))&amp;". ")&amp;IF(LEN(IF(LEN(INDEX('Checklist'!$E$4:$E$503,_calc!$E$68))=0,"",INDEX('Checklist'!$E$4:$E$503,_calc!$E$68)))=0,"","Owner: "&amp;IF(LEN(INDEX('Checklist'!$E$4:$E$503,_calc!$E$68))=0,"",INDEX('Checklist'!$E$4:$E$503,_calc!$E$68))&amp;". ")&amp;IF(LEN(IF(LEN(INDEX('Checklist'!$F$4:$F$503,_calc!$E$68))=0,"",INDEX('Checklist'!$F$4:$F$503,_calc!$E$68)))=0,"","Backup: "&amp;IF(LEN(INDEX('Checklist'!$F$4:$F$503,_calc!$E$68))=0,"",INDEX('Checklist'!$F$4:$F$503,_calc!$E$68))&amp;". ")&amp;IF(LEN(IF(LEN(INDEX('Checklist'!$J$4:$J$503,_calc!$E$68))=0,"",INDEX('Checklist'!$J$4:$J$503,_calc!$E$68)))=0,"","Evidence: "&amp;IF(LEN(INDEX('Checklist'!$J$4:$J$503,_calc!$E$68))=0,"",INDEX('Checklist'!$J$4:$J$503,_calc!$E$68))&amp;". ")&amp;IF(LEN(IF(LEN(INDEX('Checklist'!$D$4:$D$503,_calc!$E$68))=0,"",INDEX('Checklist'!$D$4:$D$503,_calc!$E$68)))=0,"","Rule example: "&amp;IF(LEN(INDEX('Checklist'!$D$4:$D$503,_calc!$E$68))=0,"",INDEX('Checklist'!$D$4:$D$503,_calc!$E$68))&amp;". ")&amp;IF(LEN(IF(LEN(INDEX('Checklist'!$P$4:$P$503,_calc!$E$68))=0,"",INDEX('Checklist'!$P$4:$P$503,_calc!$E$68)))=0,"",IF(LEN(INDEX('Checklist'!$P$4:$P$503,_calc!$E$68))=0,"",INDEX('Checklist'!$P$4:$P$503,_calc!$E$68)))))</f>
        <v/>
      </c>
      <c r="K66" s="44">
        <f>IF(_calc!$E$68="","",IF(LEN(INDEX('Checklist'!$G$4:$G$503,_calc!$E$68))=0,"",INDEX('Checklist'!$G$4:$G$503,_calc!$E$68)))</f>
        <v/>
      </c>
    </row>
    <row r="67">
      <c r="A67" s="44">
        <f>IF(_calc!$E$69="","","Survey check – "&amp;IF(LEN(INDEX('Checklist'!$C$4:$C$503,_calc!$E$69))=0,"",INDEX('Checklist'!$C$4:$C$503,_calc!$E$69)))</f>
        <v/>
      </c>
      <c r="B67" s="44">
        <f>IF(_calc!$E$69="","",IF(ISNUMBER(INDEX('Checklist'!$L$4:$L$503,_calc!$E$69)),TEXT(INDEX('Checklist'!$L$4:$L$503,_calc!$E$69),"yyyy-mm-dd"),""))</f>
        <v/>
      </c>
      <c r="C67" s="44">
        <f>IF(_calc!$E$69="","","Survey readiness")</f>
        <v/>
      </c>
      <c r="D67" s="44">
        <f>IF(_calc!$E$69="","",IF(ISNUMBER(INDEX('Checklist'!$H$4:$H$503,_calc!$E$69)),TEXT(INDEX('Checklist'!$H$4:$H$503,_calc!$E$69),"yyyy-mm-dd"),""))</f>
        <v/>
      </c>
      <c r="F67" s="44">
        <f>IF(_calc!$E$69="","",TRIM(IF(LEN(IF(LEN(INDEX('Checklist'!$A$4:$A$503,_calc!$E$69))=0,"",INDEX('Checklist'!$A$4:$A$503,_calc!$E$69)))=0,"","Group: "&amp;IF(LEN(INDEX('Checklist'!$A$4:$A$503,_calc!$E$69))=0,"",INDEX('Checklist'!$A$4:$A$503,_calc!$E$69))&amp;". ")&amp;IF(LEN(IF(LEN(INDEX('Checklist'!$E$4:$E$503,_calc!$E$69))=0,"",INDEX('Checklist'!$E$4:$E$503,_calc!$E$69)))=0,"","Owner: "&amp;IF(LEN(INDEX('Checklist'!$E$4:$E$503,_calc!$E$69))=0,"",INDEX('Checklist'!$E$4:$E$503,_calc!$E$69))&amp;". ")&amp;IF(LEN(IF(LEN(INDEX('Checklist'!$F$4:$F$503,_calc!$E$69))=0,"",INDEX('Checklist'!$F$4:$F$503,_calc!$E$69)))=0,"","Backup: "&amp;IF(LEN(INDEX('Checklist'!$F$4:$F$503,_calc!$E$69))=0,"",INDEX('Checklist'!$F$4:$F$503,_calc!$E$69))&amp;". ")&amp;IF(LEN(IF(LEN(INDEX('Checklist'!$J$4:$J$503,_calc!$E$69))=0,"",INDEX('Checklist'!$J$4:$J$503,_calc!$E$69)))=0,"","Evidence: "&amp;IF(LEN(INDEX('Checklist'!$J$4:$J$503,_calc!$E$69))=0,"",INDEX('Checklist'!$J$4:$J$503,_calc!$E$69))&amp;". ")&amp;IF(LEN(IF(LEN(INDEX('Checklist'!$D$4:$D$503,_calc!$E$69))=0,"",INDEX('Checklist'!$D$4:$D$503,_calc!$E$69)))=0,"","Rule example: "&amp;IF(LEN(INDEX('Checklist'!$D$4:$D$503,_calc!$E$69))=0,"",INDEX('Checklist'!$D$4:$D$503,_calc!$E$69))&amp;". ")&amp;IF(LEN(IF(LEN(INDEX('Checklist'!$P$4:$P$503,_calc!$E$69))=0,"",INDEX('Checklist'!$P$4:$P$503,_calc!$E$69)))=0,"",IF(LEN(INDEX('Checklist'!$P$4:$P$503,_calc!$E$69))=0,"",INDEX('Checklist'!$P$4:$P$503,_calc!$E$69)))))</f>
        <v/>
      </c>
      <c r="K67" s="44">
        <f>IF(_calc!$E$69="","",IF(LEN(INDEX('Checklist'!$G$4:$G$503,_calc!$E$69))=0,"",INDEX('Checklist'!$G$4:$G$503,_calc!$E$69)))</f>
        <v/>
      </c>
    </row>
    <row r="68">
      <c r="A68" s="44">
        <f>IF(_calc!$E$70="","","Survey check – "&amp;IF(LEN(INDEX('Checklist'!$C$4:$C$503,_calc!$E$70))=0,"",INDEX('Checklist'!$C$4:$C$503,_calc!$E$70)))</f>
        <v/>
      </c>
      <c r="B68" s="44">
        <f>IF(_calc!$E$70="","",IF(ISNUMBER(INDEX('Checklist'!$L$4:$L$503,_calc!$E$70)),TEXT(INDEX('Checklist'!$L$4:$L$503,_calc!$E$70),"yyyy-mm-dd"),""))</f>
        <v/>
      </c>
      <c r="C68" s="44">
        <f>IF(_calc!$E$70="","","Survey readiness")</f>
        <v/>
      </c>
      <c r="D68" s="44">
        <f>IF(_calc!$E$70="","",IF(ISNUMBER(INDEX('Checklist'!$H$4:$H$503,_calc!$E$70)),TEXT(INDEX('Checklist'!$H$4:$H$503,_calc!$E$70),"yyyy-mm-dd"),""))</f>
        <v/>
      </c>
      <c r="F68" s="44">
        <f>IF(_calc!$E$70="","",TRIM(IF(LEN(IF(LEN(INDEX('Checklist'!$A$4:$A$503,_calc!$E$70))=0,"",INDEX('Checklist'!$A$4:$A$503,_calc!$E$70)))=0,"","Group: "&amp;IF(LEN(INDEX('Checklist'!$A$4:$A$503,_calc!$E$70))=0,"",INDEX('Checklist'!$A$4:$A$503,_calc!$E$70))&amp;". ")&amp;IF(LEN(IF(LEN(INDEX('Checklist'!$E$4:$E$503,_calc!$E$70))=0,"",INDEX('Checklist'!$E$4:$E$503,_calc!$E$70)))=0,"","Owner: "&amp;IF(LEN(INDEX('Checklist'!$E$4:$E$503,_calc!$E$70))=0,"",INDEX('Checklist'!$E$4:$E$503,_calc!$E$70))&amp;". ")&amp;IF(LEN(IF(LEN(INDEX('Checklist'!$F$4:$F$503,_calc!$E$70))=0,"",INDEX('Checklist'!$F$4:$F$503,_calc!$E$70)))=0,"","Backup: "&amp;IF(LEN(INDEX('Checklist'!$F$4:$F$503,_calc!$E$70))=0,"",INDEX('Checklist'!$F$4:$F$503,_calc!$E$70))&amp;". ")&amp;IF(LEN(IF(LEN(INDEX('Checklist'!$J$4:$J$503,_calc!$E$70))=0,"",INDEX('Checklist'!$J$4:$J$503,_calc!$E$70)))=0,"","Evidence: "&amp;IF(LEN(INDEX('Checklist'!$J$4:$J$503,_calc!$E$70))=0,"",INDEX('Checklist'!$J$4:$J$503,_calc!$E$70))&amp;". ")&amp;IF(LEN(IF(LEN(INDEX('Checklist'!$D$4:$D$503,_calc!$E$70))=0,"",INDEX('Checklist'!$D$4:$D$503,_calc!$E$70)))=0,"","Rule example: "&amp;IF(LEN(INDEX('Checklist'!$D$4:$D$503,_calc!$E$70))=0,"",INDEX('Checklist'!$D$4:$D$503,_calc!$E$70))&amp;". ")&amp;IF(LEN(IF(LEN(INDEX('Checklist'!$P$4:$P$503,_calc!$E$70))=0,"",INDEX('Checklist'!$P$4:$P$503,_calc!$E$70)))=0,"",IF(LEN(INDEX('Checklist'!$P$4:$P$503,_calc!$E$70))=0,"",INDEX('Checklist'!$P$4:$P$503,_calc!$E$70)))))</f>
        <v/>
      </c>
      <c r="K68" s="44">
        <f>IF(_calc!$E$70="","",IF(LEN(INDEX('Checklist'!$G$4:$G$503,_calc!$E$70))=0,"",INDEX('Checklist'!$G$4:$G$503,_calc!$E$70)))</f>
        <v/>
      </c>
    </row>
    <row r="69">
      <c r="A69" s="44">
        <f>IF(_calc!$E$71="","","Survey check – "&amp;IF(LEN(INDEX('Checklist'!$C$4:$C$503,_calc!$E$71))=0,"",INDEX('Checklist'!$C$4:$C$503,_calc!$E$71)))</f>
        <v/>
      </c>
      <c r="B69" s="44">
        <f>IF(_calc!$E$71="","",IF(ISNUMBER(INDEX('Checklist'!$L$4:$L$503,_calc!$E$71)),TEXT(INDEX('Checklist'!$L$4:$L$503,_calc!$E$71),"yyyy-mm-dd"),""))</f>
        <v/>
      </c>
      <c r="C69" s="44">
        <f>IF(_calc!$E$71="","","Survey readiness")</f>
        <v/>
      </c>
      <c r="D69" s="44">
        <f>IF(_calc!$E$71="","",IF(ISNUMBER(INDEX('Checklist'!$H$4:$H$503,_calc!$E$71)),TEXT(INDEX('Checklist'!$H$4:$H$503,_calc!$E$71),"yyyy-mm-dd"),""))</f>
        <v/>
      </c>
      <c r="F69" s="44">
        <f>IF(_calc!$E$71="","",TRIM(IF(LEN(IF(LEN(INDEX('Checklist'!$A$4:$A$503,_calc!$E$71))=0,"",INDEX('Checklist'!$A$4:$A$503,_calc!$E$71)))=0,"","Group: "&amp;IF(LEN(INDEX('Checklist'!$A$4:$A$503,_calc!$E$71))=0,"",INDEX('Checklist'!$A$4:$A$503,_calc!$E$71))&amp;". ")&amp;IF(LEN(IF(LEN(INDEX('Checklist'!$E$4:$E$503,_calc!$E$71))=0,"",INDEX('Checklist'!$E$4:$E$503,_calc!$E$71)))=0,"","Owner: "&amp;IF(LEN(INDEX('Checklist'!$E$4:$E$503,_calc!$E$71))=0,"",INDEX('Checklist'!$E$4:$E$503,_calc!$E$71))&amp;". ")&amp;IF(LEN(IF(LEN(INDEX('Checklist'!$F$4:$F$503,_calc!$E$71))=0,"",INDEX('Checklist'!$F$4:$F$503,_calc!$E$71)))=0,"","Backup: "&amp;IF(LEN(INDEX('Checklist'!$F$4:$F$503,_calc!$E$71))=0,"",INDEX('Checklist'!$F$4:$F$503,_calc!$E$71))&amp;". ")&amp;IF(LEN(IF(LEN(INDEX('Checklist'!$J$4:$J$503,_calc!$E$71))=0,"",INDEX('Checklist'!$J$4:$J$503,_calc!$E$71)))=0,"","Evidence: "&amp;IF(LEN(INDEX('Checklist'!$J$4:$J$503,_calc!$E$71))=0,"",INDEX('Checklist'!$J$4:$J$503,_calc!$E$71))&amp;". ")&amp;IF(LEN(IF(LEN(INDEX('Checklist'!$D$4:$D$503,_calc!$E$71))=0,"",INDEX('Checklist'!$D$4:$D$503,_calc!$E$71)))=0,"","Rule example: "&amp;IF(LEN(INDEX('Checklist'!$D$4:$D$503,_calc!$E$71))=0,"",INDEX('Checklist'!$D$4:$D$503,_calc!$E$71))&amp;". ")&amp;IF(LEN(IF(LEN(INDEX('Checklist'!$P$4:$P$503,_calc!$E$71))=0,"",INDEX('Checklist'!$P$4:$P$503,_calc!$E$71)))=0,"",IF(LEN(INDEX('Checklist'!$P$4:$P$503,_calc!$E$71))=0,"",INDEX('Checklist'!$P$4:$P$503,_calc!$E$71)))))</f>
        <v/>
      </c>
      <c r="K69" s="44">
        <f>IF(_calc!$E$71="","",IF(LEN(INDEX('Checklist'!$G$4:$G$503,_calc!$E$71))=0,"",INDEX('Checklist'!$G$4:$G$503,_calc!$E$71)))</f>
        <v/>
      </c>
    </row>
    <row r="70">
      <c r="A70" s="44">
        <f>IF(_calc!$E$72="","","Survey check – "&amp;IF(LEN(INDEX('Checklist'!$C$4:$C$503,_calc!$E$72))=0,"",INDEX('Checklist'!$C$4:$C$503,_calc!$E$72)))</f>
        <v/>
      </c>
      <c r="B70" s="44">
        <f>IF(_calc!$E$72="","",IF(ISNUMBER(INDEX('Checklist'!$L$4:$L$503,_calc!$E$72)),TEXT(INDEX('Checklist'!$L$4:$L$503,_calc!$E$72),"yyyy-mm-dd"),""))</f>
        <v/>
      </c>
      <c r="C70" s="44">
        <f>IF(_calc!$E$72="","","Survey readiness")</f>
        <v/>
      </c>
      <c r="D70" s="44">
        <f>IF(_calc!$E$72="","",IF(ISNUMBER(INDEX('Checklist'!$H$4:$H$503,_calc!$E$72)),TEXT(INDEX('Checklist'!$H$4:$H$503,_calc!$E$72),"yyyy-mm-dd"),""))</f>
        <v/>
      </c>
      <c r="F70" s="44">
        <f>IF(_calc!$E$72="","",TRIM(IF(LEN(IF(LEN(INDEX('Checklist'!$A$4:$A$503,_calc!$E$72))=0,"",INDEX('Checklist'!$A$4:$A$503,_calc!$E$72)))=0,"","Group: "&amp;IF(LEN(INDEX('Checklist'!$A$4:$A$503,_calc!$E$72))=0,"",INDEX('Checklist'!$A$4:$A$503,_calc!$E$72))&amp;". ")&amp;IF(LEN(IF(LEN(INDEX('Checklist'!$E$4:$E$503,_calc!$E$72))=0,"",INDEX('Checklist'!$E$4:$E$503,_calc!$E$72)))=0,"","Owner: "&amp;IF(LEN(INDEX('Checklist'!$E$4:$E$503,_calc!$E$72))=0,"",INDEX('Checklist'!$E$4:$E$503,_calc!$E$72))&amp;". ")&amp;IF(LEN(IF(LEN(INDEX('Checklist'!$F$4:$F$503,_calc!$E$72))=0,"",INDEX('Checklist'!$F$4:$F$503,_calc!$E$72)))=0,"","Backup: "&amp;IF(LEN(INDEX('Checklist'!$F$4:$F$503,_calc!$E$72))=0,"",INDEX('Checklist'!$F$4:$F$503,_calc!$E$72))&amp;". ")&amp;IF(LEN(IF(LEN(INDEX('Checklist'!$J$4:$J$503,_calc!$E$72))=0,"",INDEX('Checklist'!$J$4:$J$503,_calc!$E$72)))=0,"","Evidence: "&amp;IF(LEN(INDEX('Checklist'!$J$4:$J$503,_calc!$E$72))=0,"",INDEX('Checklist'!$J$4:$J$503,_calc!$E$72))&amp;". ")&amp;IF(LEN(IF(LEN(INDEX('Checklist'!$D$4:$D$503,_calc!$E$72))=0,"",INDEX('Checklist'!$D$4:$D$503,_calc!$E$72)))=0,"","Rule example: "&amp;IF(LEN(INDEX('Checklist'!$D$4:$D$503,_calc!$E$72))=0,"",INDEX('Checklist'!$D$4:$D$503,_calc!$E$72))&amp;". ")&amp;IF(LEN(IF(LEN(INDEX('Checklist'!$P$4:$P$503,_calc!$E$72))=0,"",INDEX('Checklist'!$P$4:$P$503,_calc!$E$72)))=0,"",IF(LEN(INDEX('Checklist'!$P$4:$P$503,_calc!$E$72))=0,"",INDEX('Checklist'!$P$4:$P$503,_calc!$E$72)))))</f>
        <v/>
      </c>
      <c r="K70" s="44">
        <f>IF(_calc!$E$72="","",IF(LEN(INDEX('Checklist'!$G$4:$G$503,_calc!$E$72))=0,"",INDEX('Checklist'!$G$4:$G$503,_calc!$E$72)))</f>
        <v/>
      </c>
    </row>
    <row r="71">
      <c r="A71" s="44">
        <f>IF(_calc!$E$73="","","Survey check – "&amp;IF(LEN(INDEX('Checklist'!$C$4:$C$503,_calc!$E$73))=0,"",INDEX('Checklist'!$C$4:$C$503,_calc!$E$73)))</f>
        <v/>
      </c>
      <c r="B71" s="44">
        <f>IF(_calc!$E$73="","",IF(ISNUMBER(INDEX('Checklist'!$L$4:$L$503,_calc!$E$73)),TEXT(INDEX('Checklist'!$L$4:$L$503,_calc!$E$73),"yyyy-mm-dd"),""))</f>
        <v/>
      </c>
      <c r="C71" s="44">
        <f>IF(_calc!$E$73="","","Survey readiness")</f>
        <v/>
      </c>
      <c r="D71" s="44">
        <f>IF(_calc!$E$73="","",IF(ISNUMBER(INDEX('Checklist'!$H$4:$H$503,_calc!$E$73)),TEXT(INDEX('Checklist'!$H$4:$H$503,_calc!$E$73),"yyyy-mm-dd"),""))</f>
        <v/>
      </c>
      <c r="F71" s="44">
        <f>IF(_calc!$E$73="","",TRIM(IF(LEN(IF(LEN(INDEX('Checklist'!$A$4:$A$503,_calc!$E$73))=0,"",INDEX('Checklist'!$A$4:$A$503,_calc!$E$73)))=0,"","Group: "&amp;IF(LEN(INDEX('Checklist'!$A$4:$A$503,_calc!$E$73))=0,"",INDEX('Checklist'!$A$4:$A$503,_calc!$E$73))&amp;". ")&amp;IF(LEN(IF(LEN(INDEX('Checklist'!$E$4:$E$503,_calc!$E$73))=0,"",INDEX('Checklist'!$E$4:$E$503,_calc!$E$73)))=0,"","Owner: "&amp;IF(LEN(INDEX('Checklist'!$E$4:$E$503,_calc!$E$73))=0,"",INDEX('Checklist'!$E$4:$E$503,_calc!$E$73))&amp;". ")&amp;IF(LEN(IF(LEN(INDEX('Checklist'!$F$4:$F$503,_calc!$E$73))=0,"",INDEX('Checklist'!$F$4:$F$503,_calc!$E$73)))=0,"","Backup: "&amp;IF(LEN(INDEX('Checklist'!$F$4:$F$503,_calc!$E$73))=0,"",INDEX('Checklist'!$F$4:$F$503,_calc!$E$73))&amp;". ")&amp;IF(LEN(IF(LEN(INDEX('Checklist'!$J$4:$J$503,_calc!$E$73))=0,"",INDEX('Checklist'!$J$4:$J$503,_calc!$E$73)))=0,"","Evidence: "&amp;IF(LEN(INDEX('Checklist'!$J$4:$J$503,_calc!$E$73))=0,"",INDEX('Checklist'!$J$4:$J$503,_calc!$E$73))&amp;". ")&amp;IF(LEN(IF(LEN(INDEX('Checklist'!$D$4:$D$503,_calc!$E$73))=0,"",INDEX('Checklist'!$D$4:$D$503,_calc!$E$73)))=0,"","Rule example: "&amp;IF(LEN(INDEX('Checklist'!$D$4:$D$503,_calc!$E$73))=0,"",INDEX('Checklist'!$D$4:$D$503,_calc!$E$73))&amp;". ")&amp;IF(LEN(IF(LEN(INDEX('Checklist'!$P$4:$P$503,_calc!$E$73))=0,"",INDEX('Checklist'!$P$4:$P$503,_calc!$E$73)))=0,"",IF(LEN(INDEX('Checklist'!$P$4:$P$503,_calc!$E$73))=0,"",INDEX('Checklist'!$P$4:$P$503,_calc!$E$73)))))</f>
        <v/>
      </c>
      <c r="K71" s="44">
        <f>IF(_calc!$E$73="","",IF(LEN(INDEX('Checklist'!$G$4:$G$503,_calc!$E$73))=0,"",INDEX('Checklist'!$G$4:$G$503,_calc!$E$73)))</f>
        <v/>
      </c>
    </row>
    <row r="72">
      <c r="A72" s="44">
        <f>IF(_calc!$E$74="","","Survey check – "&amp;IF(LEN(INDEX('Checklist'!$C$4:$C$503,_calc!$E$74))=0,"",INDEX('Checklist'!$C$4:$C$503,_calc!$E$74)))</f>
        <v/>
      </c>
      <c r="B72" s="44">
        <f>IF(_calc!$E$74="","",IF(ISNUMBER(INDEX('Checklist'!$L$4:$L$503,_calc!$E$74)),TEXT(INDEX('Checklist'!$L$4:$L$503,_calc!$E$74),"yyyy-mm-dd"),""))</f>
        <v/>
      </c>
      <c r="C72" s="44">
        <f>IF(_calc!$E$74="","","Survey readiness")</f>
        <v/>
      </c>
      <c r="D72" s="44">
        <f>IF(_calc!$E$74="","",IF(ISNUMBER(INDEX('Checklist'!$H$4:$H$503,_calc!$E$74)),TEXT(INDEX('Checklist'!$H$4:$H$503,_calc!$E$74),"yyyy-mm-dd"),""))</f>
        <v/>
      </c>
      <c r="F72" s="44">
        <f>IF(_calc!$E$74="","",TRIM(IF(LEN(IF(LEN(INDEX('Checklist'!$A$4:$A$503,_calc!$E$74))=0,"",INDEX('Checklist'!$A$4:$A$503,_calc!$E$74)))=0,"","Group: "&amp;IF(LEN(INDEX('Checklist'!$A$4:$A$503,_calc!$E$74))=0,"",INDEX('Checklist'!$A$4:$A$503,_calc!$E$74))&amp;". ")&amp;IF(LEN(IF(LEN(INDEX('Checklist'!$E$4:$E$503,_calc!$E$74))=0,"",INDEX('Checklist'!$E$4:$E$503,_calc!$E$74)))=0,"","Owner: "&amp;IF(LEN(INDEX('Checklist'!$E$4:$E$503,_calc!$E$74))=0,"",INDEX('Checklist'!$E$4:$E$503,_calc!$E$74))&amp;". ")&amp;IF(LEN(IF(LEN(INDEX('Checklist'!$F$4:$F$503,_calc!$E$74))=0,"",INDEX('Checklist'!$F$4:$F$503,_calc!$E$74)))=0,"","Backup: "&amp;IF(LEN(INDEX('Checklist'!$F$4:$F$503,_calc!$E$74))=0,"",INDEX('Checklist'!$F$4:$F$503,_calc!$E$74))&amp;". ")&amp;IF(LEN(IF(LEN(INDEX('Checklist'!$J$4:$J$503,_calc!$E$74))=0,"",INDEX('Checklist'!$J$4:$J$503,_calc!$E$74)))=0,"","Evidence: "&amp;IF(LEN(INDEX('Checklist'!$J$4:$J$503,_calc!$E$74))=0,"",INDEX('Checklist'!$J$4:$J$503,_calc!$E$74))&amp;". ")&amp;IF(LEN(IF(LEN(INDEX('Checklist'!$D$4:$D$503,_calc!$E$74))=0,"",INDEX('Checklist'!$D$4:$D$503,_calc!$E$74)))=0,"","Rule example: "&amp;IF(LEN(INDEX('Checklist'!$D$4:$D$503,_calc!$E$74))=0,"",INDEX('Checklist'!$D$4:$D$503,_calc!$E$74))&amp;". ")&amp;IF(LEN(IF(LEN(INDEX('Checklist'!$P$4:$P$503,_calc!$E$74))=0,"",INDEX('Checklist'!$P$4:$P$503,_calc!$E$74)))=0,"",IF(LEN(INDEX('Checklist'!$P$4:$P$503,_calc!$E$74))=0,"",INDEX('Checklist'!$P$4:$P$503,_calc!$E$74)))))</f>
        <v/>
      </c>
      <c r="K72" s="44">
        <f>IF(_calc!$E$74="","",IF(LEN(INDEX('Checklist'!$G$4:$G$503,_calc!$E$74))=0,"",INDEX('Checklist'!$G$4:$G$503,_calc!$E$74)))</f>
        <v/>
      </c>
    </row>
    <row r="73">
      <c r="A73" s="44">
        <f>IF(_calc!$E$75="","","Survey check – "&amp;IF(LEN(INDEX('Checklist'!$C$4:$C$503,_calc!$E$75))=0,"",INDEX('Checklist'!$C$4:$C$503,_calc!$E$75)))</f>
        <v/>
      </c>
      <c r="B73" s="44">
        <f>IF(_calc!$E$75="","",IF(ISNUMBER(INDEX('Checklist'!$L$4:$L$503,_calc!$E$75)),TEXT(INDEX('Checklist'!$L$4:$L$503,_calc!$E$75),"yyyy-mm-dd"),""))</f>
        <v/>
      </c>
      <c r="C73" s="44">
        <f>IF(_calc!$E$75="","","Survey readiness")</f>
        <v/>
      </c>
      <c r="D73" s="44">
        <f>IF(_calc!$E$75="","",IF(ISNUMBER(INDEX('Checklist'!$H$4:$H$503,_calc!$E$75)),TEXT(INDEX('Checklist'!$H$4:$H$503,_calc!$E$75),"yyyy-mm-dd"),""))</f>
        <v/>
      </c>
      <c r="F73" s="44">
        <f>IF(_calc!$E$75="","",TRIM(IF(LEN(IF(LEN(INDEX('Checklist'!$A$4:$A$503,_calc!$E$75))=0,"",INDEX('Checklist'!$A$4:$A$503,_calc!$E$75)))=0,"","Group: "&amp;IF(LEN(INDEX('Checklist'!$A$4:$A$503,_calc!$E$75))=0,"",INDEX('Checklist'!$A$4:$A$503,_calc!$E$75))&amp;". ")&amp;IF(LEN(IF(LEN(INDEX('Checklist'!$E$4:$E$503,_calc!$E$75))=0,"",INDEX('Checklist'!$E$4:$E$503,_calc!$E$75)))=0,"","Owner: "&amp;IF(LEN(INDEX('Checklist'!$E$4:$E$503,_calc!$E$75))=0,"",INDEX('Checklist'!$E$4:$E$503,_calc!$E$75))&amp;". ")&amp;IF(LEN(IF(LEN(INDEX('Checklist'!$F$4:$F$503,_calc!$E$75))=0,"",INDEX('Checklist'!$F$4:$F$503,_calc!$E$75)))=0,"","Backup: "&amp;IF(LEN(INDEX('Checklist'!$F$4:$F$503,_calc!$E$75))=0,"",INDEX('Checklist'!$F$4:$F$503,_calc!$E$75))&amp;". ")&amp;IF(LEN(IF(LEN(INDEX('Checklist'!$J$4:$J$503,_calc!$E$75))=0,"",INDEX('Checklist'!$J$4:$J$503,_calc!$E$75)))=0,"","Evidence: "&amp;IF(LEN(INDEX('Checklist'!$J$4:$J$503,_calc!$E$75))=0,"",INDEX('Checklist'!$J$4:$J$503,_calc!$E$75))&amp;". ")&amp;IF(LEN(IF(LEN(INDEX('Checklist'!$D$4:$D$503,_calc!$E$75))=0,"",INDEX('Checklist'!$D$4:$D$503,_calc!$E$75)))=0,"","Rule example: "&amp;IF(LEN(INDEX('Checklist'!$D$4:$D$503,_calc!$E$75))=0,"",INDEX('Checklist'!$D$4:$D$503,_calc!$E$75))&amp;". ")&amp;IF(LEN(IF(LEN(INDEX('Checklist'!$P$4:$P$503,_calc!$E$75))=0,"",INDEX('Checklist'!$P$4:$P$503,_calc!$E$75)))=0,"",IF(LEN(INDEX('Checklist'!$P$4:$P$503,_calc!$E$75))=0,"",INDEX('Checklist'!$P$4:$P$503,_calc!$E$75)))))</f>
        <v/>
      </c>
      <c r="K73" s="44">
        <f>IF(_calc!$E$75="","",IF(LEN(INDEX('Checklist'!$G$4:$G$503,_calc!$E$75))=0,"",INDEX('Checklist'!$G$4:$G$503,_calc!$E$75)))</f>
        <v/>
      </c>
    </row>
    <row r="74">
      <c r="A74" s="44">
        <f>IF(_calc!$E$76="","","Survey check – "&amp;IF(LEN(INDEX('Checklist'!$C$4:$C$503,_calc!$E$76))=0,"",INDEX('Checklist'!$C$4:$C$503,_calc!$E$76)))</f>
        <v/>
      </c>
      <c r="B74" s="44">
        <f>IF(_calc!$E$76="","",IF(ISNUMBER(INDEX('Checklist'!$L$4:$L$503,_calc!$E$76)),TEXT(INDEX('Checklist'!$L$4:$L$503,_calc!$E$76),"yyyy-mm-dd"),""))</f>
        <v/>
      </c>
      <c r="C74" s="44">
        <f>IF(_calc!$E$76="","","Survey readiness")</f>
        <v/>
      </c>
      <c r="D74" s="44">
        <f>IF(_calc!$E$76="","",IF(ISNUMBER(INDEX('Checklist'!$H$4:$H$503,_calc!$E$76)),TEXT(INDEX('Checklist'!$H$4:$H$503,_calc!$E$76),"yyyy-mm-dd"),""))</f>
        <v/>
      </c>
      <c r="F74" s="44">
        <f>IF(_calc!$E$76="","",TRIM(IF(LEN(IF(LEN(INDEX('Checklist'!$A$4:$A$503,_calc!$E$76))=0,"",INDEX('Checklist'!$A$4:$A$503,_calc!$E$76)))=0,"","Group: "&amp;IF(LEN(INDEX('Checklist'!$A$4:$A$503,_calc!$E$76))=0,"",INDEX('Checklist'!$A$4:$A$503,_calc!$E$76))&amp;". ")&amp;IF(LEN(IF(LEN(INDEX('Checklist'!$E$4:$E$503,_calc!$E$76))=0,"",INDEX('Checklist'!$E$4:$E$503,_calc!$E$76)))=0,"","Owner: "&amp;IF(LEN(INDEX('Checklist'!$E$4:$E$503,_calc!$E$76))=0,"",INDEX('Checklist'!$E$4:$E$503,_calc!$E$76))&amp;". ")&amp;IF(LEN(IF(LEN(INDEX('Checklist'!$F$4:$F$503,_calc!$E$76))=0,"",INDEX('Checklist'!$F$4:$F$503,_calc!$E$76)))=0,"","Backup: "&amp;IF(LEN(INDEX('Checklist'!$F$4:$F$503,_calc!$E$76))=0,"",INDEX('Checklist'!$F$4:$F$503,_calc!$E$76))&amp;". ")&amp;IF(LEN(IF(LEN(INDEX('Checklist'!$J$4:$J$503,_calc!$E$76))=0,"",INDEX('Checklist'!$J$4:$J$503,_calc!$E$76)))=0,"","Evidence: "&amp;IF(LEN(INDEX('Checklist'!$J$4:$J$503,_calc!$E$76))=0,"",INDEX('Checklist'!$J$4:$J$503,_calc!$E$76))&amp;". ")&amp;IF(LEN(IF(LEN(INDEX('Checklist'!$D$4:$D$503,_calc!$E$76))=0,"",INDEX('Checklist'!$D$4:$D$503,_calc!$E$76)))=0,"","Rule example: "&amp;IF(LEN(INDEX('Checklist'!$D$4:$D$503,_calc!$E$76))=0,"",INDEX('Checklist'!$D$4:$D$503,_calc!$E$76))&amp;". ")&amp;IF(LEN(IF(LEN(INDEX('Checklist'!$P$4:$P$503,_calc!$E$76))=0,"",INDEX('Checklist'!$P$4:$P$503,_calc!$E$76)))=0,"",IF(LEN(INDEX('Checklist'!$P$4:$P$503,_calc!$E$76))=0,"",INDEX('Checklist'!$P$4:$P$503,_calc!$E$76)))))</f>
        <v/>
      </c>
      <c r="K74" s="44">
        <f>IF(_calc!$E$76="","",IF(LEN(INDEX('Checklist'!$G$4:$G$503,_calc!$E$76))=0,"",INDEX('Checklist'!$G$4:$G$503,_calc!$E$76)))</f>
        <v/>
      </c>
    </row>
    <row r="75">
      <c r="A75" s="44">
        <f>IF(_calc!$E$77="","","Survey check – "&amp;IF(LEN(INDEX('Checklist'!$C$4:$C$503,_calc!$E$77))=0,"",INDEX('Checklist'!$C$4:$C$503,_calc!$E$77)))</f>
        <v/>
      </c>
      <c r="B75" s="44">
        <f>IF(_calc!$E$77="","",IF(ISNUMBER(INDEX('Checklist'!$L$4:$L$503,_calc!$E$77)),TEXT(INDEX('Checklist'!$L$4:$L$503,_calc!$E$77),"yyyy-mm-dd"),""))</f>
        <v/>
      </c>
      <c r="C75" s="44">
        <f>IF(_calc!$E$77="","","Survey readiness")</f>
        <v/>
      </c>
      <c r="D75" s="44">
        <f>IF(_calc!$E$77="","",IF(ISNUMBER(INDEX('Checklist'!$H$4:$H$503,_calc!$E$77)),TEXT(INDEX('Checklist'!$H$4:$H$503,_calc!$E$77),"yyyy-mm-dd"),""))</f>
        <v/>
      </c>
      <c r="F75" s="44">
        <f>IF(_calc!$E$77="","",TRIM(IF(LEN(IF(LEN(INDEX('Checklist'!$A$4:$A$503,_calc!$E$77))=0,"",INDEX('Checklist'!$A$4:$A$503,_calc!$E$77)))=0,"","Group: "&amp;IF(LEN(INDEX('Checklist'!$A$4:$A$503,_calc!$E$77))=0,"",INDEX('Checklist'!$A$4:$A$503,_calc!$E$77))&amp;". ")&amp;IF(LEN(IF(LEN(INDEX('Checklist'!$E$4:$E$503,_calc!$E$77))=0,"",INDEX('Checklist'!$E$4:$E$503,_calc!$E$77)))=0,"","Owner: "&amp;IF(LEN(INDEX('Checklist'!$E$4:$E$503,_calc!$E$77))=0,"",INDEX('Checklist'!$E$4:$E$503,_calc!$E$77))&amp;". ")&amp;IF(LEN(IF(LEN(INDEX('Checklist'!$F$4:$F$503,_calc!$E$77))=0,"",INDEX('Checklist'!$F$4:$F$503,_calc!$E$77)))=0,"","Backup: "&amp;IF(LEN(INDEX('Checklist'!$F$4:$F$503,_calc!$E$77))=0,"",INDEX('Checklist'!$F$4:$F$503,_calc!$E$77))&amp;". ")&amp;IF(LEN(IF(LEN(INDEX('Checklist'!$J$4:$J$503,_calc!$E$77))=0,"",INDEX('Checklist'!$J$4:$J$503,_calc!$E$77)))=0,"","Evidence: "&amp;IF(LEN(INDEX('Checklist'!$J$4:$J$503,_calc!$E$77))=0,"",INDEX('Checklist'!$J$4:$J$503,_calc!$E$77))&amp;". ")&amp;IF(LEN(IF(LEN(INDEX('Checklist'!$D$4:$D$503,_calc!$E$77))=0,"",INDEX('Checklist'!$D$4:$D$503,_calc!$E$77)))=0,"","Rule example: "&amp;IF(LEN(INDEX('Checklist'!$D$4:$D$503,_calc!$E$77))=0,"",INDEX('Checklist'!$D$4:$D$503,_calc!$E$77))&amp;". ")&amp;IF(LEN(IF(LEN(INDEX('Checklist'!$P$4:$P$503,_calc!$E$77))=0,"",INDEX('Checklist'!$P$4:$P$503,_calc!$E$77)))=0,"",IF(LEN(INDEX('Checklist'!$P$4:$P$503,_calc!$E$77))=0,"",INDEX('Checklist'!$P$4:$P$503,_calc!$E$77)))))</f>
        <v/>
      </c>
      <c r="K75" s="44">
        <f>IF(_calc!$E$77="","",IF(LEN(INDEX('Checklist'!$G$4:$G$503,_calc!$E$77))=0,"",INDEX('Checklist'!$G$4:$G$503,_calc!$E$77)))</f>
        <v/>
      </c>
    </row>
    <row r="76">
      <c r="A76" s="44">
        <f>IF(_calc!$E$78="","","Survey check – "&amp;IF(LEN(INDEX('Checklist'!$C$4:$C$503,_calc!$E$78))=0,"",INDEX('Checklist'!$C$4:$C$503,_calc!$E$78)))</f>
        <v/>
      </c>
      <c r="B76" s="44">
        <f>IF(_calc!$E$78="","",IF(ISNUMBER(INDEX('Checklist'!$L$4:$L$503,_calc!$E$78)),TEXT(INDEX('Checklist'!$L$4:$L$503,_calc!$E$78),"yyyy-mm-dd"),""))</f>
        <v/>
      </c>
      <c r="C76" s="44">
        <f>IF(_calc!$E$78="","","Survey readiness")</f>
        <v/>
      </c>
      <c r="D76" s="44">
        <f>IF(_calc!$E$78="","",IF(ISNUMBER(INDEX('Checklist'!$H$4:$H$503,_calc!$E$78)),TEXT(INDEX('Checklist'!$H$4:$H$503,_calc!$E$78),"yyyy-mm-dd"),""))</f>
        <v/>
      </c>
      <c r="F76" s="44">
        <f>IF(_calc!$E$78="","",TRIM(IF(LEN(IF(LEN(INDEX('Checklist'!$A$4:$A$503,_calc!$E$78))=0,"",INDEX('Checklist'!$A$4:$A$503,_calc!$E$78)))=0,"","Group: "&amp;IF(LEN(INDEX('Checklist'!$A$4:$A$503,_calc!$E$78))=0,"",INDEX('Checklist'!$A$4:$A$503,_calc!$E$78))&amp;". ")&amp;IF(LEN(IF(LEN(INDEX('Checklist'!$E$4:$E$503,_calc!$E$78))=0,"",INDEX('Checklist'!$E$4:$E$503,_calc!$E$78)))=0,"","Owner: "&amp;IF(LEN(INDEX('Checklist'!$E$4:$E$503,_calc!$E$78))=0,"",INDEX('Checklist'!$E$4:$E$503,_calc!$E$78))&amp;". ")&amp;IF(LEN(IF(LEN(INDEX('Checklist'!$F$4:$F$503,_calc!$E$78))=0,"",INDEX('Checklist'!$F$4:$F$503,_calc!$E$78)))=0,"","Backup: "&amp;IF(LEN(INDEX('Checklist'!$F$4:$F$503,_calc!$E$78))=0,"",INDEX('Checklist'!$F$4:$F$503,_calc!$E$78))&amp;". ")&amp;IF(LEN(IF(LEN(INDEX('Checklist'!$J$4:$J$503,_calc!$E$78))=0,"",INDEX('Checklist'!$J$4:$J$503,_calc!$E$78)))=0,"","Evidence: "&amp;IF(LEN(INDEX('Checklist'!$J$4:$J$503,_calc!$E$78))=0,"",INDEX('Checklist'!$J$4:$J$503,_calc!$E$78))&amp;". ")&amp;IF(LEN(IF(LEN(INDEX('Checklist'!$D$4:$D$503,_calc!$E$78))=0,"",INDEX('Checklist'!$D$4:$D$503,_calc!$E$78)))=0,"","Rule example: "&amp;IF(LEN(INDEX('Checklist'!$D$4:$D$503,_calc!$E$78))=0,"",INDEX('Checklist'!$D$4:$D$503,_calc!$E$78))&amp;". ")&amp;IF(LEN(IF(LEN(INDEX('Checklist'!$P$4:$P$503,_calc!$E$78))=0,"",INDEX('Checklist'!$P$4:$P$503,_calc!$E$78)))=0,"",IF(LEN(INDEX('Checklist'!$P$4:$P$503,_calc!$E$78))=0,"",INDEX('Checklist'!$P$4:$P$503,_calc!$E$78)))))</f>
        <v/>
      </c>
      <c r="K76" s="44">
        <f>IF(_calc!$E$78="","",IF(LEN(INDEX('Checklist'!$G$4:$G$503,_calc!$E$78))=0,"",INDEX('Checklist'!$G$4:$G$503,_calc!$E$78)))</f>
        <v/>
      </c>
    </row>
    <row r="77">
      <c r="A77" s="44">
        <f>IF(_calc!$E$79="","","Survey check – "&amp;IF(LEN(INDEX('Checklist'!$C$4:$C$503,_calc!$E$79))=0,"",INDEX('Checklist'!$C$4:$C$503,_calc!$E$79)))</f>
        <v/>
      </c>
      <c r="B77" s="44">
        <f>IF(_calc!$E$79="","",IF(ISNUMBER(INDEX('Checklist'!$L$4:$L$503,_calc!$E$79)),TEXT(INDEX('Checklist'!$L$4:$L$503,_calc!$E$79),"yyyy-mm-dd"),""))</f>
        <v/>
      </c>
      <c r="C77" s="44">
        <f>IF(_calc!$E$79="","","Survey readiness")</f>
        <v/>
      </c>
      <c r="D77" s="44">
        <f>IF(_calc!$E$79="","",IF(ISNUMBER(INDEX('Checklist'!$H$4:$H$503,_calc!$E$79)),TEXT(INDEX('Checklist'!$H$4:$H$503,_calc!$E$79),"yyyy-mm-dd"),""))</f>
        <v/>
      </c>
      <c r="F77" s="44">
        <f>IF(_calc!$E$79="","",TRIM(IF(LEN(IF(LEN(INDEX('Checklist'!$A$4:$A$503,_calc!$E$79))=0,"",INDEX('Checklist'!$A$4:$A$503,_calc!$E$79)))=0,"","Group: "&amp;IF(LEN(INDEX('Checklist'!$A$4:$A$503,_calc!$E$79))=0,"",INDEX('Checklist'!$A$4:$A$503,_calc!$E$79))&amp;". ")&amp;IF(LEN(IF(LEN(INDEX('Checklist'!$E$4:$E$503,_calc!$E$79))=0,"",INDEX('Checklist'!$E$4:$E$503,_calc!$E$79)))=0,"","Owner: "&amp;IF(LEN(INDEX('Checklist'!$E$4:$E$503,_calc!$E$79))=0,"",INDEX('Checklist'!$E$4:$E$503,_calc!$E$79))&amp;". ")&amp;IF(LEN(IF(LEN(INDEX('Checklist'!$F$4:$F$503,_calc!$E$79))=0,"",INDEX('Checklist'!$F$4:$F$503,_calc!$E$79)))=0,"","Backup: "&amp;IF(LEN(INDEX('Checklist'!$F$4:$F$503,_calc!$E$79))=0,"",INDEX('Checklist'!$F$4:$F$503,_calc!$E$79))&amp;". ")&amp;IF(LEN(IF(LEN(INDEX('Checklist'!$J$4:$J$503,_calc!$E$79))=0,"",INDEX('Checklist'!$J$4:$J$503,_calc!$E$79)))=0,"","Evidence: "&amp;IF(LEN(INDEX('Checklist'!$J$4:$J$503,_calc!$E$79))=0,"",INDEX('Checklist'!$J$4:$J$503,_calc!$E$79))&amp;". ")&amp;IF(LEN(IF(LEN(INDEX('Checklist'!$D$4:$D$503,_calc!$E$79))=0,"",INDEX('Checklist'!$D$4:$D$503,_calc!$E$79)))=0,"","Rule example: "&amp;IF(LEN(INDEX('Checklist'!$D$4:$D$503,_calc!$E$79))=0,"",INDEX('Checklist'!$D$4:$D$503,_calc!$E$79))&amp;". ")&amp;IF(LEN(IF(LEN(INDEX('Checklist'!$P$4:$P$503,_calc!$E$79))=0,"",INDEX('Checklist'!$P$4:$P$503,_calc!$E$79)))=0,"",IF(LEN(INDEX('Checklist'!$P$4:$P$503,_calc!$E$79))=0,"",INDEX('Checklist'!$P$4:$P$503,_calc!$E$79)))))</f>
        <v/>
      </c>
      <c r="K77" s="44">
        <f>IF(_calc!$E$79="","",IF(LEN(INDEX('Checklist'!$G$4:$G$503,_calc!$E$79))=0,"",INDEX('Checklist'!$G$4:$G$503,_calc!$E$79)))</f>
        <v/>
      </c>
    </row>
    <row r="78">
      <c r="A78" s="44">
        <f>IF(_calc!$E$80="","","Survey check – "&amp;IF(LEN(INDEX('Checklist'!$C$4:$C$503,_calc!$E$80))=0,"",INDEX('Checklist'!$C$4:$C$503,_calc!$E$80)))</f>
        <v/>
      </c>
      <c r="B78" s="44">
        <f>IF(_calc!$E$80="","",IF(ISNUMBER(INDEX('Checklist'!$L$4:$L$503,_calc!$E$80)),TEXT(INDEX('Checklist'!$L$4:$L$503,_calc!$E$80),"yyyy-mm-dd"),""))</f>
        <v/>
      </c>
      <c r="C78" s="44">
        <f>IF(_calc!$E$80="","","Survey readiness")</f>
        <v/>
      </c>
      <c r="D78" s="44">
        <f>IF(_calc!$E$80="","",IF(ISNUMBER(INDEX('Checklist'!$H$4:$H$503,_calc!$E$80)),TEXT(INDEX('Checklist'!$H$4:$H$503,_calc!$E$80),"yyyy-mm-dd"),""))</f>
        <v/>
      </c>
      <c r="F78" s="44">
        <f>IF(_calc!$E$80="","",TRIM(IF(LEN(IF(LEN(INDEX('Checklist'!$A$4:$A$503,_calc!$E$80))=0,"",INDEX('Checklist'!$A$4:$A$503,_calc!$E$80)))=0,"","Group: "&amp;IF(LEN(INDEX('Checklist'!$A$4:$A$503,_calc!$E$80))=0,"",INDEX('Checklist'!$A$4:$A$503,_calc!$E$80))&amp;". ")&amp;IF(LEN(IF(LEN(INDEX('Checklist'!$E$4:$E$503,_calc!$E$80))=0,"",INDEX('Checklist'!$E$4:$E$503,_calc!$E$80)))=0,"","Owner: "&amp;IF(LEN(INDEX('Checklist'!$E$4:$E$503,_calc!$E$80))=0,"",INDEX('Checklist'!$E$4:$E$503,_calc!$E$80))&amp;". ")&amp;IF(LEN(IF(LEN(INDEX('Checklist'!$F$4:$F$503,_calc!$E$80))=0,"",INDEX('Checklist'!$F$4:$F$503,_calc!$E$80)))=0,"","Backup: "&amp;IF(LEN(INDEX('Checklist'!$F$4:$F$503,_calc!$E$80))=0,"",INDEX('Checklist'!$F$4:$F$503,_calc!$E$80))&amp;". ")&amp;IF(LEN(IF(LEN(INDEX('Checklist'!$J$4:$J$503,_calc!$E$80))=0,"",INDEX('Checklist'!$J$4:$J$503,_calc!$E$80)))=0,"","Evidence: "&amp;IF(LEN(INDEX('Checklist'!$J$4:$J$503,_calc!$E$80))=0,"",INDEX('Checklist'!$J$4:$J$503,_calc!$E$80))&amp;". ")&amp;IF(LEN(IF(LEN(INDEX('Checklist'!$D$4:$D$503,_calc!$E$80))=0,"",INDEX('Checklist'!$D$4:$D$503,_calc!$E$80)))=0,"","Rule example: "&amp;IF(LEN(INDEX('Checklist'!$D$4:$D$503,_calc!$E$80))=0,"",INDEX('Checklist'!$D$4:$D$503,_calc!$E$80))&amp;". ")&amp;IF(LEN(IF(LEN(INDEX('Checklist'!$P$4:$P$503,_calc!$E$80))=0,"",INDEX('Checklist'!$P$4:$P$503,_calc!$E$80)))=0,"",IF(LEN(INDEX('Checklist'!$P$4:$P$503,_calc!$E$80))=0,"",INDEX('Checklist'!$P$4:$P$503,_calc!$E$80)))))</f>
        <v/>
      </c>
      <c r="K78" s="44">
        <f>IF(_calc!$E$80="","",IF(LEN(INDEX('Checklist'!$G$4:$G$503,_calc!$E$80))=0,"",INDEX('Checklist'!$G$4:$G$503,_calc!$E$80)))</f>
        <v/>
      </c>
    </row>
    <row r="79">
      <c r="A79" s="44">
        <f>IF(_calc!$E$81="","","Survey check – "&amp;IF(LEN(INDEX('Checklist'!$C$4:$C$503,_calc!$E$81))=0,"",INDEX('Checklist'!$C$4:$C$503,_calc!$E$81)))</f>
        <v/>
      </c>
      <c r="B79" s="44">
        <f>IF(_calc!$E$81="","",IF(ISNUMBER(INDEX('Checklist'!$L$4:$L$503,_calc!$E$81)),TEXT(INDEX('Checklist'!$L$4:$L$503,_calc!$E$81),"yyyy-mm-dd"),""))</f>
        <v/>
      </c>
      <c r="C79" s="44">
        <f>IF(_calc!$E$81="","","Survey readiness")</f>
        <v/>
      </c>
      <c r="D79" s="44">
        <f>IF(_calc!$E$81="","",IF(ISNUMBER(INDEX('Checklist'!$H$4:$H$503,_calc!$E$81)),TEXT(INDEX('Checklist'!$H$4:$H$503,_calc!$E$81),"yyyy-mm-dd"),""))</f>
        <v/>
      </c>
      <c r="F79" s="44">
        <f>IF(_calc!$E$81="","",TRIM(IF(LEN(IF(LEN(INDEX('Checklist'!$A$4:$A$503,_calc!$E$81))=0,"",INDEX('Checklist'!$A$4:$A$503,_calc!$E$81)))=0,"","Group: "&amp;IF(LEN(INDEX('Checklist'!$A$4:$A$503,_calc!$E$81))=0,"",INDEX('Checklist'!$A$4:$A$503,_calc!$E$81))&amp;". ")&amp;IF(LEN(IF(LEN(INDEX('Checklist'!$E$4:$E$503,_calc!$E$81))=0,"",INDEX('Checklist'!$E$4:$E$503,_calc!$E$81)))=0,"","Owner: "&amp;IF(LEN(INDEX('Checklist'!$E$4:$E$503,_calc!$E$81))=0,"",INDEX('Checklist'!$E$4:$E$503,_calc!$E$81))&amp;". ")&amp;IF(LEN(IF(LEN(INDEX('Checklist'!$F$4:$F$503,_calc!$E$81))=0,"",INDEX('Checklist'!$F$4:$F$503,_calc!$E$81)))=0,"","Backup: "&amp;IF(LEN(INDEX('Checklist'!$F$4:$F$503,_calc!$E$81))=0,"",INDEX('Checklist'!$F$4:$F$503,_calc!$E$81))&amp;". ")&amp;IF(LEN(IF(LEN(INDEX('Checklist'!$J$4:$J$503,_calc!$E$81))=0,"",INDEX('Checklist'!$J$4:$J$503,_calc!$E$81)))=0,"","Evidence: "&amp;IF(LEN(INDEX('Checklist'!$J$4:$J$503,_calc!$E$81))=0,"",INDEX('Checklist'!$J$4:$J$503,_calc!$E$81))&amp;". ")&amp;IF(LEN(IF(LEN(INDEX('Checklist'!$D$4:$D$503,_calc!$E$81))=0,"",INDEX('Checklist'!$D$4:$D$503,_calc!$E$81)))=0,"","Rule example: "&amp;IF(LEN(INDEX('Checklist'!$D$4:$D$503,_calc!$E$81))=0,"",INDEX('Checklist'!$D$4:$D$503,_calc!$E$81))&amp;". ")&amp;IF(LEN(IF(LEN(INDEX('Checklist'!$P$4:$P$503,_calc!$E$81))=0,"",INDEX('Checklist'!$P$4:$P$503,_calc!$E$81)))=0,"",IF(LEN(INDEX('Checklist'!$P$4:$P$503,_calc!$E$81))=0,"",INDEX('Checklist'!$P$4:$P$503,_calc!$E$81)))))</f>
        <v/>
      </c>
      <c r="K79" s="44">
        <f>IF(_calc!$E$81="","",IF(LEN(INDEX('Checklist'!$G$4:$G$503,_calc!$E$81))=0,"",INDEX('Checklist'!$G$4:$G$503,_calc!$E$81)))</f>
        <v/>
      </c>
    </row>
    <row r="80">
      <c r="A80" s="44">
        <f>IF(_calc!$E$82="","","Survey check – "&amp;IF(LEN(INDEX('Checklist'!$C$4:$C$503,_calc!$E$82))=0,"",INDEX('Checklist'!$C$4:$C$503,_calc!$E$82)))</f>
        <v/>
      </c>
      <c r="B80" s="44">
        <f>IF(_calc!$E$82="","",IF(ISNUMBER(INDEX('Checklist'!$L$4:$L$503,_calc!$E$82)),TEXT(INDEX('Checklist'!$L$4:$L$503,_calc!$E$82),"yyyy-mm-dd"),""))</f>
        <v/>
      </c>
      <c r="C80" s="44">
        <f>IF(_calc!$E$82="","","Survey readiness")</f>
        <v/>
      </c>
      <c r="D80" s="44">
        <f>IF(_calc!$E$82="","",IF(ISNUMBER(INDEX('Checklist'!$H$4:$H$503,_calc!$E$82)),TEXT(INDEX('Checklist'!$H$4:$H$503,_calc!$E$82),"yyyy-mm-dd"),""))</f>
        <v/>
      </c>
      <c r="F80" s="44">
        <f>IF(_calc!$E$82="","",TRIM(IF(LEN(IF(LEN(INDEX('Checklist'!$A$4:$A$503,_calc!$E$82))=0,"",INDEX('Checklist'!$A$4:$A$503,_calc!$E$82)))=0,"","Group: "&amp;IF(LEN(INDEX('Checklist'!$A$4:$A$503,_calc!$E$82))=0,"",INDEX('Checklist'!$A$4:$A$503,_calc!$E$82))&amp;". ")&amp;IF(LEN(IF(LEN(INDEX('Checklist'!$E$4:$E$503,_calc!$E$82))=0,"",INDEX('Checklist'!$E$4:$E$503,_calc!$E$82)))=0,"","Owner: "&amp;IF(LEN(INDEX('Checklist'!$E$4:$E$503,_calc!$E$82))=0,"",INDEX('Checklist'!$E$4:$E$503,_calc!$E$82))&amp;". ")&amp;IF(LEN(IF(LEN(INDEX('Checklist'!$F$4:$F$503,_calc!$E$82))=0,"",INDEX('Checklist'!$F$4:$F$503,_calc!$E$82)))=0,"","Backup: "&amp;IF(LEN(INDEX('Checklist'!$F$4:$F$503,_calc!$E$82))=0,"",INDEX('Checklist'!$F$4:$F$503,_calc!$E$82))&amp;". ")&amp;IF(LEN(IF(LEN(INDEX('Checklist'!$J$4:$J$503,_calc!$E$82))=0,"",INDEX('Checklist'!$J$4:$J$503,_calc!$E$82)))=0,"","Evidence: "&amp;IF(LEN(INDEX('Checklist'!$J$4:$J$503,_calc!$E$82))=0,"",INDEX('Checklist'!$J$4:$J$503,_calc!$E$82))&amp;". ")&amp;IF(LEN(IF(LEN(INDEX('Checklist'!$D$4:$D$503,_calc!$E$82))=0,"",INDEX('Checklist'!$D$4:$D$503,_calc!$E$82)))=0,"","Rule example: "&amp;IF(LEN(INDEX('Checklist'!$D$4:$D$503,_calc!$E$82))=0,"",INDEX('Checklist'!$D$4:$D$503,_calc!$E$82))&amp;". ")&amp;IF(LEN(IF(LEN(INDEX('Checklist'!$P$4:$P$503,_calc!$E$82))=0,"",INDEX('Checklist'!$P$4:$P$503,_calc!$E$82)))=0,"",IF(LEN(INDEX('Checklist'!$P$4:$P$503,_calc!$E$82))=0,"",INDEX('Checklist'!$P$4:$P$503,_calc!$E$82)))))</f>
        <v/>
      </c>
      <c r="K80" s="44">
        <f>IF(_calc!$E$82="","",IF(LEN(INDEX('Checklist'!$G$4:$G$503,_calc!$E$82))=0,"",INDEX('Checklist'!$G$4:$G$503,_calc!$E$82)))</f>
        <v/>
      </c>
    </row>
    <row r="81">
      <c r="A81" s="44">
        <f>IF(_calc!$E$83="","","Survey check – "&amp;IF(LEN(INDEX('Checklist'!$C$4:$C$503,_calc!$E$83))=0,"",INDEX('Checklist'!$C$4:$C$503,_calc!$E$83)))</f>
        <v/>
      </c>
      <c r="B81" s="44">
        <f>IF(_calc!$E$83="","",IF(ISNUMBER(INDEX('Checklist'!$L$4:$L$503,_calc!$E$83)),TEXT(INDEX('Checklist'!$L$4:$L$503,_calc!$E$83),"yyyy-mm-dd"),""))</f>
        <v/>
      </c>
      <c r="C81" s="44">
        <f>IF(_calc!$E$83="","","Survey readiness")</f>
        <v/>
      </c>
      <c r="D81" s="44">
        <f>IF(_calc!$E$83="","",IF(ISNUMBER(INDEX('Checklist'!$H$4:$H$503,_calc!$E$83)),TEXT(INDEX('Checklist'!$H$4:$H$503,_calc!$E$83),"yyyy-mm-dd"),""))</f>
        <v/>
      </c>
      <c r="F81" s="44">
        <f>IF(_calc!$E$83="","",TRIM(IF(LEN(IF(LEN(INDEX('Checklist'!$A$4:$A$503,_calc!$E$83))=0,"",INDEX('Checklist'!$A$4:$A$503,_calc!$E$83)))=0,"","Group: "&amp;IF(LEN(INDEX('Checklist'!$A$4:$A$503,_calc!$E$83))=0,"",INDEX('Checklist'!$A$4:$A$503,_calc!$E$83))&amp;". ")&amp;IF(LEN(IF(LEN(INDEX('Checklist'!$E$4:$E$503,_calc!$E$83))=0,"",INDEX('Checklist'!$E$4:$E$503,_calc!$E$83)))=0,"","Owner: "&amp;IF(LEN(INDEX('Checklist'!$E$4:$E$503,_calc!$E$83))=0,"",INDEX('Checklist'!$E$4:$E$503,_calc!$E$83))&amp;". ")&amp;IF(LEN(IF(LEN(INDEX('Checklist'!$F$4:$F$503,_calc!$E$83))=0,"",INDEX('Checklist'!$F$4:$F$503,_calc!$E$83)))=0,"","Backup: "&amp;IF(LEN(INDEX('Checklist'!$F$4:$F$503,_calc!$E$83))=0,"",INDEX('Checklist'!$F$4:$F$503,_calc!$E$83))&amp;". ")&amp;IF(LEN(IF(LEN(INDEX('Checklist'!$J$4:$J$503,_calc!$E$83))=0,"",INDEX('Checklist'!$J$4:$J$503,_calc!$E$83)))=0,"","Evidence: "&amp;IF(LEN(INDEX('Checklist'!$J$4:$J$503,_calc!$E$83))=0,"",INDEX('Checklist'!$J$4:$J$503,_calc!$E$83))&amp;". ")&amp;IF(LEN(IF(LEN(INDEX('Checklist'!$D$4:$D$503,_calc!$E$83))=0,"",INDEX('Checklist'!$D$4:$D$503,_calc!$E$83)))=0,"","Rule example: "&amp;IF(LEN(INDEX('Checklist'!$D$4:$D$503,_calc!$E$83))=0,"",INDEX('Checklist'!$D$4:$D$503,_calc!$E$83))&amp;". ")&amp;IF(LEN(IF(LEN(INDEX('Checklist'!$P$4:$P$503,_calc!$E$83))=0,"",INDEX('Checklist'!$P$4:$P$503,_calc!$E$83)))=0,"",IF(LEN(INDEX('Checklist'!$P$4:$P$503,_calc!$E$83))=0,"",INDEX('Checklist'!$P$4:$P$503,_calc!$E$83)))))</f>
        <v/>
      </c>
      <c r="K81" s="44">
        <f>IF(_calc!$E$83="","",IF(LEN(INDEX('Checklist'!$G$4:$G$503,_calc!$E$83))=0,"",INDEX('Checklist'!$G$4:$G$503,_calc!$E$83)))</f>
        <v/>
      </c>
    </row>
    <row r="82">
      <c r="A82" s="44">
        <f>IF(_calc!$E$84="","","Survey check – "&amp;IF(LEN(INDEX('Checklist'!$C$4:$C$503,_calc!$E$84))=0,"",INDEX('Checklist'!$C$4:$C$503,_calc!$E$84)))</f>
        <v/>
      </c>
      <c r="B82" s="44">
        <f>IF(_calc!$E$84="","",IF(ISNUMBER(INDEX('Checklist'!$L$4:$L$503,_calc!$E$84)),TEXT(INDEX('Checklist'!$L$4:$L$503,_calc!$E$84),"yyyy-mm-dd"),""))</f>
        <v/>
      </c>
      <c r="C82" s="44">
        <f>IF(_calc!$E$84="","","Survey readiness")</f>
        <v/>
      </c>
      <c r="D82" s="44">
        <f>IF(_calc!$E$84="","",IF(ISNUMBER(INDEX('Checklist'!$H$4:$H$503,_calc!$E$84)),TEXT(INDEX('Checklist'!$H$4:$H$503,_calc!$E$84),"yyyy-mm-dd"),""))</f>
        <v/>
      </c>
      <c r="F82" s="44">
        <f>IF(_calc!$E$84="","",TRIM(IF(LEN(IF(LEN(INDEX('Checklist'!$A$4:$A$503,_calc!$E$84))=0,"",INDEX('Checklist'!$A$4:$A$503,_calc!$E$84)))=0,"","Group: "&amp;IF(LEN(INDEX('Checklist'!$A$4:$A$503,_calc!$E$84))=0,"",INDEX('Checklist'!$A$4:$A$503,_calc!$E$84))&amp;". ")&amp;IF(LEN(IF(LEN(INDEX('Checklist'!$E$4:$E$503,_calc!$E$84))=0,"",INDEX('Checklist'!$E$4:$E$503,_calc!$E$84)))=0,"","Owner: "&amp;IF(LEN(INDEX('Checklist'!$E$4:$E$503,_calc!$E$84))=0,"",INDEX('Checklist'!$E$4:$E$503,_calc!$E$84))&amp;". ")&amp;IF(LEN(IF(LEN(INDEX('Checklist'!$F$4:$F$503,_calc!$E$84))=0,"",INDEX('Checklist'!$F$4:$F$503,_calc!$E$84)))=0,"","Backup: "&amp;IF(LEN(INDEX('Checklist'!$F$4:$F$503,_calc!$E$84))=0,"",INDEX('Checklist'!$F$4:$F$503,_calc!$E$84))&amp;". ")&amp;IF(LEN(IF(LEN(INDEX('Checklist'!$J$4:$J$503,_calc!$E$84))=0,"",INDEX('Checklist'!$J$4:$J$503,_calc!$E$84)))=0,"","Evidence: "&amp;IF(LEN(INDEX('Checklist'!$J$4:$J$503,_calc!$E$84))=0,"",INDEX('Checklist'!$J$4:$J$503,_calc!$E$84))&amp;". ")&amp;IF(LEN(IF(LEN(INDEX('Checklist'!$D$4:$D$503,_calc!$E$84))=0,"",INDEX('Checklist'!$D$4:$D$503,_calc!$E$84)))=0,"","Rule example: "&amp;IF(LEN(INDEX('Checklist'!$D$4:$D$503,_calc!$E$84))=0,"",INDEX('Checklist'!$D$4:$D$503,_calc!$E$84))&amp;". ")&amp;IF(LEN(IF(LEN(INDEX('Checklist'!$P$4:$P$503,_calc!$E$84))=0,"",INDEX('Checklist'!$P$4:$P$503,_calc!$E$84)))=0,"",IF(LEN(INDEX('Checklist'!$P$4:$P$503,_calc!$E$84))=0,"",INDEX('Checklist'!$P$4:$P$503,_calc!$E$84)))))</f>
        <v/>
      </c>
      <c r="K82" s="44">
        <f>IF(_calc!$E$84="","",IF(LEN(INDEX('Checklist'!$G$4:$G$503,_calc!$E$84))=0,"",INDEX('Checklist'!$G$4:$G$503,_calc!$E$84)))</f>
        <v/>
      </c>
    </row>
    <row r="83">
      <c r="A83" s="44">
        <f>IF(_calc!$E$85="","","Survey check – "&amp;IF(LEN(INDEX('Checklist'!$C$4:$C$503,_calc!$E$85))=0,"",INDEX('Checklist'!$C$4:$C$503,_calc!$E$85)))</f>
        <v/>
      </c>
      <c r="B83" s="44">
        <f>IF(_calc!$E$85="","",IF(ISNUMBER(INDEX('Checklist'!$L$4:$L$503,_calc!$E$85)),TEXT(INDEX('Checklist'!$L$4:$L$503,_calc!$E$85),"yyyy-mm-dd"),""))</f>
        <v/>
      </c>
      <c r="C83" s="44">
        <f>IF(_calc!$E$85="","","Survey readiness")</f>
        <v/>
      </c>
      <c r="D83" s="44">
        <f>IF(_calc!$E$85="","",IF(ISNUMBER(INDEX('Checklist'!$H$4:$H$503,_calc!$E$85)),TEXT(INDEX('Checklist'!$H$4:$H$503,_calc!$E$85),"yyyy-mm-dd"),""))</f>
        <v/>
      </c>
      <c r="F83" s="44">
        <f>IF(_calc!$E$85="","",TRIM(IF(LEN(IF(LEN(INDEX('Checklist'!$A$4:$A$503,_calc!$E$85))=0,"",INDEX('Checklist'!$A$4:$A$503,_calc!$E$85)))=0,"","Group: "&amp;IF(LEN(INDEX('Checklist'!$A$4:$A$503,_calc!$E$85))=0,"",INDEX('Checklist'!$A$4:$A$503,_calc!$E$85))&amp;". ")&amp;IF(LEN(IF(LEN(INDEX('Checklist'!$E$4:$E$503,_calc!$E$85))=0,"",INDEX('Checklist'!$E$4:$E$503,_calc!$E$85)))=0,"","Owner: "&amp;IF(LEN(INDEX('Checklist'!$E$4:$E$503,_calc!$E$85))=0,"",INDEX('Checklist'!$E$4:$E$503,_calc!$E$85))&amp;". ")&amp;IF(LEN(IF(LEN(INDEX('Checklist'!$F$4:$F$503,_calc!$E$85))=0,"",INDEX('Checklist'!$F$4:$F$503,_calc!$E$85)))=0,"","Backup: "&amp;IF(LEN(INDEX('Checklist'!$F$4:$F$503,_calc!$E$85))=0,"",INDEX('Checklist'!$F$4:$F$503,_calc!$E$85))&amp;". ")&amp;IF(LEN(IF(LEN(INDEX('Checklist'!$J$4:$J$503,_calc!$E$85))=0,"",INDEX('Checklist'!$J$4:$J$503,_calc!$E$85)))=0,"","Evidence: "&amp;IF(LEN(INDEX('Checklist'!$J$4:$J$503,_calc!$E$85))=0,"",INDEX('Checklist'!$J$4:$J$503,_calc!$E$85))&amp;". ")&amp;IF(LEN(IF(LEN(INDEX('Checklist'!$D$4:$D$503,_calc!$E$85))=0,"",INDEX('Checklist'!$D$4:$D$503,_calc!$E$85)))=0,"","Rule example: "&amp;IF(LEN(INDEX('Checklist'!$D$4:$D$503,_calc!$E$85))=0,"",INDEX('Checklist'!$D$4:$D$503,_calc!$E$85))&amp;". ")&amp;IF(LEN(IF(LEN(INDEX('Checklist'!$P$4:$P$503,_calc!$E$85))=0,"",INDEX('Checklist'!$P$4:$P$503,_calc!$E$85)))=0,"",IF(LEN(INDEX('Checklist'!$P$4:$P$503,_calc!$E$85))=0,"",INDEX('Checklist'!$P$4:$P$503,_calc!$E$85)))))</f>
        <v/>
      </c>
      <c r="K83" s="44">
        <f>IF(_calc!$E$85="","",IF(LEN(INDEX('Checklist'!$G$4:$G$503,_calc!$E$85))=0,"",INDEX('Checklist'!$G$4:$G$503,_calc!$E$85)))</f>
        <v/>
      </c>
    </row>
    <row r="84">
      <c r="A84" s="44">
        <f>IF(_calc!$E$86="","","Survey check – "&amp;IF(LEN(INDEX('Checklist'!$C$4:$C$503,_calc!$E$86))=0,"",INDEX('Checklist'!$C$4:$C$503,_calc!$E$86)))</f>
        <v/>
      </c>
      <c r="B84" s="44">
        <f>IF(_calc!$E$86="","",IF(ISNUMBER(INDEX('Checklist'!$L$4:$L$503,_calc!$E$86)),TEXT(INDEX('Checklist'!$L$4:$L$503,_calc!$E$86),"yyyy-mm-dd"),""))</f>
        <v/>
      </c>
      <c r="C84" s="44">
        <f>IF(_calc!$E$86="","","Survey readiness")</f>
        <v/>
      </c>
      <c r="D84" s="44">
        <f>IF(_calc!$E$86="","",IF(ISNUMBER(INDEX('Checklist'!$H$4:$H$503,_calc!$E$86)),TEXT(INDEX('Checklist'!$H$4:$H$503,_calc!$E$86),"yyyy-mm-dd"),""))</f>
        <v/>
      </c>
      <c r="F84" s="44">
        <f>IF(_calc!$E$86="","",TRIM(IF(LEN(IF(LEN(INDEX('Checklist'!$A$4:$A$503,_calc!$E$86))=0,"",INDEX('Checklist'!$A$4:$A$503,_calc!$E$86)))=0,"","Group: "&amp;IF(LEN(INDEX('Checklist'!$A$4:$A$503,_calc!$E$86))=0,"",INDEX('Checklist'!$A$4:$A$503,_calc!$E$86))&amp;". ")&amp;IF(LEN(IF(LEN(INDEX('Checklist'!$E$4:$E$503,_calc!$E$86))=0,"",INDEX('Checklist'!$E$4:$E$503,_calc!$E$86)))=0,"","Owner: "&amp;IF(LEN(INDEX('Checklist'!$E$4:$E$503,_calc!$E$86))=0,"",INDEX('Checklist'!$E$4:$E$503,_calc!$E$86))&amp;". ")&amp;IF(LEN(IF(LEN(INDEX('Checklist'!$F$4:$F$503,_calc!$E$86))=0,"",INDEX('Checklist'!$F$4:$F$503,_calc!$E$86)))=0,"","Backup: "&amp;IF(LEN(INDEX('Checklist'!$F$4:$F$503,_calc!$E$86))=0,"",INDEX('Checklist'!$F$4:$F$503,_calc!$E$86))&amp;". ")&amp;IF(LEN(IF(LEN(INDEX('Checklist'!$J$4:$J$503,_calc!$E$86))=0,"",INDEX('Checklist'!$J$4:$J$503,_calc!$E$86)))=0,"","Evidence: "&amp;IF(LEN(INDEX('Checklist'!$J$4:$J$503,_calc!$E$86))=0,"",INDEX('Checklist'!$J$4:$J$503,_calc!$E$86))&amp;". ")&amp;IF(LEN(IF(LEN(INDEX('Checklist'!$D$4:$D$503,_calc!$E$86))=0,"",INDEX('Checklist'!$D$4:$D$503,_calc!$E$86)))=0,"","Rule example: "&amp;IF(LEN(INDEX('Checklist'!$D$4:$D$503,_calc!$E$86))=0,"",INDEX('Checklist'!$D$4:$D$503,_calc!$E$86))&amp;". ")&amp;IF(LEN(IF(LEN(INDEX('Checklist'!$P$4:$P$503,_calc!$E$86))=0,"",INDEX('Checklist'!$P$4:$P$503,_calc!$E$86)))=0,"",IF(LEN(INDEX('Checklist'!$P$4:$P$503,_calc!$E$86))=0,"",INDEX('Checklist'!$P$4:$P$503,_calc!$E$86)))))</f>
        <v/>
      </c>
      <c r="K84" s="44">
        <f>IF(_calc!$E$86="","",IF(LEN(INDEX('Checklist'!$G$4:$G$503,_calc!$E$86))=0,"",INDEX('Checklist'!$G$4:$G$503,_calc!$E$86)))</f>
        <v/>
      </c>
    </row>
    <row r="85">
      <c r="A85" s="44">
        <f>IF(_calc!$E$87="","","Survey check – "&amp;IF(LEN(INDEX('Checklist'!$C$4:$C$503,_calc!$E$87))=0,"",INDEX('Checklist'!$C$4:$C$503,_calc!$E$87)))</f>
        <v/>
      </c>
      <c r="B85" s="44">
        <f>IF(_calc!$E$87="","",IF(ISNUMBER(INDEX('Checklist'!$L$4:$L$503,_calc!$E$87)),TEXT(INDEX('Checklist'!$L$4:$L$503,_calc!$E$87),"yyyy-mm-dd"),""))</f>
        <v/>
      </c>
      <c r="C85" s="44">
        <f>IF(_calc!$E$87="","","Survey readiness")</f>
        <v/>
      </c>
      <c r="D85" s="44">
        <f>IF(_calc!$E$87="","",IF(ISNUMBER(INDEX('Checklist'!$H$4:$H$503,_calc!$E$87)),TEXT(INDEX('Checklist'!$H$4:$H$503,_calc!$E$87),"yyyy-mm-dd"),""))</f>
        <v/>
      </c>
      <c r="F85" s="44">
        <f>IF(_calc!$E$87="","",TRIM(IF(LEN(IF(LEN(INDEX('Checklist'!$A$4:$A$503,_calc!$E$87))=0,"",INDEX('Checklist'!$A$4:$A$503,_calc!$E$87)))=0,"","Group: "&amp;IF(LEN(INDEX('Checklist'!$A$4:$A$503,_calc!$E$87))=0,"",INDEX('Checklist'!$A$4:$A$503,_calc!$E$87))&amp;". ")&amp;IF(LEN(IF(LEN(INDEX('Checklist'!$E$4:$E$503,_calc!$E$87))=0,"",INDEX('Checklist'!$E$4:$E$503,_calc!$E$87)))=0,"","Owner: "&amp;IF(LEN(INDEX('Checklist'!$E$4:$E$503,_calc!$E$87))=0,"",INDEX('Checklist'!$E$4:$E$503,_calc!$E$87))&amp;". ")&amp;IF(LEN(IF(LEN(INDEX('Checklist'!$F$4:$F$503,_calc!$E$87))=0,"",INDEX('Checklist'!$F$4:$F$503,_calc!$E$87)))=0,"","Backup: "&amp;IF(LEN(INDEX('Checklist'!$F$4:$F$503,_calc!$E$87))=0,"",INDEX('Checklist'!$F$4:$F$503,_calc!$E$87))&amp;". ")&amp;IF(LEN(IF(LEN(INDEX('Checklist'!$J$4:$J$503,_calc!$E$87))=0,"",INDEX('Checklist'!$J$4:$J$503,_calc!$E$87)))=0,"","Evidence: "&amp;IF(LEN(INDEX('Checklist'!$J$4:$J$503,_calc!$E$87))=0,"",INDEX('Checklist'!$J$4:$J$503,_calc!$E$87))&amp;". ")&amp;IF(LEN(IF(LEN(INDEX('Checklist'!$D$4:$D$503,_calc!$E$87))=0,"",INDEX('Checklist'!$D$4:$D$503,_calc!$E$87)))=0,"","Rule example: "&amp;IF(LEN(INDEX('Checklist'!$D$4:$D$503,_calc!$E$87))=0,"",INDEX('Checklist'!$D$4:$D$503,_calc!$E$87))&amp;". ")&amp;IF(LEN(IF(LEN(INDEX('Checklist'!$P$4:$P$503,_calc!$E$87))=0,"",INDEX('Checklist'!$P$4:$P$503,_calc!$E$87)))=0,"",IF(LEN(INDEX('Checklist'!$P$4:$P$503,_calc!$E$87))=0,"",INDEX('Checklist'!$P$4:$P$503,_calc!$E$87)))))</f>
        <v/>
      </c>
      <c r="K85" s="44">
        <f>IF(_calc!$E$87="","",IF(LEN(INDEX('Checklist'!$G$4:$G$503,_calc!$E$87))=0,"",INDEX('Checklist'!$G$4:$G$503,_calc!$E$87)))</f>
        <v/>
      </c>
    </row>
    <row r="86">
      <c r="A86" s="44">
        <f>IF(_calc!$E$88="","","Survey check – "&amp;IF(LEN(INDEX('Checklist'!$C$4:$C$503,_calc!$E$88))=0,"",INDEX('Checklist'!$C$4:$C$503,_calc!$E$88)))</f>
        <v/>
      </c>
      <c r="B86" s="44">
        <f>IF(_calc!$E$88="","",IF(ISNUMBER(INDEX('Checklist'!$L$4:$L$503,_calc!$E$88)),TEXT(INDEX('Checklist'!$L$4:$L$503,_calc!$E$88),"yyyy-mm-dd"),""))</f>
        <v/>
      </c>
      <c r="C86" s="44">
        <f>IF(_calc!$E$88="","","Survey readiness")</f>
        <v/>
      </c>
      <c r="D86" s="44">
        <f>IF(_calc!$E$88="","",IF(ISNUMBER(INDEX('Checklist'!$H$4:$H$503,_calc!$E$88)),TEXT(INDEX('Checklist'!$H$4:$H$503,_calc!$E$88),"yyyy-mm-dd"),""))</f>
        <v/>
      </c>
      <c r="F86" s="44">
        <f>IF(_calc!$E$88="","",TRIM(IF(LEN(IF(LEN(INDEX('Checklist'!$A$4:$A$503,_calc!$E$88))=0,"",INDEX('Checklist'!$A$4:$A$503,_calc!$E$88)))=0,"","Group: "&amp;IF(LEN(INDEX('Checklist'!$A$4:$A$503,_calc!$E$88))=0,"",INDEX('Checklist'!$A$4:$A$503,_calc!$E$88))&amp;". ")&amp;IF(LEN(IF(LEN(INDEX('Checklist'!$E$4:$E$503,_calc!$E$88))=0,"",INDEX('Checklist'!$E$4:$E$503,_calc!$E$88)))=0,"","Owner: "&amp;IF(LEN(INDEX('Checklist'!$E$4:$E$503,_calc!$E$88))=0,"",INDEX('Checklist'!$E$4:$E$503,_calc!$E$88))&amp;". ")&amp;IF(LEN(IF(LEN(INDEX('Checklist'!$F$4:$F$503,_calc!$E$88))=0,"",INDEX('Checklist'!$F$4:$F$503,_calc!$E$88)))=0,"","Backup: "&amp;IF(LEN(INDEX('Checklist'!$F$4:$F$503,_calc!$E$88))=0,"",INDEX('Checklist'!$F$4:$F$503,_calc!$E$88))&amp;". ")&amp;IF(LEN(IF(LEN(INDEX('Checklist'!$J$4:$J$503,_calc!$E$88))=0,"",INDEX('Checklist'!$J$4:$J$503,_calc!$E$88)))=0,"","Evidence: "&amp;IF(LEN(INDEX('Checklist'!$J$4:$J$503,_calc!$E$88))=0,"",INDEX('Checklist'!$J$4:$J$503,_calc!$E$88))&amp;". ")&amp;IF(LEN(IF(LEN(INDEX('Checklist'!$D$4:$D$503,_calc!$E$88))=0,"",INDEX('Checklist'!$D$4:$D$503,_calc!$E$88)))=0,"","Rule example: "&amp;IF(LEN(INDEX('Checklist'!$D$4:$D$503,_calc!$E$88))=0,"",INDEX('Checklist'!$D$4:$D$503,_calc!$E$88))&amp;". ")&amp;IF(LEN(IF(LEN(INDEX('Checklist'!$P$4:$P$503,_calc!$E$88))=0,"",INDEX('Checklist'!$P$4:$P$503,_calc!$E$88)))=0,"",IF(LEN(INDEX('Checklist'!$P$4:$P$503,_calc!$E$88))=0,"",INDEX('Checklist'!$P$4:$P$503,_calc!$E$88)))))</f>
        <v/>
      </c>
      <c r="K86" s="44">
        <f>IF(_calc!$E$88="","",IF(LEN(INDEX('Checklist'!$G$4:$G$503,_calc!$E$88))=0,"",INDEX('Checklist'!$G$4:$G$503,_calc!$E$88)))</f>
        <v/>
      </c>
    </row>
    <row r="87">
      <c r="A87" s="44">
        <f>IF(_calc!$E$89="","","Survey check – "&amp;IF(LEN(INDEX('Checklist'!$C$4:$C$503,_calc!$E$89))=0,"",INDEX('Checklist'!$C$4:$C$503,_calc!$E$89)))</f>
        <v/>
      </c>
      <c r="B87" s="44">
        <f>IF(_calc!$E$89="","",IF(ISNUMBER(INDEX('Checklist'!$L$4:$L$503,_calc!$E$89)),TEXT(INDEX('Checklist'!$L$4:$L$503,_calc!$E$89),"yyyy-mm-dd"),""))</f>
        <v/>
      </c>
      <c r="C87" s="44">
        <f>IF(_calc!$E$89="","","Survey readiness")</f>
        <v/>
      </c>
      <c r="D87" s="44">
        <f>IF(_calc!$E$89="","",IF(ISNUMBER(INDEX('Checklist'!$H$4:$H$503,_calc!$E$89)),TEXT(INDEX('Checklist'!$H$4:$H$503,_calc!$E$89),"yyyy-mm-dd"),""))</f>
        <v/>
      </c>
      <c r="F87" s="44">
        <f>IF(_calc!$E$89="","",TRIM(IF(LEN(IF(LEN(INDEX('Checklist'!$A$4:$A$503,_calc!$E$89))=0,"",INDEX('Checklist'!$A$4:$A$503,_calc!$E$89)))=0,"","Group: "&amp;IF(LEN(INDEX('Checklist'!$A$4:$A$503,_calc!$E$89))=0,"",INDEX('Checklist'!$A$4:$A$503,_calc!$E$89))&amp;". ")&amp;IF(LEN(IF(LEN(INDEX('Checklist'!$E$4:$E$503,_calc!$E$89))=0,"",INDEX('Checklist'!$E$4:$E$503,_calc!$E$89)))=0,"","Owner: "&amp;IF(LEN(INDEX('Checklist'!$E$4:$E$503,_calc!$E$89))=0,"",INDEX('Checklist'!$E$4:$E$503,_calc!$E$89))&amp;". ")&amp;IF(LEN(IF(LEN(INDEX('Checklist'!$F$4:$F$503,_calc!$E$89))=0,"",INDEX('Checklist'!$F$4:$F$503,_calc!$E$89)))=0,"","Backup: "&amp;IF(LEN(INDEX('Checklist'!$F$4:$F$503,_calc!$E$89))=0,"",INDEX('Checklist'!$F$4:$F$503,_calc!$E$89))&amp;". ")&amp;IF(LEN(IF(LEN(INDEX('Checklist'!$J$4:$J$503,_calc!$E$89))=0,"",INDEX('Checklist'!$J$4:$J$503,_calc!$E$89)))=0,"","Evidence: "&amp;IF(LEN(INDEX('Checklist'!$J$4:$J$503,_calc!$E$89))=0,"",INDEX('Checklist'!$J$4:$J$503,_calc!$E$89))&amp;". ")&amp;IF(LEN(IF(LEN(INDEX('Checklist'!$D$4:$D$503,_calc!$E$89))=0,"",INDEX('Checklist'!$D$4:$D$503,_calc!$E$89)))=0,"","Rule example: "&amp;IF(LEN(INDEX('Checklist'!$D$4:$D$503,_calc!$E$89))=0,"",INDEX('Checklist'!$D$4:$D$503,_calc!$E$89))&amp;". ")&amp;IF(LEN(IF(LEN(INDEX('Checklist'!$P$4:$P$503,_calc!$E$89))=0,"",INDEX('Checklist'!$P$4:$P$503,_calc!$E$89)))=0,"",IF(LEN(INDEX('Checklist'!$P$4:$P$503,_calc!$E$89))=0,"",INDEX('Checklist'!$P$4:$P$503,_calc!$E$89)))))</f>
        <v/>
      </c>
      <c r="K87" s="44">
        <f>IF(_calc!$E$89="","",IF(LEN(INDEX('Checklist'!$G$4:$G$503,_calc!$E$89))=0,"",INDEX('Checklist'!$G$4:$G$503,_calc!$E$89)))</f>
        <v/>
      </c>
    </row>
    <row r="88">
      <c r="A88" s="44">
        <f>IF(_calc!$E$90="","","Survey check – "&amp;IF(LEN(INDEX('Checklist'!$C$4:$C$503,_calc!$E$90))=0,"",INDEX('Checklist'!$C$4:$C$503,_calc!$E$90)))</f>
        <v/>
      </c>
      <c r="B88" s="44">
        <f>IF(_calc!$E$90="","",IF(ISNUMBER(INDEX('Checklist'!$L$4:$L$503,_calc!$E$90)),TEXT(INDEX('Checklist'!$L$4:$L$503,_calc!$E$90),"yyyy-mm-dd"),""))</f>
        <v/>
      </c>
      <c r="C88" s="44">
        <f>IF(_calc!$E$90="","","Survey readiness")</f>
        <v/>
      </c>
      <c r="D88" s="44">
        <f>IF(_calc!$E$90="","",IF(ISNUMBER(INDEX('Checklist'!$H$4:$H$503,_calc!$E$90)),TEXT(INDEX('Checklist'!$H$4:$H$503,_calc!$E$90),"yyyy-mm-dd"),""))</f>
        <v/>
      </c>
      <c r="F88" s="44">
        <f>IF(_calc!$E$90="","",TRIM(IF(LEN(IF(LEN(INDEX('Checklist'!$A$4:$A$503,_calc!$E$90))=0,"",INDEX('Checklist'!$A$4:$A$503,_calc!$E$90)))=0,"","Group: "&amp;IF(LEN(INDEX('Checklist'!$A$4:$A$503,_calc!$E$90))=0,"",INDEX('Checklist'!$A$4:$A$503,_calc!$E$90))&amp;". ")&amp;IF(LEN(IF(LEN(INDEX('Checklist'!$E$4:$E$503,_calc!$E$90))=0,"",INDEX('Checklist'!$E$4:$E$503,_calc!$E$90)))=0,"","Owner: "&amp;IF(LEN(INDEX('Checklist'!$E$4:$E$503,_calc!$E$90))=0,"",INDEX('Checklist'!$E$4:$E$503,_calc!$E$90))&amp;". ")&amp;IF(LEN(IF(LEN(INDEX('Checklist'!$F$4:$F$503,_calc!$E$90))=0,"",INDEX('Checklist'!$F$4:$F$503,_calc!$E$90)))=0,"","Backup: "&amp;IF(LEN(INDEX('Checklist'!$F$4:$F$503,_calc!$E$90))=0,"",INDEX('Checklist'!$F$4:$F$503,_calc!$E$90))&amp;". ")&amp;IF(LEN(IF(LEN(INDEX('Checklist'!$J$4:$J$503,_calc!$E$90))=0,"",INDEX('Checklist'!$J$4:$J$503,_calc!$E$90)))=0,"","Evidence: "&amp;IF(LEN(INDEX('Checklist'!$J$4:$J$503,_calc!$E$90))=0,"",INDEX('Checklist'!$J$4:$J$503,_calc!$E$90))&amp;". ")&amp;IF(LEN(IF(LEN(INDEX('Checklist'!$D$4:$D$503,_calc!$E$90))=0,"",INDEX('Checklist'!$D$4:$D$503,_calc!$E$90)))=0,"","Rule example: "&amp;IF(LEN(INDEX('Checklist'!$D$4:$D$503,_calc!$E$90))=0,"",INDEX('Checklist'!$D$4:$D$503,_calc!$E$90))&amp;". ")&amp;IF(LEN(IF(LEN(INDEX('Checklist'!$P$4:$P$503,_calc!$E$90))=0,"",INDEX('Checklist'!$P$4:$P$503,_calc!$E$90)))=0,"",IF(LEN(INDEX('Checklist'!$P$4:$P$503,_calc!$E$90))=0,"",INDEX('Checklist'!$P$4:$P$503,_calc!$E$90)))))</f>
        <v/>
      </c>
      <c r="K88" s="44">
        <f>IF(_calc!$E$90="","",IF(LEN(INDEX('Checklist'!$G$4:$G$503,_calc!$E$90))=0,"",INDEX('Checklist'!$G$4:$G$503,_calc!$E$90)))</f>
        <v/>
      </c>
    </row>
    <row r="89">
      <c r="A89" s="44">
        <f>IF(_calc!$E$91="","","Survey check – "&amp;IF(LEN(INDEX('Checklist'!$C$4:$C$503,_calc!$E$91))=0,"",INDEX('Checklist'!$C$4:$C$503,_calc!$E$91)))</f>
        <v/>
      </c>
      <c r="B89" s="44">
        <f>IF(_calc!$E$91="","",IF(ISNUMBER(INDEX('Checklist'!$L$4:$L$503,_calc!$E$91)),TEXT(INDEX('Checklist'!$L$4:$L$503,_calc!$E$91),"yyyy-mm-dd"),""))</f>
        <v/>
      </c>
      <c r="C89" s="44">
        <f>IF(_calc!$E$91="","","Survey readiness")</f>
        <v/>
      </c>
      <c r="D89" s="44">
        <f>IF(_calc!$E$91="","",IF(ISNUMBER(INDEX('Checklist'!$H$4:$H$503,_calc!$E$91)),TEXT(INDEX('Checklist'!$H$4:$H$503,_calc!$E$91),"yyyy-mm-dd"),""))</f>
        <v/>
      </c>
      <c r="F89" s="44">
        <f>IF(_calc!$E$91="","",TRIM(IF(LEN(IF(LEN(INDEX('Checklist'!$A$4:$A$503,_calc!$E$91))=0,"",INDEX('Checklist'!$A$4:$A$503,_calc!$E$91)))=0,"","Group: "&amp;IF(LEN(INDEX('Checklist'!$A$4:$A$503,_calc!$E$91))=0,"",INDEX('Checklist'!$A$4:$A$503,_calc!$E$91))&amp;". ")&amp;IF(LEN(IF(LEN(INDEX('Checklist'!$E$4:$E$503,_calc!$E$91))=0,"",INDEX('Checklist'!$E$4:$E$503,_calc!$E$91)))=0,"","Owner: "&amp;IF(LEN(INDEX('Checklist'!$E$4:$E$503,_calc!$E$91))=0,"",INDEX('Checklist'!$E$4:$E$503,_calc!$E$91))&amp;". ")&amp;IF(LEN(IF(LEN(INDEX('Checklist'!$F$4:$F$503,_calc!$E$91))=0,"",INDEX('Checklist'!$F$4:$F$503,_calc!$E$91)))=0,"","Backup: "&amp;IF(LEN(INDEX('Checklist'!$F$4:$F$503,_calc!$E$91))=0,"",INDEX('Checklist'!$F$4:$F$503,_calc!$E$91))&amp;". ")&amp;IF(LEN(IF(LEN(INDEX('Checklist'!$J$4:$J$503,_calc!$E$91))=0,"",INDEX('Checklist'!$J$4:$J$503,_calc!$E$91)))=0,"","Evidence: "&amp;IF(LEN(INDEX('Checklist'!$J$4:$J$503,_calc!$E$91))=0,"",INDEX('Checklist'!$J$4:$J$503,_calc!$E$91))&amp;". ")&amp;IF(LEN(IF(LEN(INDEX('Checklist'!$D$4:$D$503,_calc!$E$91))=0,"",INDEX('Checklist'!$D$4:$D$503,_calc!$E$91)))=0,"","Rule example: "&amp;IF(LEN(INDEX('Checklist'!$D$4:$D$503,_calc!$E$91))=0,"",INDEX('Checklist'!$D$4:$D$503,_calc!$E$91))&amp;". ")&amp;IF(LEN(IF(LEN(INDEX('Checklist'!$P$4:$P$503,_calc!$E$91))=0,"",INDEX('Checklist'!$P$4:$P$503,_calc!$E$91)))=0,"",IF(LEN(INDEX('Checklist'!$P$4:$P$503,_calc!$E$91))=0,"",INDEX('Checklist'!$P$4:$P$503,_calc!$E$91)))))</f>
        <v/>
      </c>
      <c r="K89" s="44">
        <f>IF(_calc!$E$91="","",IF(LEN(INDEX('Checklist'!$G$4:$G$503,_calc!$E$91))=0,"",INDEX('Checklist'!$G$4:$G$503,_calc!$E$91)))</f>
        <v/>
      </c>
    </row>
    <row r="90">
      <c r="A90" s="44">
        <f>IF(_calc!$E$92="","","Survey check – "&amp;IF(LEN(INDEX('Checklist'!$C$4:$C$503,_calc!$E$92))=0,"",INDEX('Checklist'!$C$4:$C$503,_calc!$E$92)))</f>
        <v/>
      </c>
      <c r="B90" s="44">
        <f>IF(_calc!$E$92="","",IF(ISNUMBER(INDEX('Checklist'!$L$4:$L$503,_calc!$E$92)),TEXT(INDEX('Checklist'!$L$4:$L$503,_calc!$E$92),"yyyy-mm-dd"),""))</f>
        <v/>
      </c>
      <c r="C90" s="44">
        <f>IF(_calc!$E$92="","","Survey readiness")</f>
        <v/>
      </c>
      <c r="D90" s="44">
        <f>IF(_calc!$E$92="","",IF(ISNUMBER(INDEX('Checklist'!$H$4:$H$503,_calc!$E$92)),TEXT(INDEX('Checklist'!$H$4:$H$503,_calc!$E$92),"yyyy-mm-dd"),""))</f>
        <v/>
      </c>
      <c r="F90" s="44">
        <f>IF(_calc!$E$92="","",TRIM(IF(LEN(IF(LEN(INDEX('Checklist'!$A$4:$A$503,_calc!$E$92))=0,"",INDEX('Checklist'!$A$4:$A$503,_calc!$E$92)))=0,"","Group: "&amp;IF(LEN(INDEX('Checklist'!$A$4:$A$503,_calc!$E$92))=0,"",INDEX('Checklist'!$A$4:$A$503,_calc!$E$92))&amp;". ")&amp;IF(LEN(IF(LEN(INDEX('Checklist'!$E$4:$E$503,_calc!$E$92))=0,"",INDEX('Checklist'!$E$4:$E$503,_calc!$E$92)))=0,"","Owner: "&amp;IF(LEN(INDEX('Checklist'!$E$4:$E$503,_calc!$E$92))=0,"",INDEX('Checklist'!$E$4:$E$503,_calc!$E$92))&amp;". ")&amp;IF(LEN(IF(LEN(INDEX('Checklist'!$F$4:$F$503,_calc!$E$92))=0,"",INDEX('Checklist'!$F$4:$F$503,_calc!$E$92)))=0,"","Backup: "&amp;IF(LEN(INDEX('Checklist'!$F$4:$F$503,_calc!$E$92))=0,"",INDEX('Checklist'!$F$4:$F$503,_calc!$E$92))&amp;". ")&amp;IF(LEN(IF(LEN(INDEX('Checklist'!$J$4:$J$503,_calc!$E$92))=0,"",INDEX('Checklist'!$J$4:$J$503,_calc!$E$92)))=0,"","Evidence: "&amp;IF(LEN(INDEX('Checklist'!$J$4:$J$503,_calc!$E$92))=0,"",INDEX('Checklist'!$J$4:$J$503,_calc!$E$92))&amp;". ")&amp;IF(LEN(IF(LEN(INDEX('Checklist'!$D$4:$D$503,_calc!$E$92))=0,"",INDEX('Checklist'!$D$4:$D$503,_calc!$E$92)))=0,"","Rule example: "&amp;IF(LEN(INDEX('Checklist'!$D$4:$D$503,_calc!$E$92))=0,"",INDEX('Checklist'!$D$4:$D$503,_calc!$E$92))&amp;". ")&amp;IF(LEN(IF(LEN(INDEX('Checklist'!$P$4:$P$503,_calc!$E$92))=0,"",INDEX('Checklist'!$P$4:$P$503,_calc!$E$92)))=0,"",IF(LEN(INDEX('Checklist'!$P$4:$P$503,_calc!$E$92))=0,"",INDEX('Checklist'!$P$4:$P$503,_calc!$E$92)))))</f>
        <v/>
      </c>
      <c r="K90" s="44">
        <f>IF(_calc!$E$92="","",IF(LEN(INDEX('Checklist'!$G$4:$G$503,_calc!$E$92))=0,"",INDEX('Checklist'!$G$4:$G$503,_calc!$E$92)))</f>
        <v/>
      </c>
    </row>
    <row r="91">
      <c r="A91" s="44">
        <f>IF(_calc!$E$93="","","Survey check – "&amp;IF(LEN(INDEX('Checklist'!$C$4:$C$503,_calc!$E$93))=0,"",INDEX('Checklist'!$C$4:$C$503,_calc!$E$93)))</f>
        <v/>
      </c>
      <c r="B91" s="44">
        <f>IF(_calc!$E$93="","",IF(ISNUMBER(INDEX('Checklist'!$L$4:$L$503,_calc!$E$93)),TEXT(INDEX('Checklist'!$L$4:$L$503,_calc!$E$93),"yyyy-mm-dd"),""))</f>
        <v/>
      </c>
      <c r="C91" s="44">
        <f>IF(_calc!$E$93="","","Survey readiness")</f>
        <v/>
      </c>
      <c r="D91" s="44">
        <f>IF(_calc!$E$93="","",IF(ISNUMBER(INDEX('Checklist'!$H$4:$H$503,_calc!$E$93)),TEXT(INDEX('Checklist'!$H$4:$H$503,_calc!$E$93),"yyyy-mm-dd"),""))</f>
        <v/>
      </c>
      <c r="F91" s="44">
        <f>IF(_calc!$E$93="","",TRIM(IF(LEN(IF(LEN(INDEX('Checklist'!$A$4:$A$503,_calc!$E$93))=0,"",INDEX('Checklist'!$A$4:$A$503,_calc!$E$93)))=0,"","Group: "&amp;IF(LEN(INDEX('Checklist'!$A$4:$A$503,_calc!$E$93))=0,"",INDEX('Checklist'!$A$4:$A$503,_calc!$E$93))&amp;". ")&amp;IF(LEN(IF(LEN(INDEX('Checklist'!$E$4:$E$503,_calc!$E$93))=0,"",INDEX('Checklist'!$E$4:$E$503,_calc!$E$93)))=0,"","Owner: "&amp;IF(LEN(INDEX('Checklist'!$E$4:$E$503,_calc!$E$93))=0,"",INDEX('Checklist'!$E$4:$E$503,_calc!$E$93))&amp;". ")&amp;IF(LEN(IF(LEN(INDEX('Checklist'!$F$4:$F$503,_calc!$E$93))=0,"",INDEX('Checklist'!$F$4:$F$503,_calc!$E$93)))=0,"","Backup: "&amp;IF(LEN(INDEX('Checklist'!$F$4:$F$503,_calc!$E$93))=0,"",INDEX('Checklist'!$F$4:$F$503,_calc!$E$93))&amp;". ")&amp;IF(LEN(IF(LEN(INDEX('Checklist'!$J$4:$J$503,_calc!$E$93))=0,"",INDEX('Checklist'!$J$4:$J$503,_calc!$E$93)))=0,"","Evidence: "&amp;IF(LEN(INDEX('Checklist'!$J$4:$J$503,_calc!$E$93))=0,"",INDEX('Checklist'!$J$4:$J$503,_calc!$E$93))&amp;". ")&amp;IF(LEN(IF(LEN(INDEX('Checklist'!$D$4:$D$503,_calc!$E$93))=0,"",INDEX('Checklist'!$D$4:$D$503,_calc!$E$93)))=0,"","Rule example: "&amp;IF(LEN(INDEX('Checklist'!$D$4:$D$503,_calc!$E$93))=0,"",INDEX('Checklist'!$D$4:$D$503,_calc!$E$93))&amp;". ")&amp;IF(LEN(IF(LEN(INDEX('Checklist'!$P$4:$P$503,_calc!$E$93))=0,"",INDEX('Checklist'!$P$4:$P$503,_calc!$E$93)))=0,"",IF(LEN(INDEX('Checklist'!$P$4:$P$503,_calc!$E$93))=0,"",INDEX('Checklist'!$P$4:$P$503,_calc!$E$93)))))</f>
        <v/>
      </c>
      <c r="K91" s="44">
        <f>IF(_calc!$E$93="","",IF(LEN(INDEX('Checklist'!$G$4:$G$503,_calc!$E$93))=0,"",INDEX('Checklist'!$G$4:$G$503,_calc!$E$93)))</f>
        <v/>
      </c>
    </row>
    <row r="92">
      <c r="A92" s="44">
        <f>IF(_calc!$E$94="","","Survey check – "&amp;IF(LEN(INDEX('Checklist'!$C$4:$C$503,_calc!$E$94))=0,"",INDEX('Checklist'!$C$4:$C$503,_calc!$E$94)))</f>
        <v/>
      </c>
      <c r="B92" s="44">
        <f>IF(_calc!$E$94="","",IF(ISNUMBER(INDEX('Checklist'!$L$4:$L$503,_calc!$E$94)),TEXT(INDEX('Checklist'!$L$4:$L$503,_calc!$E$94),"yyyy-mm-dd"),""))</f>
        <v/>
      </c>
      <c r="C92" s="44">
        <f>IF(_calc!$E$94="","","Survey readiness")</f>
        <v/>
      </c>
      <c r="D92" s="44">
        <f>IF(_calc!$E$94="","",IF(ISNUMBER(INDEX('Checklist'!$H$4:$H$503,_calc!$E$94)),TEXT(INDEX('Checklist'!$H$4:$H$503,_calc!$E$94),"yyyy-mm-dd"),""))</f>
        <v/>
      </c>
      <c r="F92" s="44">
        <f>IF(_calc!$E$94="","",TRIM(IF(LEN(IF(LEN(INDEX('Checklist'!$A$4:$A$503,_calc!$E$94))=0,"",INDEX('Checklist'!$A$4:$A$503,_calc!$E$94)))=0,"","Group: "&amp;IF(LEN(INDEX('Checklist'!$A$4:$A$503,_calc!$E$94))=0,"",INDEX('Checklist'!$A$4:$A$503,_calc!$E$94))&amp;". ")&amp;IF(LEN(IF(LEN(INDEX('Checklist'!$E$4:$E$503,_calc!$E$94))=0,"",INDEX('Checklist'!$E$4:$E$503,_calc!$E$94)))=0,"","Owner: "&amp;IF(LEN(INDEX('Checklist'!$E$4:$E$503,_calc!$E$94))=0,"",INDEX('Checklist'!$E$4:$E$503,_calc!$E$94))&amp;". ")&amp;IF(LEN(IF(LEN(INDEX('Checklist'!$F$4:$F$503,_calc!$E$94))=0,"",INDEX('Checklist'!$F$4:$F$503,_calc!$E$94)))=0,"","Backup: "&amp;IF(LEN(INDEX('Checklist'!$F$4:$F$503,_calc!$E$94))=0,"",INDEX('Checklist'!$F$4:$F$503,_calc!$E$94))&amp;". ")&amp;IF(LEN(IF(LEN(INDEX('Checklist'!$J$4:$J$503,_calc!$E$94))=0,"",INDEX('Checklist'!$J$4:$J$503,_calc!$E$94)))=0,"","Evidence: "&amp;IF(LEN(INDEX('Checklist'!$J$4:$J$503,_calc!$E$94))=0,"",INDEX('Checklist'!$J$4:$J$503,_calc!$E$94))&amp;". ")&amp;IF(LEN(IF(LEN(INDEX('Checklist'!$D$4:$D$503,_calc!$E$94))=0,"",INDEX('Checklist'!$D$4:$D$503,_calc!$E$94)))=0,"","Rule example: "&amp;IF(LEN(INDEX('Checklist'!$D$4:$D$503,_calc!$E$94))=0,"",INDEX('Checklist'!$D$4:$D$503,_calc!$E$94))&amp;". ")&amp;IF(LEN(IF(LEN(INDEX('Checklist'!$P$4:$P$503,_calc!$E$94))=0,"",INDEX('Checklist'!$P$4:$P$503,_calc!$E$94)))=0,"",IF(LEN(INDEX('Checklist'!$P$4:$P$503,_calc!$E$94))=0,"",INDEX('Checklist'!$P$4:$P$503,_calc!$E$94)))))</f>
        <v/>
      </c>
      <c r="K92" s="44">
        <f>IF(_calc!$E$94="","",IF(LEN(INDEX('Checklist'!$G$4:$G$503,_calc!$E$94))=0,"",INDEX('Checklist'!$G$4:$G$503,_calc!$E$94)))</f>
        <v/>
      </c>
    </row>
    <row r="93">
      <c r="A93" s="44">
        <f>IF(_calc!$E$95="","","Survey check – "&amp;IF(LEN(INDEX('Checklist'!$C$4:$C$503,_calc!$E$95))=0,"",INDEX('Checklist'!$C$4:$C$503,_calc!$E$95)))</f>
        <v/>
      </c>
      <c r="B93" s="44">
        <f>IF(_calc!$E$95="","",IF(ISNUMBER(INDEX('Checklist'!$L$4:$L$503,_calc!$E$95)),TEXT(INDEX('Checklist'!$L$4:$L$503,_calc!$E$95),"yyyy-mm-dd"),""))</f>
        <v/>
      </c>
      <c r="C93" s="44">
        <f>IF(_calc!$E$95="","","Survey readiness")</f>
        <v/>
      </c>
      <c r="D93" s="44">
        <f>IF(_calc!$E$95="","",IF(ISNUMBER(INDEX('Checklist'!$H$4:$H$503,_calc!$E$95)),TEXT(INDEX('Checklist'!$H$4:$H$503,_calc!$E$95),"yyyy-mm-dd"),""))</f>
        <v/>
      </c>
      <c r="F93" s="44">
        <f>IF(_calc!$E$95="","",TRIM(IF(LEN(IF(LEN(INDEX('Checklist'!$A$4:$A$503,_calc!$E$95))=0,"",INDEX('Checklist'!$A$4:$A$503,_calc!$E$95)))=0,"","Group: "&amp;IF(LEN(INDEX('Checklist'!$A$4:$A$503,_calc!$E$95))=0,"",INDEX('Checklist'!$A$4:$A$503,_calc!$E$95))&amp;". ")&amp;IF(LEN(IF(LEN(INDEX('Checklist'!$E$4:$E$503,_calc!$E$95))=0,"",INDEX('Checklist'!$E$4:$E$503,_calc!$E$95)))=0,"","Owner: "&amp;IF(LEN(INDEX('Checklist'!$E$4:$E$503,_calc!$E$95))=0,"",INDEX('Checklist'!$E$4:$E$503,_calc!$E$95))&amp;". ")&amp;IF(LEN(IF(LEN(INDEX('Checklist'!$F$4:$F$503,_calc!$E$95))=0,"",INDEX('Checklist'!$F$4:$F$503,_calc!$E$95)))=0,"","Backup: "&amp;IF(LEN(INDEX('Checklist'!$F$4:$F$503,_calc!$E$95))=0,"",INDEX('Checklist'!$F$4:$F$503,_calc!$E$95))&amp;". ")&amp;IF(LEN(IF(LEN(INDEX('Checklist'!$J$4:$J$503,_calc!$E$95))=0,"",INDEX('Checklist'!$J$4:$J$503,_calc!$E$95)))=0,"","Evidence: "&amp;IF(LEN(INDEX('Checklist'!$J$4:$J$503,_calc!$E$95))=0,"",INDEX('Checklist'!$J$4:$J$503,_calc!$E$95))&amp;". ")&amp;IF(LEN(IF(LEN(INDEX('Checklist'!$D$4:$D$503,_calc!$E$95))=0,"",INDEX('Checklist'!$D$4:$D$503,_calc!$E$95)))=0,"","Rule example: "&amp;IF(LEN(INDEX('Checklist'!$D$4:$D$503,_calc!$E$95))=0,"",INDEX('Checklist'!$D$4:$D$503,_calc!$E$95))&amp;". ")&amp;IF(LEN(IF(LEN(INDEX('Checklist'!$P$4:$P$503,_calc!$E$95))=0,"",INDEX('Checklist'!$P$4:$P$503,_calc!$E$95)))=0,"",IF(LEN(INDEX('Checklist'!$P$4:$P$503,_calc!$E$95))=0,"",INDEX('Checklist'!$P$4:$P$503,_calc!$E$95)))))</f>
        <v/>
      </c>
      <c r="K93" s="44">
        <f>IF(_calc!$E$95="","",IF(LEN(INDEX('Checklist'!$G$4:$G$503,_calc!$E$95))=0,"",INDEX('Checklist'!$G$4:$G$503,_calc!$E$95)))</f>
        <v/>
      </c>
    </row>
    <row r="94">
      <c r="A94" s="44">
        <f>IF(_calc!$E$96="","","Survey check – "&amp;IF(LEN(INDEX('Checklist'!$C$4:$C$503,_calc!$E$96))=0,"",INDEX('Checklist'!$C$4:$C$503,_calc!$E$96)))</f>
        <v/>
      </c>
      <c r="B94" s="44">
        <f>IF(_calc!$E$96="","",IF(ISNUMBER(INDEX('Checklist'!$L$4:$L$503,_calc!$E$96)),TEXT(INDEX('Checklist'!$L$4:$L$503,_calc!$E$96),"yyyy-mm-dd"),""))</f>
        <v/>
      </c>
      <c r="C94" s="44">
        <f>IF(_calc!$E$96="","","Survey readiness")</f>
        <v/>
      </c>
      <c r="D94" s="44">
        <f>IF(_calc!$E$96="","",IF(ISNUMBER(INDEX('Checklist'!$H$4:$H$503,_calc!$E$96)),TEXT(INDEX('Checklist'!$H$4:$H$503,_calc!$E$96),"yyyy-mm-dd"),""))</f>
        <v/>
      </c>
      <c r="F94" s="44">
        <f>IF(_calc!$E$96="","",TRIM(IF(LEN(IF(LEN(INDEX('Checklist'!$A$4:$A$503,_calc!$E$96))=0,"",INDEX('Checklist'!$A$4:$A$503,_calc!$E$96)))=0,"","Group: "&amp;IF(LEN(INDEX('Checklist'!$A$4:$A$503,_calc!$E$96))=0,"",INDEX('Checklist'!$A$4:$A$503,_calc!$E$96))&amp;". ")&amp;IF(LEN(IF(LEN(INDEX('Checklist'!$E$4:$E$503,_calc!$E$96))=0,"",INDEX('Checklist'!$E$4:$E$503,_calc!$E$96)))=0,"","Owner: "&amp;IF(LEN(INDEX('Checklist'!$E$4:$E$503,_calc!$E$96))=0,"",INDEX('Checklist'!$E$4:$E$503,_calc!$E$96))&amp;". ")&amp;IF(LEN(IF(LEN(INDEX('Checklist'!$F$4:$F$503,_calc!$E$96))=0,"",INDEX('Checklist'!$F$4:$F$503,_calc!$E$96)))=0,"","Backup: "&amp;IF(LEN(INDEX('Checklist'!$F$4:$F$503,_calc!$E$96))=0,"",INDEX('Checklist'!$F$4:$F$503,_calc!$E$96))&amp;". ")&amp;IF(LEN(IF(LEN(INDEX('Checklist'!$J$4:$J$503,_calc!$E$96))=0,"",INDEX('Checklist'!$J$4:$J$503,_calc!$E$96)))=0,"","Evidence: "&amp;IF(LEN(INDEX('Checklist'!$J$4:$J$503,_calc!$E$96))=0,"",INDEX('Checklist'!$J$4:$J$503,_calc!$E$96))&amp;". ")&amp;IF(LEN(IF(LEN(INDEX('Checklist'!$D$4:$D$503,_calc!$E$96))=0,"",INDEX('Checklist'!$D$4:$D$503,_calc!$E$96)))=0,"","Rule example: "&amp;IF(LEN(INDEX('Checklist'!$D$4:$D$503,_calc!$E$96))=0,"",INDEX('Checklist'!$D$4:$D$503,_calc!$E$96))&amp;". ")&amp;IF(LEN(IF(LEN(INDEX('Checklist'!$P$4:$P$503,_calc!$E$96))=0,"",INDEX('Checklist'!$P$4:$P$503,_calc!$E$96)))=0,"",IF(LEN(INDEX('Checklist'!$P$4:$P$503,_calc!$E$96))=0,"",INDEX('Checklist'!$P$4:$P$503,_calc!$E$96)))))</f>
        <v/>
      </c>
      <c r="K94" s="44">
        <f>IF(_calc!$E$96="","",IF(LEN(INDEX('Checklist'!$G$4:$G$503,_calc!$E$96))=0,"",INDEX('Checklist'!$G$4:$G$503,_calc!$E$96)))</f>
        <v/>
      </c>
    </row>
    <row r="95">
      <c r="A95" s="44">
        <f>IF(_calc!$E$97="","","Survey check – "&amp;IF(LEN(INDEX('Checklist'!$C$4:$C$503,_calc!$E$97))=0,"",INDEX('Checklist'!$C$4:$C$503,_calc!$E$97)))</f>
        <v/>
      </c>
      <c r="B95" s="44">
        <f>IF(_calc!$E$97="","",IF(ISNUMBER(INDEX('Checklist'!$L$4:$L$503,_calc!$E$97)),TEXT(INDEX('Checklist'!$L$4:$L$503,_calc!$E$97),"yyyy-mm-dd"),""))</f>
        <v/>
      </c>
      <c r="C95" s="44">
        <f>IF(_calc!$E$97="","","Survey readiness")</f>
        <v/>
      </c>
      <c r="D95" s="44">
        <f>IF(_calc!$E$97="","",IF(ISNUMBER(INDEX('Checklist'!$H$4:$H$503,_calc!$E$97)),TEXT(INDEX('Checklist'!$H$4:$H$503,_calc!$E$97),"yyyy-mm-dd"),""))</f>
        <v/>
      </c>
      <c r="F95" s="44">
        <f>IF(_calc!$E$97="","",TRIM(IF(LEN(IF(LEN(INDEX('Checklist'!$A$4:$A$503,_calc!$E$97))=0,"",INDEX('Checklist'!$A$4:$A$503,_calc!$E$97)))=0,"","Group: "&amp;IF(LEN(INDEX('Checklist'!$A$4:$A$503,_calc!$E$97))=0,"",INDEX('Checklist'!$A$4:$A$503,_calc!$E$97))&amp;". ")&amp;IF(LEN(IF(LEN(INDEX('Checklist'!$E$4:$E$503,_calc!$E$97))=0,"",INDEX('Checklist'!$E$4:$E$503,_calc!$E$97)))=0,"","Owner: "&amp;IF(LEN(INDEX('Checklist'!$E$4:$E$503,_calc!$E$97))=0,"",INDEX('Checklist'!$E$4:$E$503,_calc!$E$97))&amp;". ")&amp;IF(LEN(IF(LEN(INDEX('Checklist'!$F$4:$F$503,_calc!$E$97))=0,"",INDEX('Checklist'!$F$4:$F$503,_calc!$E$97)))=0,"","Backup: "&amp;IF(LEN(INDEX('Checklist'!$F$4:$F$503,_calc!$E$97))=0,"",INDEX('Checklist'!$F$4:$F$503,_calc!$E$97))&amp;". ")&amp;IF(LEN(IF(LEN(INDEX('Checklist'!$J$4:$J$503,_calc!$E$97))=0,"",INDEX('Checklist'!$J$4:$J$503,_calc!$E$97)))=0,"","Evidence: "&amp;IF(LEN(INDEX('Checklist'!$J$4:$J$503,_calc!$E$97))=0,"",INDEX('Checklist'!$J$4:$J$503,_calc!$E$97))&amp;". ")&amp;IF(LEN(IF(LEN(INDEX('Checklist'!$D$4:$D$503,_calc!$E$97))=0,"",INDEX('Checklist'!$D$4:$D$503,_calc!$E$97)))=0,"","Rule example: "&amp;IF(LEN(INDEX('Checklist'!$D$4:$D$503,_calc!$E$97))=0,"",INDEX('Checklist'!$D$4:$D$503,_calc!$E$97))&amp;". ")&amp;IF(LEN(IF(LEN(INDEX('Checklist'!$P$4:$P$503,_calc!$E$97))=0,"",INDEX('Checklist'!$P$4:$P$503,_calc!$E$97)))=0,"",IF(LEN(INDEX('Checklist'!$P$4:$P$503,_calc!$E$97))=0,"",INDEX('Checklist'!$P$4:$P$503,_calc!$E$97)))))</f>
        <v/>
      </c>
      <c r="K95" s="44">
        <f>IF(_calc!$E$97="","",IF(LEN(INDEX('Checklist'!$G$4:$G$503,_calc!$E$97))=0,"",INDEX('Checklist'!$G$4:$G$503,_calc!$E$97)))</f>
        <v/>
      </c>
    </row>
    <row r="96">
      <c r="A96" s="44">
        <f>IF(_calc!$E$98="","","Survey check – "&amp;IF(LEN(INDEX('Checklist'!$C$4:$C$503,_calc!$E$98))=0,"",INDEX('Checklist'!$C$4:$C$503,_calc!$E$98)))</f>
        <v/>
      </c>
      <c r="B96" s="44">
        <f>IF(_calc!$E$98="","",IF(ISNUMBER(INDEX('Checklist'!$L$4:$L$503,_calc!$E$98)),TEXT(INDEX('Checklist'!$L$4:$L$503,_calc!$E$98),"yyyy-mm-dd"),""))</f>
        <v/>
      </c>
      <c r="C96" s="44">
        <f>IF(_calc!$E$98="","","Survey readiness")</f>
        <v/>
      </c>
      <c r="D96" s="44">
        <f>IF(_calc!$E$98="","",IF(ISNUMBER(INDEX('Checklist'!$H$4:$H$503,_calc!$E$98)),TEXT(INDEX('Checklist'!$H$4:$H$503,_calc!$E$98),"yyyy-mm-dd"),""))</f>
        <v/>
      </c>
      <c r="F96" s="44">
        <f>IF(_calc!$E$98="","",TRIM(IF(LEN(IF(LEN(INDEX('Checklist'!$A$4:$A$503,_calc!$E$98))=0,"",INDEX('Checklist'!$A$4:$A$503,_calc!$E$98)))=0,"","Group: "&amp;IF(LEN(INDEX('Checklist'!$A$4:$A$503,_calc!$E$98))=0,"",INDEX('Checklist'!$A$4:$A$503,_calc!$E$98))&amp;". ")&amp;IF(LEN(IF(LEN(INDEX('Checklist'!$E$4:$E$503,_calc!$E$98))=0,"",INDEX('Checklist'!$E$4:$E$503,_calc!$E$98)))=0,"","Owner: "&amp;IF(LEN(INDEX('Checklist'!$E$4:$E$503,_calc!$E$98))=0,"",INDEX('Checklist'!$E$4:$E$503,_calc!$E$98))&amp;". ")&amp;IF(LEN(IF(LEN(INDEX('Checklist'!$F$4:$F$503,_calc!$E$98))=0,"",INDEX('Checklist'!$F$4:$F$503,_calc!$E$98)))=0,"","Backup: "&amp;IF(LEN(INDEX('Checklist'!$F$4:$F$503,_calc!$E$98))=0,"",INDEX('Checklist'!$F$4:$F$503,_calc!$E$98))&amp;". ")&amp;IF(LEN(IF(LEN(INDEX('Checklist'!$J$4:$J$503,_calc!$E$98))=0,"",INDEX('Checklist'!$J$4:$J$503,_calc!$E$98)))=0,"","Evidence: "&amp;IF(LEN(INDEX('Checklist'!$J$4:$J$503,_calc!$E$98))=0,"",INDEX('Checklist'!$J$4:$J$503,_calc!$E$98))&amp;". ")&amp;IF(LEN(IF(LEN(INDEX('Checklist'!$D$4:$D$503,_calc!$E$98))=0,"",INDEX('Checklist'!$D$4:$D$503,_calc!$E$98)))=0,"","Rule example: "&amp;IF(LEN(INDEX('Checklist'!$D$4:$D$503,_calc!$E$98))=0,"",INDEX('Checklist'!$D$4:$D$503,_calc!$E$98))&amp;". ")&amp;IF(LEN(IF(LEN(INDEX('Checklist'!$P$4:$P$503,_calc!$E$98))=0,"",INDEX('Checklist'!$P$4:$P$503,_calc!$E$98)))=0,"",IF(LEN(INDEX('Checklist'!$P$4:$P$503,_calc!$E$98))=0,"",INDEX('Checklist'!$P$4:$P$503,_calc!$E$98)))))</f>
        <v/>
      </c>
      <c r="K96" s="44">
        <f>IF(_calc!$E$98="","",IF(LEN(INDEX('Checklist'!$G$4:$G$503,_calc!$E$98))=0,"",INDEX('Checklist'!$G$4:$G$503,_calc!$E$98)))</f>
        <v/>
      </c>
    </row>
    <row r="97">
      <c r="A97" s="44">
        <f>IF(_calc!$E$99="","","Survey check – "&amp;IF(LEN(INDEX('Checklist'!$C$4:$C$503,_calc!$E$99))=0,"",INDEX('Checklist'!$C$4:$C$503,_calc!$E$99)))</f>
        <v/>
      </c>
      <c r="B97" s="44">
        <f>IF(_calc!$E$99="","",IF(ISNUMBER(INDEX('Checklist'!$L$4:$L$503,_calc!$E$99)),TEXT(INDEX('Checklist'!$L$4:$L$503,_calc!$E$99),"yyyy-mm-dd"),""))</f>
        <v/>
      </c>
      <c r="C97" s="44">
        <f>IF(_calc!$E$99="","","Survey readiness")</f>
        <v/>
      </c>
      <c r="D97" s="44">
        <f>IF(_calc!$E$99="","",IF(ISNUMBER(INDEX('Checklist'!$H$4:$H$503,_calc!$E$99)),TEXT(INDEX('Checklist'!$H$4:$H$503,_calc!$E$99),"yyyy-mm-dd"),""))</f>
        <v/>
      </c>
      <c r="F97" s="44">
        <f>IF(_calc!$E$99="","",TRIM(IF(LEN(IF(LEN(INDEX('Checklist'!$A$4:$A$503,_calc!$E$99))=0,"",INDEX('Checklist'!$A$4:$A$503,_calc!$E$99)))=0,"","Group: "&amp;IF(LEN(INDEX('Checklist'!$A$4:$A$503,_calc!$E$99))=0,"",INDEX('Checklist'!$A$4:$A$503,_calc!$E$99))&amp;". ")&amp;IF(LEN(IF(LEN(INDEX('Checklist'!$E$4:$E$503,_calc!$E$99))=0,"",INDEX('Checklist'!$E$4:$E$503,_calc!$E$99)))=0,"","Owner: "&amp;IF(LEN(INDEX('Checklist'!$E$4:$E$503,_calc!$E$99))=0,"",INDEX('Checklist'!$E$4:$E$503,_calc!$E$99))&amp;". ")&amp;IF(LEN(IF(LEN(INDEX('Checklist'!$F$4:$F$503,_calc!$E$99))=0,"",INDEX('Checklist'!$F$4:$F$503,_calc!$E$99)))=0,"","Backup: "&amp;IF(LEN(INDEX('Checklist'!$F$4:$F$503,_calc!$E$99))=0,"",INDEX('Checklist'!$F$4:$F$503,_calc!$E$99))&amp;". ")&amp;IF(LEN(IF(LEN(INDEX('Checklist'!$J$4:$J$503,_calc!$E$99))=0,"",INDEX('Checklist'!$J$4:$J$503,_calc!$E$99)))=0,"","Evidence: "&amp;IF(LEN(INDEX('Checklist'!$J$4:$J$503,_calc!$E$99))=0,"",INDEX('Checklist'!$J$4:$J$503,_calc!$E$99))&amp;". ")&amp;IF(LEN(IF(LEN(INDEX('Checklist'!$D$4:$D$503,_calc!$E$99))=0,"",INDEX('Checklist'!$D$4:$D$503,_calc!$E$99)))=0,"","Rule example: "&amp;IF(LEN(INDEX('Checklist'!$D$4:$D$503,_calc!$E$99))=0,"",INDEX('Checklist'!$D$4:$D$503,_calc!$E$99))&amp;". ")&amp;IF(LEN(IF(LEN(INDEX('Checklist'!$P$4:$P$503,_calc!$E$99))=0,"",INDEX('Checklist'!$P$4:$P$503,_calc!$E$99)))=0,"",IF(LEN(INDEX('Checklist'!$P$4:$P$503,_calc!$E$99))=0,"",INDEX('Checklist'!$P$4:$P$503,_calc!$E$99)))))</f>
        <v/>
      </c>
      <c r="K97" s="44">
        <f>IF(_calc!$E$99="","",IF(LEN(INDEX('Checklist'!$G$4:$G$503,_calc!$E$99))=0,"",INDEX('Checklist'!$G$4:$G$503,_calc!$E$99)))</f>
        <v/>
      </c>
    </row>
    <row r="98">
      <c r="A98" s="44">
        <f>IF(_calc!$E$100="","","Survey check – "&amp;IF(LEN(INDEX('Checklist'!$C$4:$C$503,_calc!$E$100))=0,"",INDEX('Checklist'!$C$4:$C$503,_calc!$E$100)))</f>
        <v/>
      </c>
      <c r="B98" s="44">
        <f>IF(_calc!$E$100="","",IF(ISNUMBER(INDEX('Checklist'!$L$4:$L$503,_calc!$E$100)),TEXT(INDEX('Checklist'!$L$4:$L$503,_calc!$E$100),"yyyy-mm-dd"),""))</f>
        <v/>
      </c>
      <c r="C98" s="44">
        <f>IF(_calc!$E$100="","","Survey readiness")</f>
        <v/>
      </c>
      <c r="D98" s="44">
        <f>IF(_calc!$E$100="","",IF(ISNUMBER(INDEX('Checklist'!$H$4:$H$503,_calc!$E$100)),TEXT(INDEX('Checklist'!$H$4:$H$503,_calc!$E$100),"yyyy-mm-dd"),""))</f>
        <v/>
      </c>
      <c r="F98" s="44">
        <f>IF(_calc!$E$100="","",TRIM(IF(LEN(IF(LEN(INDEX('Checklist'!$A$4:$A$503,_calc!$E$100))=0,"",INDEX('Checklist'!$A$4:$A$503,_calc!$E$100)))=0,"","Group: "&amp;IF(LEN(INDEX('Checklist'!$A$4:$A$503,_calc!$E$100))=0,"",INDEX('Checklist'!$A$4:$A$503,_calc!$E$100))&amp;". ")&amp;IF(LEN(IF(LEN(INDEX('Checklist'!$E$4:$E$503,_calc!$E$100))=0,"",INDEX('Checklist'!$E$4:$E$503,_calc!$E$100)))=0,"","Owner: "&amp;IF(LEN(INDEX('Checklist'!$E$4:$E$503,_calc!$E$100))=0,"",INDEX('Checklist'!$E$4:$E$503,_calc!$E$100))&amp;". ")&amp;IF(LEN(IF(LEN(INDEX('Checklist'!$F$4:$F$503,_calc!$E$100))=0,"",INDEX('Checklist'!$F$4:$F$503,_calc!$E$100)))=0,"","Backup: "&amp;IF(LEN(INDEX('Checklist'!$F$4:$F$503,_calc!$E$100))=0,"",INDEX('Checklist'!$F$4:$F$503,_calc!$E$100))&amp;". ")&amp;IF(LEN(IF(LEN(INDEX('Checklist'!$J$4:$J$503,_calc!$E$100))=0,"",INDEX('Checklist'!$J$4:$J$503,_calc!$E$100)))=0,"","Evidence: "&amp;IF(LEN(INDEX('Checklist'!$J$4:$J$503,_calc!$E$100))=0,"",INDEX('Checklist'!$J$4:$J$503,_calc!$E$100))&amp;". ")&amp;IF(LEN(IF(LEN(INDEX('Checklist'!$D$4:$D$503,_calc!$E$100))=0,"",INDEX('Checklist'!$D$4:$D$503,_calc!$E$100)))=0,"","Rule example: "&amp;IF(LEN(INDEX('Checklist'!$D$4:$D$503,_calc!$E$100))=0,"",INDEX('Checklist'!$D$4:$D$503,_calc!$E$100))&amp;". ")&amp;IF(LEN(IF(LEN(INDEX('Checklist'!$P$4:$P$503,_calc!$E$100))=0,"",INDEX('Checklist'!$P$4:$P$503,_calc!$E$100)))=0,"",IF(LEN(INDEX('Checklist'!$P$4:$P$503,_calc!$E$100))=0,"",INDEX('Checklist'!$P$4:$P$503,_calc!$E$100)))))</f>
        <v/>
      </c>
      <c r="K98" s="44">
        <f>IF(_calc!$E$100="","",IF(LEN(INDEX('Checklist'!$G$4:$G$503,_calc!$E$100))=0,"",INDEX('Checklist'!$G$4:$G$503,_calc!$E$100)))</f>
        <v/>
      </c>
    </row>
    <row r="99">
      <c r="A99" s="44">
        <f>IF(_calc!$E$101="","","Survey check – "&amp;IF(LEN(INDEX('Checklist'!$C$4:$C$503,_calc!$E$101))=0,"",INDEX('Checklist'!$C$4:$C$503,_calc!$E$101)))</f>
        <v/>
      </c>
      <c r="B99" s="44">
        <f>IF(_calc!$E$101="","",IF(ISNUMBER(INDEX('Checklist'!$L$4:$L$503,_calc!$E$101)),TEXT(INDEX('Checklist'!$L$4:$L$503,_calc!$E$101),"yyyy-mm-dd"),""))</f>
        <v/>
      </c>
      <c r="C99" s="44">
        <f>IF(_calc!$E$101="","","Survey readiness")</f>
        <v/>
      </c>
      <c r="D99" s="44">
        <f>IF(_calc!$E$101="","",IF(ISNUMBER(INDEX('Checklist'!$H$4:$H$503,_calc!$E$101)),TEXT(INDEX('Checklist'!$H$4:$H$503,_calc!$E$101),"yyyy-mm-dd"),""))</f>
        <v/>
      </c>
      <c r="F99" s="44">
        <f>IF(_calc!$E$101="","",TRIM(IF(LEN(IF(LEN(INDEX('Checklist'!$A$4:$A$503,_calc!$E$101))=0,"",INDEX('Checklist'!$A$4:$A$503,_calc!$E$101)))=0,"","Group: "&amp;IF(LEN(INDEX('Checklist'!$A$4:$A$503,_calc!$E$101))=0,"",INDEX('Checklist'!$A$4:$A$503,_calc!$E$101))&amp;". ")&amp;IF(LEN(IF(LEN(INDEX('Checklist'!$E$4:$E$503,_calc!$E$101))=0,"",INDEX('Checklist'!$E$4:$E$503,_calc!$E$101)))=0,"","Owner: "&amp;IF(LEN(INDEX('Checklist'!$E$4:$E$503,_calc!$E$101))=0,"",INDEX('Checklist'!$E$4:$E$503,_calc!$E$101))&amp;". ")&amp;IF(LEN(IF(LEN(INDEX('Checklist'!$F$4:$F$503,_calc!$E$101))=0,"",INDEX('Checklist'!$F$4:$F$503,_calc!$E$101)))=0,"","Backup: "&amp;IF(LEN(INDEX('Checklist'!$F$4:$F$503,_calc!$E$101))=0,"",INDEX('Checklist'!$F$4:$F$503,_calc!$E$101))&amp;". ")&amp;IF(LEN(IF(LEN(INDEX('Checklist'!$J$4:$J$503,_calc!$E$101))=0,"",INDEX('Checklist'!$J$4:$J$503,_calc!$E$101)))=0,"","Evidence: "&amp;IF(LEN(INDEX('Checklist'!$J$4:$J$503,_calc!$E$101))=0,"",INDEX('Checklist'!$J$4:$J$503,_calc!$E$101))&amp;". ")&amp;IF(LEN(IF(LEN(INDEX('Checklist'!$D$4:$D$503,_calc!$E$101))=0,"",INDEX('Checklist'!$D$4:$D$503,_calc!$E$101)))=0,"","Rule example: "&amp;IF(LEN(INDEX('Checklist'!$D$4:$D$503,_calc!$E$101))=0,"",INDEX('Checklist'!$D$4:$D$503,_calc!$E$101))&amp;". ")&amp;IF(LEN(IF(LEN(INDEX('Checklist'!$P$4:$P$503,_calc!$E$101))=0,"",INDEX('Checklist'!$P$4:$P$503,_calc!$E$101)))=0,"",IF(LEN(INDEX('Checklist'!$P$4:$P$503,_calc!$E$101))=0,"",INDEX('Checklist'!$P$4:$P$503,_calc!$E$101)))))</f>
        <v/>
      </c>
      <c r="K99" s="44">
        <f>IF(_calc!$E$101="","",IF(LEN(INDEX('Checklist'!$G$4:$G$503,_calc!$E$101))=0,"",INDEX('Checklist'!$G$4:$G$503,_calc!$E$101)))</f>
        <v/>
      </c>
    </row>
    <row r="100">
      <c r="A100" s="44">
        <f>IF(_calc!$E$102="","","Survey check – "&amp;IF(LEN(INDEX('Checklist'!$C$4:$C$503,_calc!$E$102))=0,"",INDEX('Checklist'!$C$4:$C$503,_calc!$E$102)))</f>
        <v/>
      </c>
      <c r="B100" s="44">
        <f>IF(_calc!$E$102="","",IF(ISNUMBER(INDEX('Checklist'!$L$4:$L$503,_calc!$E$102)),TEXT(INDEX('Checklist'!$L$4:$L$503,_calc!$E$102),"yyyy-mm-dd"),""))</f>
        <v/>
      </c>
      <c r="C100" s="44">
        <f>IF(_calc!$E$102="","","Survey readiness")</f>
        <v/>
      </c>
      <c r="D100" s="44">
        <f>IF(_calc!$E$102="","",IF(ISNUMBER(INDEX('Checklist'!$H$4:$H$503,_calc!$E$102)),TEXT(INDEX('Checklist'!$H$4:$H$503,_calc!$E$102),"yyyy-mm-dd"),""))</f>
        <v/>
      </c>
      <c r="F100" s="44">
        <f>IF(_calc!$E$102="","",TRIM(IF(LEN(IF(LEN(INDEX('Checklist'!$A$4:$A$503,_calc!$E$102))=0,"",INDEX('Checklist'!$A$4:$A$503,_calc!$E$102)))=0,"","Group: "&amp;IF(LEN(INDEX('Checklist'!$A$4:$A$503,_calc!$E$102))=0,"",INDEX('Checklist'!$A$4:$A$503,_calc!$E$102))&amp;". ")&amp;IF(LEN(IF(LEN(INDEX('Checklist'!$E$4:$E$503,_calc!$E$102))=0,"",INDEX('Checklist'!$E$4:$E$503,_calc!$E$102)))=0,"","Owner: "&amp;IF(LEN(INDEX('Checklist'!$E$4:$E$503,_calc!$E$102))=0,"",INDEX('Checklist'!$E$4:$E$503,_calc!$E$102))&amp;". ")&amp;IF(LEN(IF(LEN(INDEX('Checklist'!$F$4:$F$503,_calc!$E$102))=0,"",INDEX('Checklist'!$F$4:$F$503,_calc!$E$102)))=0,"","Backup: "&amp;IF(LEN(INDEX('Checklist'!$F$4:$F$503,_calc!$E$102))=0,"",INDEX('Checklist'!$F$4:$F$503,_calc!$E$102))&amp;". ")&amp;IF(LEN(IF(LEN(INDEX('Checklist'!$J$4:$J$503,_calc!$E$102))=0,"",INDEX('Checklist'!$J$4:$J$503,_calc!$E$102)))=0,"","Evidence: "&amp;IF(LEN(INDEX('Checklist'!$J$4:$J$503,_calc!$E$102))=0,"",INDEX('Checklist'!$J$4:$J$503,_calc!$E$102))&amp;". ")&amp;IF(LEN(IF(LEN(INDEX('Checklist'!$D$4:$D$503,_calc!$E$102))=0,"",INDEX('Checklist'!$D$4:$D$503,_calc!$E$102)))=0,"","Rule example: "&amp;IF(LEN(INDEX('Checklist'!$D$4:$D$503,_calc!$E$102))=0,"",INDEX('Checklist'!$D$4:$D$503,_calc!$E$102))&amp;". ")&amp;IF(LEN(IF(LEN(INDEX('Checklist'!$P$4:$P$503,_calc!$E$102))=0,"",INDEX('Checklist'!$P$4:$P$503,_calc!$E$102)))=0,"",IF(LEN(INDEX('Checklist'!$P$4:$P$503,_calc!$E$102))=0,"",INDEX('Checklist'!$P$4:$P$503,_calc!$E$102)))))</f>
        <v/>
      </c>
      <c r="K100" s="44">
        <f>IF(_calc!$E$102="","",IF(LEN(INDEX('Checklist'!$G$4:$G$503,_calc!$E$102))=0,"",INDEX('Checklist'!$G$4:$G$503,_calc!$E$102)))</f>
        <v/>
      </c>
    </row>
    <row r="101">
      <c r="A101" s="44">
        <f>IF(_calc!$E$103="","","Survey check – "&amp;IF(LEN(INDEX('Checklist'!$C$4:$C$503,_calc!$E$103))=0,"",INDEX('Checklist'!$C$4:$C$503,_calc!$E$103)))</f>
        <v/>
      </c>
      <c r="B101" s="44">
        <f>IF(_calc!$E$103="","",IF(ISNUMBER(INDEX('Checklist'!$L$4:$L$503,_calc!$E$103)),TEXT(INDEX('Checklist'!$L$4:$L$503,_calc!$E$103),"yyyy-mm-dd"),""))</f>
        <v/>
      </c>
      <c r="C101" s="44">
        <f>IF(_calc!$E$103="","","Survey readiness")</f>
        <v/>
      </c>
      <c r="D101" s="44">
        <f>IF(_calc!$E$103="","",IF(ISNUMBER(INDEX('Checklist'!$H$4:$H$503,_calc!$E$103)),TEXT(INDEX('Checklist'!$H$4:$H$503,_calc!$E$103),"yyyy-mm-dd"),""))</f>
        <v/>
      </c>
      <c r="F101" s="44">
        <f>IF(_calc!$E$103="","",TRIM(IF(LEN(IF(LEN(INDEX('Checklist'!$A$4:$A$503,_calc!$E$103))=0,"",INDEX('Checklist'!$A$4:$A$503,_calc!$E$103)))=0,"","Group: "&amp;IF(LEN(INDEX('Checklist'!$A$4:$A$503,_calc!$E$103))=0,"",INDEX('Checklist'!$A$4:$A$503,_calc!$E$103))&amp;". ")&amp;IF(LEN(IF(LEN(INDEX('Checklist'!$E$4:$E$503,_calc!$E$103))=0,"",INDEX('Checklist'!$E$4:$E$503,_calc!$E$103)))=0,"","Owner: "&amp;IF(LEN(INDEX('Checklist'!$E$4:$E$503,_calc!$E$103))=0,"",INDEX('Checklist'!$E$4:$E$503,_calc!$E$103))&amp;". ")&amp;IF(LEN(IF(LEN(INDEX('Checklist'!$F$4:$F$503,_calc!$E$103))=0,"",INDEX('Checklist'!$F$4:$F$503,_calc!$E$103)))=0,"","Backup: "&amp;IF(LEN(INDEX('Checklist'!$F$4:$F$503,_calc!$E$103))=0,"",INDEX('Checklist'!$F$4:$F$503,_calc!$E$103))&amp;". ")&amp;IF(LEN(IF(LEN(INDEX('Checklist'!$J$4:$J$503,_calc!$E$103))=0,"",INDEX('Checklist'!$J$4:$J$503,_calc!$E$103)))=0,"","Evidence: "&amp;IF(LEN(INDEX('Checklist'!$J$4:$J$503,_calc!$E$103))=0,"",INDEX('Checklist'!$J$4:$J$503,_calc!$E$103))&amp;". ")&amp;IF(LEN(IF(LEN(INDEX('Checklist'!$D$4:$D$503,_calc!$E$103))=0,"",INDEX('Checklist'!$D$4:$D$503,_calc!$E$103)))=0,"","Rule example: "&amp;IF(LEN(INDEX('Checklist'!$D$4:$D$503,_calc!$E$103))=0,"",INDEX('Checklist'!$D$4:$D$503,_calc!$E$103))&amp;". ")&amp;IF(LEN(IF(LEN(INDEX('Checklist'!$P$4:$P$503,_calc!$E$103))=0,"",INDEX('Checklist'!$P$4:$P$503,_calc!$E$103)))=0,"",IF(LEN(INDEX('Checklist'!$P$4:$P$503,_calc!$E$103))=0,"",INDEX('Checklist'!$P$4:$P$503,_calc!$E$103)))))</f>
        <v/>
      </c>
      <c r="K101" s="44">
        <f>IF(_calc!$E$103="","",IF(LEN(INDEX('Checklist'!$G$4:$G$503,_calc!$E$103))=0,"",INDEX('Checklist'!$G$4:$G$503,_calc!$E$103)))</f>
        <v/>
      </c>
    </row>
    <row r="102">
      <c r="A102" s="44">
        <f>IF(_calc!$E$104="","","Survey check – "&amp;IF(LEN(INDEX('Checklist'!$C$4:$C$503,_calc!$E$104))=0,"",INDEX('Checklist'!$C$4:$C$503,_calc!$E$104)))</f>
        <v/>
      </c>
      <c r="B102" s="44">
        <f>IF(_calc!$E$104="","",IF(ISNUMBER(INDEX('Checklist'!$L$4:$L$503,_calc!$E$104)),TEXT(INDEX('Checklist'!$L$4:$L$503,_calc!$E$104),"yyyy-mm-dd"),""))</f>
        <v/>
      </c>
      <c r="C102" s="44">
        <f>IF(_calc!$E$104="","","Survey readiness")</f>
        <v/>
      </c>
      <c r="D102" s="44">
        <f>IF(_calc!$E$104="","",IF(ISNUMBER(INDEX('Checklist'!$H$4:$H$503,_calc!$E$104)),TEXT(INDEX('Checklist'!$H$4:$H$503,_calc!$E$104),"yyyy-mm-dd"),""))</f>
        <v/>
      </c>
      <c r="F102" s="44">
        <f>IF(_calc!$E$104="","",TRIM(IF(LEN(IF(LEN(INDEX('Checklist'!$A$4:$A$503,_calc!$E$104))=0,"",INDEX('Checklist'!$A$4:$A$503,_calc!$E$104)))=0,"","Group: "&amp;IF(LEN(INDEX('Checklist'!$A$4:$A$503,_calc!$E$104))=0,"",INDEX('Checklist'!$A$4:$A$503,_calc!$E$104))&amp;". ")&amp;IF(LEN(IF(LEN(INDEX('Checklist'!$E$4:$E$503,_calc!$E$104))=0,"",INDEX('Checklist'!$E$4:$E$503,_calc!$E$104)))=0,"","Owner: "&amp;IF(LEN(INDEX('Checklist'!$E$4:$E$503,_calc!$E$104))=0,"",INDEX('Checklist'!$E$4:$E$503,_calc!$E$104))&amp;". ")&amp;IF(LEN(IF(LEN(INDEX('Checklist'!$F$4:$F$503,_calc!$E$104))=0,"",INDEX('Checklist'!$F$4:$F$503,_calc!$E$104)))=0,"","Backup: "&amp;IF(LEN(INDEX('Checklist'!$F$4:$F$503,_calc!$E$104))=0,"",INDEX('Checklist'!$F$4:$F$503,_calc!$E$104))&amp;". ")&amp;IF(LEN(IF(LEN(INDEX('Checklist'!$J$4:$J$503,_calc!$E$104))=0,"",INDEX('Checklist'!$J$4:$J$503,_calc!$E$104)))=0,"","Evidence: "&amp;IF(LEN(INDEX('Checklist'!$J$4:$J$503,_calc!$E$104))=0,"",INDEX('Checklist'!$J$4:$J$503,_calc!$E$104))&amp;". ")&amp;IF(LEN(IF(LEN(INDEX('Checklist'!$D$4:$D$503,_calc!$E$104))=0,"",INDEX('Checklist'!$D$4:$D$503,_calc!$E$104)))=0,"","Rule example: "&amp;IF(LEN(INDEX('Checklist'!$D$4:$D$503,_calc!$E$104))=0,"",INDEX('Checklist'!$D$4:$D$503,_calc!$E$104))&amp;". ")&amp;IF(LEN(IF(LEN(INDEX('Checklist'!$P$4:$P$503,_calc!$E$104))=0,"",INDEX('Checklist'!$P$4:$P$503,_calc!$E$104)))=0,"",IF(LEN(INDEX('Checklist'!$P$4:$P$503,_calc!$E$104))=0,"",INDEX('Checklist'!$P$4:$P$503,_calc!$E$104)))))</f>
        <v/>
      </c>
      <c r="K102" s="44">
        <f>IF(_calc!$E$104="","",IF(LEN(INDEX('Checklist'!$G$4:$G$503,_calc!$E$104))=0,"",INDEX('Checklist'!$G$4:$G$503,_calc!$E$104)))</f>
        <v/>
      </c>
    </row>
    <row r="103">
      <c r="A103" s="44">
        <f>IF(_calc!$E$105="","","Survey check – "&amp;IF(LEN(INDEX('Checklist'!$C$4:$C$503,_calc!$E$105))=0,"",INDEX('Checklist'!$C$4:$C$503,_calc!$E$105)))</f>
        <v/>
      </c>
      <c r="B103" s="44">
        <f>IF(_calc!$E$105="","",IF(ISNUMBER(INDEX('Checklist'!$L$4:$L$503,_calc!$E$105)),TEXT(INDEX('Checklist'!$L$4:$L$503,_calc!$E$105),"yyyy-mm-dd"),""))</f>
        <v/>
      </c>
      <c r="C103" s="44">
        <f>IF(_calc!$E$105="","","Survey readiness")</f>
        <v/>
      </c>
      <c r="D103" s="44">
        <f>IF(_calc!$E$105="","",IF(ISNUMBER(INDEX('Checklist'!$H$4:$H$503,_calc!$E$105)),TEXT(INDEX('Checklist'!$H$4:$H$503,_calc!$E$105),"yyyy-mm-dd"),""))</f>
        <v/>
      </c>
      <c r="F103" s="44">
        <f>IF(_calc!$E$105="","",TRIM(IF(LEN(IF(LEN(INDEX('Checklist'!$A$4:$A$503,_calc!$E$105))=0,"",INDEX('Checklist'!$A$4:$A$503,_calc!$E$105)))=0,"","Group: "&amp;IF(LEN(INDEX('Checklist'!$A$4:$A$503,_calc!$E$105))=0,"",INDEX('Checklist'!$A$4:$A$503,_calc!$E$105))&amp;". ")&amp;IF(LEN(IF(LEN(INDEX('Checklist'!$E$4:$E$503,_calc!$E$105))=0,"",INDEX('Checklist'!$E$4:$E$503,_calc!$E$105)))=0,"","Owner: "&amp;IF(LEN(INDEX('Checklist'!$E$4:$E$503,_calc!$E$105))=0,"",INDEX('Checklist'!$E$4:$E$503,_calc!$E$105))&amp;". ")&amp;IF(LEN(IF(LEN(INDEX('Checklist'!$F$4:$F$503,_calc!$E$105))=0,"",INDEX('Checklist'!$F$4:$F$503,_calc!$E$105)))=0,"","Backup: "&amp;IF(LEN(INDEX('Checklist'!$F$4:$F$503,_calc!$E$105))=0,"",INDEX('Checklist'!$F$4:$F$503,_calc!$E$105))&amp;". ")&amp;IF(LEN(IF(LEN(INDEX('Checklist'!$J$4:$J$503,_calc!$E$105))=0,"",INDEX('Checklist'!$J$4:$J$503,_calc!$E$105)))=0,"","Evidence: "&amp;IF(LEN(INDEX('Checklist'!$J$4:$J$503,_calc!$E$105))=0,"",INDEX('Checklist'!$J$4:$J$503,_calc!$E$105))&amp;". ")&amp;IF(LEN(IF(LEN(INDEX('Checklist'!$D$4:$D$503,_calc!$E$105))=0,"",INDEX('Checklist'!$D$4:$D$503,_calc!$E$105)))=0,"","Rule example: "&amp;IF(LEN(INDEX('Checklist'!$D$4:$D$503,_calc!$E$105))=0,"",INDEX('Checklist'!$D$4:$D$503,_calc!$E$105))&amp;". ")&amp;IF(LEN(IF(LEN(INDEX('Checklist'!$P$4:$P$503,_calc!$E$105))=0,"",INDEX('Checklist'!$P$4:$P$503,_calc!$E$105)))=0,"",IF(LEN(INDEX('Checklist'!$P$4:$P$503,_calc!$E$105))=0,"",INDEX('Checklist'!$P$4:$P$503,_calc!$E$105)))))</f>
        <v/>
      </c>
      <c r="K103" s="44">
        <f>IF(_calc!$E$105="","",IF(LEN(INDEX('Checklist'!$G$4:$G$503,_calc!$E$105))=0,"",INDEX('Checklist'!$G$4:$G$503,_calc!$E$105)))</f>
        <v/>
      </c>
    </row>
    <row r="104">
      <c r="A104" s="44">
        <f>IF(_calc!$E$106="","","Survey check – "&amp;IF(LEN(INDEX('Checklist'!$C$4:$C$503,_calc!$E$106))=0,"",INDEX('Checklist'!$C$4:$C$503,_calc!$E$106)))</f>
        <v/>
      </c>
      <c r="B104" s="44">
        <f>IF(_calc!$E$106="","",IF(ISNUMBER(INDEX('Checklist'!$L$4:$L$503,_calc!$E$106)),TEXT(INDEX('Checklist'!$L$4:$L$503,_calc!$E$106),"yyyy-mm-dd"),""))</f>
        <v/>
      </c>
      <c r="C104" s="44">
        <f>IF(_calc!$E$106="","","Survey readiness")</f>
        <v/>
      </c>
      <c r="D104" s="44">
        <f>IF(_calc!$E$106="","",IF(ISNUMBER(INDEX('Checklist'!$H$4:$H$503,_calc!$E$106)),TEXT(INDEX('Checklist'!$H$4:$H$503,_calc!$E$106),"yyyy-mm-dd"),""))</f>
        <v/>
      </c>
      <c r="F104" s="44">
        <f>IF(_calc!$E$106="","",TRIM(IF(LEN(IF(LEN(INDEX('Checklist'!$A$4:$A$503,_calc!$E$106))=0,"",INDEX('Checklist'!$A$4:$A$503,_calc!$E$106)))=0,"","Group: "&amp;IF(LEN(INDEX('Checklist'!$A$4:$A$503,_calc!$E$106))=0,"",INDEX('Checklist'!$A$4:$A$503,_calc!$E$106))&amp;". ")&amp;IF(LEN(IF(LEN(INDEX('Checklist'!$E$4:$E$503,_calc!$E$106))=0,"",INDEX('Checklist'!$E$4:$E$503,_calc!$E$106)))=0,"","Owner: "&amp;IF(LEN(INDEX('Checklist'!$E$4:$E$503,_calc!$E$106))=0,"",INDEX('Checklist'!$E$4:$E$503,_calc!$E$106))&amp;". ")&amp;IF(LEN(IF(LEN(INDEX('Checklist'!$F$4:$F$503,_calc!$E$106))=0,"",INDEX('Checklist'!$F$4:$F$503,_calc!$E$106)))=0,"","Backup: "&amp;IF(LEN(INDEX('Checklist'!$F$4:$F$503,_calc!$E$106))=0,"",INDEX('Checklist'!$F$4:$F$503,_calc!$E$106))&amp;". ")&amp;IF(LEN(IF(LEN(INDEX('Checklist'!$J$4:$J$503,_calc!$E$106))=0,"",INDEX('Checklist'!$J$4:$J$503,_calc!$E$106)))=0,"","Evidence: "&amp;IF(LEN(INDEX('Checklist'!$J$4:$J$503,_calc!$E$106))=0,"",INDEX('Checklist'!$J$4:$J$503,_calc!$E$106))&amp;". ")&amp;IF(LEN(IF(LEN(INDEX('Checklist'!$D$4:$D$503,_calc!$E$106))=0,"",INDEX('Checklist'!$D$4:$D$503,_calc!$E$106)))=0,"","Rule example: "&amp;IF(LEN(INDEX('Checklist'!$D$4:$D$503,_calc!$E$106))=0,"",INDEX('Checklist'!$D$4:$D$503,_calc!$E$106))&amp;". ")&amp;IF(LEN(IF(LEN(INDEX('Checklist'!$P$4:$P$503,_calc!$E$106))=0,"",INDEX('Checklist'!$P$4:$P$503,_calc!$E$106)))=0,"",IF(LEN(INDEX('Checklist'!$P$4:$P$503,_calc!$E$106))=0,"",INDEX('Checklist'!$P$4:$P$503,_calc!$E$106)))))</f>
        <v/>
      </c>
      <c r="K104" s="44">
        <f>IF(_calc!$E$106="","",IF(LEN(INDEX('Checklist'!$G$4:$G$503,_calc!$E$106))=0,"",INDEX('Checklist'!$G$4:$G$503,_calc!$E$106)))</f>
        <v/>
      </c>
    </row>
    <row r="105">
      <c r="A105" s="44">
        <f>IF(_calc!$E$107="","","Survey check – "&amp;IF(LEN(INDEX('Checklist'!$C$4:$C$503,_calc!$E$107))=0,"",INDEX('Checklist'!$C$4:$C$503,_calc!$E$107)))</f>
        <v/>
      </c>
      <c r="B105" s="44">
        <f>IF(_calc!$E$107="","",IF(ISNUMBER(INDEX('Checklist'!$L$4:$L$503,_calc!$E$107)),TEXT(INDEX('Checklist'!$L$4:$L$503,_calc!$E$107),"yyyy-mm-dd"),""))</f>
        <v/>
      </c>
      <c r="C105" s="44">
        <f>IF(_calc!$E$107="","","Survey readiness")</f>
        <v/>
      </c>
      <c r="D105" s="44">
        <f>IF(_calc!$E$107="","",IF(ISNUMBER(INDEX('Checklist'!$H$4:$H$503,_calc!$E$107)),TEXT(INDEX('Checklist'!$H$4:$H$503,_calc!$E$107),"yyyy-mm-dd"),""))</f>
        <v/>
      </c>
      <c r="F105" s="44">
        <f>IF(_calc!$E$107="","",TRIM(IF(LEN(IF(LEN(INDEX('Checklist'!$A$4:$A$503,_calc!$E$107))=0,"",INDEX('Checklist'!$A$4:$A$503,_calc!$E$107)))=0,"","Group: "&amp;IF(LEN(INDEX('Checklist'!$A$4:$A$503,_calc!$E$107))=0,"",INDEX('Checklist'!$A$4:$A$503,_calc!$E$107))&amp;". ")&amp;IF(LEN(IF(LEN(INDEX('Checklist'!$E$4:$E$503,_calc!$E$107))=0,"",INDEX('Checklist'!$E$4:$E$503,_calc!$E$107)))=0,"","Owner: "&amp;IF(LEN(INDEX('Checklist'!$E$4:$E$503,_calc!$E$107))=0,"",INDEX('Checklist'!$E$4:$E$503,_calc!$E$107))&amp;". ")&amp;IF(LEN(IF(LEN(INDEX('Checklist'!$F$4:$F$503,_calc!$E$107))=0,"",INDEX('Checklist'!$F$4:$F$503,_calc!$E$107)))=0,"","Backup: "&amp;IF(LEN(INDEX('Checklist'!$F$4:$F$503,_calc!$E$107))=0,"",INDEX('Checklist'!$F$4:$F$503,_calc!$E$107))&amp;". ")&amp;IF(LEN(IF(LEN(INDEX('Checklist'!$J$4:$J$503,_calc!$E$107))=0,"",INDEX('Checklist'!$J$4:$J$503,_calc!$E$107)))=0,"","Evidence: "&amp;IF(LEN(INDEX('Checklist'!$J$4:$J$503,_calc!$E$107))=0,"",INDEX('Checklist'!$J$4:$J$503,_calc!$E$107))&amp;". ")&amp;IF(LEN(IF(LEN(INDEX('Checklist'!$D$4:$D$503,_calc!$E$107))=0,"",INDEX('Checklist'!$D$4:$D$503,_calc!$E$107)))=0,"","Rule example: "&amp;IF(LEN(INDEX('Checklist'!$D$4:$D$503,_calc!$E$107))=0,"",INDEX('Checklist'!$D$4:$D$503,_calc!$E$107))&amp;". ")&amp;IF(LEN(IF(LEN(INDEX('Checklist'!$P$4:$P$503,_calc!$E$107))=0,"",INDEX('Checklist'!$P$4:$P$503,_calc!$E$107)))=0,"",IF(LEN(INDEX('Checklist'!$P$4:$P$503,_calc!$E$107))=0,"",INDEX('Checklist'!$P$4:$P$503,_calc!$E$107)))))</f>
        <v/>
      </c>
      <c r="K105" s="44">
        <f>IF(_calc!$E$107="","",IF(LEN(INDEX('Checklist'!$G$4:$G$503,_calc!$E$107))=0,"",INDEX('Checklist'!$G$4:$G$503,_calc!$E$107)))</f>
        <v/>
      </c>
    </row>
    <row r="106">
      <c r="A106" s="44">
        <f>IF(_calc!$E$108="","","Survey check – "&amp;IF(LEN(INDEX('Checklist'!$C$4:$C$503,_calc!$E$108))=0,"",INDEX('Checklist'!$C$4:$C$503,_calc!$E$108)))</f>
        <v/>
      </c>
      <c r="B106" s="44">
        <f>IF(_calc!$E$108="","",IF(ISNUMBER(INDEX('Checklist'!$L$4:$L$503,_calc!$E$108)),TEXT(INDEX('Checklist'!$L$4:$L$503,_calc!$E$108),"yyyy-mm-dd"),""))</f>
        <v/>
      </c>
      <c r="C106" s="44">
        <f>IF(_calc!$E$108="","","Survey readiness")</f>
        <v/>
      </c>
      <c r="D106" s="44">
        <f>IF(_calc!$E$108="","",IF(ISNUMBER(INDEX('Checklist'!$H$4:$H$503,_calc!$E$108)),TEXT(INDEX('Checklist'!$H$4:$H$503,_calc!$E$108),"yyyy-mm-dd"),""))</f>
        <v/>
      </c>
      <c r="F106" s="44">
        <f>IF(_calc!$E$108="","",TRIM(IF(LEN(IF(LEN(INDEX('Checklist'!$A$4:$A$503,_calc!$E$108))=0,"",INDEX('Checklist'!$A$4:$A$503,_calc!$E$108)))=0,"","Group: "&amp;IF(LEN(INDEX('Checklist'!$A$4:$A$503,_calc!$E$108))=0,"",INDEX('Checklist'!$A$4:$A$503,_calc!$E$108))&amp;". ")&amp;IF(LEN(IF(LEN(INDEX('Checklist'!$E$4:$E$503,_calc!$E$108))=0,"",INDEX('Checklist'!$E$4:$E$503,_calc!$E$108)))=0,"","Owner: "&amp;IF(LEN(INDEX('Checklist'!$E$4:$E$503,_calc!$E$108))=0,"",INDEX('Checklist'!$E$4:$E$503,_calc!$E$108))&amp;". ")&amp;IF(LEN(IF(LEN(INDEX('Checklist'!$F$4:$F$503,_calc!$E$108))=0,"",INDEX('Checklist'!$F$4:$F$503,_calc!$E$108)))=0,"","Backup: "&amp;IF(LEN(INDEX('Checklist'!$F$4:$F$503,_calc!$E$108))=0,"",INDEX('Checklist'!$F$4:$F$503,_calc!$E$108))&amp;". ")&amp;IF(LEN(IF(LEN(INDEX('Checklist'!$J$4:$J$503,_calc!$E$108))=0,"",INDEX('Checklist'!$J$4:$J$503,_calc!$E$108)))=0,"","Evidence: "&amp;IF(LEN(INDEX('Checklist'!$J$4:$J$503,_calc!$E$108))=0,"",INDEX('Checklist'!$J$4:$J$503,_calc!$E$108))&amp;". ")&amp;IF(LEN(IF(LEN(INDEX('Checklist'!$D$4:$D$503,_calc!$E$108))=0,"",INDEX('Checklist'!$D$4:$D$503,_calc!$E$108)))=0,"","Rule example: "&amp;IF(LEN(INDEX('Checklist'!$D$4:$D$503,_calc!$E$108))=0,"",INDEX('Checklist'!$D$4:$D$503,_calc!$E$108))&amp;". ")&amp;IF(LEN(IF(LEN(INDEX('Checklist'!$P$4:$P$503,_calc!$E$108))=0,"",INDEX('Checklist'!$P$4:$P$503,_calc!$E$108)))=0,"",IF(LEN(INDEX('Checklist'!$P$4:$P$503,_calc!$E$108))=0,"",INDEX('Checklist'!$P$4:$P$503,_calc!$E$108)))))</f>
        <v/>
      </c>
      <c r="K106" s="44">
        <f>IF(_calc!$E$108="","",IF(LEN(INDEX('Checklist'!$G$4:$G$503,_calc!$E$108))=0,"",INDEX('Checklist'!$G$4:$G$503,_calc!$E$108)))</f>
        <v/>
      </c>
    </row>
    <row r="107">
      <c r="A107" s="44">
        <f>IF(_calc!$E$109="","","Survey check – "&amp;IF(LEN(INDEX('Checklist'!$C$4:$C$503,_calc!$E$109))=0,"",INDEX('Checklist'!$C$4:$C$503,_calc!$E$109)))</f>
        <v/>
      </c>
      <c r="B107" s="44">
        <f>IF(_calc!$E$109="","",IF(ISNUMBER(INDEX('Checklist'!$L$4:$L$503,_calc!$E$109)),TEXT(INDEX('Checklist'!$L$4:$L$503,_calc!$E$109),"yyyy-mm-dd"),""))</f>
        <v/>
      </c>
      <c r="C107" s="44">
        <f>IF(_calc!$E$109="","","Survey readiness")</f>
        <v/>
      </c>
      <c r="D107" s="44">
        <f>IF(_calc!$E$109="","",IF(ISNUMBER(INDEX('Checklist'!$H$4:$H$503,_calc!$E$109)),TEXT(INDEX('Checklist'!$H$4:$H$503,_calc!$E$109),"yyyy-mm-dd"),""))</f>
        <v/>
      </c>
      <c r="F107" s="44">
        <f>IF(_calc!$E$109="","",TRIM(IF(LEN(IF(LEN(INDEX('Checklist'!$A$4:$A$503,_calc!$E$109))=0,"",INDEX('Checklist'!$A$4:$A$503,_calc!$E$109)))=0,"","Group: "&amp;IF(LEN(INDEX('Checklist'!$A$4:$A$503,_calc!$E$109))=0,"",INDEX('Checklist'!$A$4:$A$503,_calc!$E$109))&amp;". ")&amp;IF(LEN(IF(LEN(INDEX('Checklist'!$E$4:$E$503,_calc!$E$109))=0,"",INDEX('Checklist'!$E$4:$E$503,_calc!$E$109)))=0,"","Owner: "&amp;IF(LEN(INDEX('Checklist'!$E$4:$E$503,_calc!$E$109))=0,"",INDEX('Checklist'!$E$4:$E$503,_calc!$E$109))&amp;". ")&amp;IF(LEN(IF(LEN(INDEX('Checklist'!$F$4:$F$503,_calc!$E$109))=0,"",INDEX('Checklist'!$F$4:$F$503,_calc!$E$109)))=0,"","Backup: "&amp;IF(LEN(INDEX('Checklist'!$F$4:$F$503,_calc!$E$109))=0,"",INDEX('Checklist'!$F$4:$F$503,_calc!$E$109))&amp;". ")&amp;IF(LEN(IF(LEN(INDEX('Checklist'!$J$4:$J$503,_calc!$E$109))=0,"",INDEX('Checklist'!$J$4:$J$503,_calc!$E$109)))=0,"","Evidence: "&amp;IF(LEN(INDEX('Checklist'!$J$4:$J$503,_calc!$E$109))=0,"",INDEX('Checklist'!$J$4:$J$503,_calc!$E$109))&amp;". ")&amp;IF(LEN(IF(LEN(INDEX('Checklist'!$D$4:$D$503,_calc!$E$109))=0,"",INDEX('Checklist'!$D$4:$D$503,_calc!$E$109)))=0,"","Rule example: "&amp;IF(LEN(INDEX('Checklist'!$D$4:$D$503,_calc!$E$109))=0,"",INDEX('Checklist'!$D$4:$D$503,_calc!$E$109))&amp;". ")&amp;IF(LEN(IF(LEN(INDEX('Checklist'!$P$4:$P$503,_calc!$E$109))=0,"",INDEX('Checklist'!$P$4:$P$503,_calc!$E$109)))=0,"",IF(LEN(INDEX('Checklist'!$P$4:$P$503,_calc!$E$109))=0,"",INDEX('Checklist'!$P$4:$P$503,_calc!$E$109)))))</f>
        <v/>
      </c>
      <c r="K107" s="44">
        <f>IF(_calc!$E$109="","",IF(LEN(INDEX('Checklist'!$G$4:$G$503,_calc!$E$109))=0,"",INDEX('Checklist'!$G$4:$G$503,_calc!$E$109)))</f>
        <v/>
      </c>
    </row>
    <row r="108">
      <c r="A108" s="44">
        <f>IF(_calc!$E$110="","","Survey check – "&amp;IF(LEN(INDEX('Checklist'!$C$4:$C$503,_calc!$E$110))=0,"",INDEX('Checklist'!$C$4:$C$503,_calc!$E$110)))</f>
        <v/>
      </c>
      <c r="B108" s="44">
        <f>IF(_calc!$E$110="","",IF(ISNUMBER(INDEX('Checklist'!$L$4:$L$503,_calc!$E$110)),TEXT(INDEX('Checklist'!$L$4:$L$503,_calc!$E$110),"yyyy-mm-dd"),""))</f>
        <v/>
      </c>
      <c r="C108" s="44">
        <f>IF(_calc!$E$110="","","Survey readiness")</f>
        <v/>
      </c>
      <c r="D108" s="44">
        <f>IF(_calc!$E$110="","",IF(ISNUMBER(INDEX('Checklist'!$H$4:$H$503,_calc!$E$110)),TEXT(INDEX('Checklist'!$H$4:$H$503,_calc!$E$110),"yyyy-mm-dd"),""))</f>
        <v/>
      </c>
      <c r="F108" s="44">
        <f>IF(_calc!$E$110="","",TRIM(IF(LEN(IF(LEN(INDEX('Checklist'!$A$4:$A$503,_calc!$E$110))=0,"",INDEX('Checklist'!$A$4:$A$503,_calc!$E$110)))=0,"","Group: "&amp;IF(LEN(INDEX('Checklist'!$A$4:$A$503,_calc!$E$110))=0,"",INDEX('Checklist'!$A$4:$A$503,_calc!$E$110))&amp;". ")&amp;IF(LEN(IF(LEN(INDEX('Checklist'!$E$4:$E$503,_calc!$E$110))=0,"",INDEX('Checklist'!$E$4:$E$503,_calc!$E$110)))=0,"","Owner: "&amp;IF(LEN(INDEX('Checklist'!$E$4:$E$503,_calc!$E$110))=0,"",INDEX('Checklist'!$E$4:$E$503,_calc!$E$110))&amp;". ")&amp;IF(LEN(IF(LEN(INDEX('Checklist'!$F$4:$F$503,_calc!$E$110))=0,"",INDEX('Checklist'!$F$4:$F$503,_calc!$E$110)))=0,"","Backup: "&amp;IF(LEN(INDEX('Checklist'!$F$4:$F$503,_calc!$E$110))=0,"",INDEX('Checklist'!$F$4:$F$503,_calc!$E$110))&amp;". ")&amp;IF(LEN(IF(LEN(INDEX('Checklist'!$J$4:$J$503,_calc!$E$110))=0,"",INDEX('Checklist'!$J$4:$J$503,_calc!$E$110)))=0,"","Evidence: "&amp;IF(LEN(INDEX('Checklist'!$J$4:$J$503,_calc!$E$110))=0,"",INDEX('Checklist'!$J$4:$J$503,_calc!$E$110))&amp;". ")&amp;IF(LEN(IF(LEN(INDEX('Checklist'!$D$4:$D$503,_calc!$E$110))=0,"",INDEX('Checklist'!$D$4:$D$503,_calc!$E$110)))=0,"","Rule example: "&amp;IF(LEN(INDEX('Checklist'!$D$4:$D$503,_calc!$E$110))=0,"",INDEX('Checklist'!$D$4:$D$503,_calc!$E$110))&amp;". ")&amp;IF(LEN(IF(LEN(INDEX('Checklist'!$P$4:$P$503,_calc!$E$110))=0,"",INDEX('Checklist'!$P$4:$P$503,_calc!$E$110)))=0,"",IF(LEN(INDEX('Checklist'!$P$4:$P$503,_calc!$E$110))=0,"",INDEX('Checklist'!$P$4:$P$503,_calc!$E$110)))))</f>
        <v/>
      </c>
      <c r="K108" s="44">
        <f>IF(_calc!$E$110="","",IF(LEN(INDEX('Checklist'!$G$4:$G$503,_calc!$E$110))=0,"",INDEX('Checklist'!$G$4:$G$503,_calc!$E$110)))</f>
        <v/>
      </c>
    </row>
    <row r="109">
      <c r="A109" s="44">
        <f>IF(_calc!$E$111="","","Survey check – "&amp;IF(LEN(INDEX('Checklist'!$C$4:$C$503,_calc!$E$111))=0,"",INDEX('Checklist'!$C$4:$C$503,_calc!$E$111)))</f>
        <v/>
      </c>
      <c r="B109" s="44">
        <f>IF(_calc!$E$111="","",IF(ISNUMBER(INDEX('Checklist'!$L$4:$L$503,_calc!$E$111)),TEXT(INDEX('Checklist'!$L$4:$L$503,_calc!$E$111),"yyyy-mm-dd"),""))</f>
        <v/>
      </c>
      <c r="C109" s="44">
        <f>IF(_calc!$E$111="","","Survey readiness")</f>
        <v/>
      </c>
      <c r="D109" s="44">
        <f>IF(_calc!$E$111="","",IF(ISNUMBER(INDEX('Checklist'!$H$4:$H$503,_calc!$E$111)),TEXT(INDEX('Checklist'!$H$4:$H$503,_calc!$E$111),"yyyy-mm-dd"),""))</f>
        <v/>
      </c>
      <c r="F109" s="44">
        <f>IF(_calc!$E$111="","",TRIM(IF(LEN(IF(LEN(INDEX('Checklist'!$A$4:$A$503,_calc!$E$111))=0,"",INDEX('Checklist'!$A$4:$A$503,_calc!$E$111)))=0,"","Group: "&amp;IF(LEN(INDEX('Checklist'!$A$4:$A$503,_calc!$E$111))=0,"",INDEX('Checklist'!$A$4:$A$503,_calc!$E$111))&amp;". ")&amp;IF(LEN(IF(LEN(INDEX('Checklist'!$E$4:$E$503,_calc!$E$111))=0,"",INDEX('Checklist'!$E$4:$E$503,_calc!$E$111)))=0,"","Owner: "&amp;IF(LEN(INDEX('Checklist'!$E$4:$E$503,_calc!$E$111))=0,"",INDEX('Checklist'!$E$4:$E$503,_calc!$E$111))&amp;". ")&amp;IF(LEN(IF(LEN(INDEX('Checklist'!$F$4:$F$503,_calc!$E$111))=0,"",INDEX('Checklist'!$F$4:$F$503,_calc!$E$111)))=0,"","Backup: "&amp;IF(LEN(INDEX('Checklist'!$F$4:$F$503,_calc!$E$111))=0,"",INDEX('Checklist'!$F$4:$F$503,_calc!$E$111))&amp;". ")&amp;IF(LEN(IF(LEN(INDEX('Checklist'!$J$4:$J$503,_calc!$E$111))=0,"",INDEX('Checklist'!$J$4:$J$503,_calc!$E$111)))=0,"","Evidence: "&amp;IF(LEN(INDEX('Checklist'!$J$4:$J$503,_calc!$E$111))=0,"",INDEX('Checklist'!$J$4:$J$503,_calc!$E$111))&amp;". ")&amp;IF(LEN(IF(LEN(INDEX('Checklist'!$D$4:$D$503,_calc!$E$111))=0,"",INDEX('Checklist'!$D$4:$D$503,_calc!$E$111)))=0,"","Rule example: "&amp;IF(LEN(INDEX('Checklist'!$D$4:$D$503,_calc!$E$111))=0,"",INDEX('Checklist'!$D$4:$D$503,_calc!$E$111))&amp;". ")&amp;IF(LEN(IF(LEN(INDEX('Checklist'!$P$4:$P$503,_calc!$E$111))=0,"",INDEX('Checklist'!$P$4:$P$503,_calc!$E$111)))=0,"",IF(LEN(INDEX('Checklist'!$P$4:$P$503,_calc!$E$111))=0,"",INDEX('Checklist'!$P$4:$P$503,_calc!$E$111)))))</f>
        <v/>
      </c>
      <c r="K109" s="44">
        <f>IF(_calc!$E$111="","",IF(LEN(INDEX('Checklist'!$G$4:$G$503,_calc!$E$111))=0,"",INDEX('Checklist'!$G$4:$G$503,_calc!$E$111)))</f>
        <v/>
      </c>
    </row>
    <row r="110">
      <c r="A110" s="44">
        <f>IF(_calc!$E$112="","","Survey check – "&amp;IF(LEN(INDEX('Checklist'!$C$4:$C$503,_calc!$E$112))=0,"",INDEX('Checklist'!$C$4:$C$503,_calc!$E$112)))</f>
        <v/>
      </c>
      <c r="B110" s="44">
        <f>IF(_calc!$E$112="","",IF(ISNUMBER(INDEX('Checklist'!$L$4:$L$503,_calc!$E$112)),TEXT(INDEX('Checklist'!$L$4:$L$503,_calc!$E$112),"yyyy-mm-dd"),""))</f>
        <v/>
      </c>
      <c r="C110" s="44">
        <f>IF(_calc!$E$112="","","Survey readiness")</f>
        <v/>
      </c>
      <c r="D110" s="44">
        <f>IF(_calc!$E$112="","",IF(ISNUMBER(INDEX('Checklist'!$H$4:$H$503,_calc!$E$112)),TEXT(INDEX('Checklist'!$H$4:$H$503,_calc!$E$112),"yyyy-mm-dd"),""))</f>
        <v/>
      </c>
      <c r="F110" s="44">
        <f>IF(_calc!$E$112="","",TRIM(IF(LEN(IF(LEN(INDEX('Checklist'!$A$4:$A$503,_calc!$E$112))=0,"",INDEX('Checklist'!$A$4:$A$503,_calc!$E$112)))=0,"","Group: "&amp;IF(LEN(INDEX('Checklist'!$A$4:$A$503,_calc!$E$112))=0,"",INDEX('Checklist'!$A$4:$A$503,_calc!$E$112))&amp;". ")&amp;IF(LEN(IF(LEN(INDEX('Checklist'!$E$4:$E$503,_calc!$E$112))=0,"",INDEX('Checklist'!$E$4:$E$503,_calc!$E$112)))=0,"","Owner: "&amp;IF(LEN(INDEX('Checklist'!$E$4:$E$503,_calc!$E$112))=0,"",INDEX('Checklist'!$E$4:$E$503,_calc!$E$112))&amp;". ")&amp;IF(LEN(IF(LEN(INDEX('Checklist'!$F$4:$F$503,_calc!$E$112))=0,"",INDEX('Checklist'!$F$4:$F$503,_calc!$E$112)))=0,"","Backup: "&amp;IF(LEN(INDEX('Checklist'!$F$4:$F$503,_calc!$E$112))=0,"",INDEX('Checklist'!$F$4:$F$503,_calc!$E$112))&amp;". ")&amp;IF(LEN(IF(LEN(INDEX('Checklist'!$J$4:$J$503,_calc!$E$112))=0,"",INDEX('Checklist'!$J$4:$J$503,_calc!$E$112)))=0,"","Evidence: "&amp;IF(LEN(INDEX('Checklist'!$J$4:$J$503,_calc!$E$112))=0,"",INDEX('Checklist'!$J$4:$J$503,_calc!$E$112))&amp;". ")&amp;IF(LEN(IF(LEN(INDEX('Checklist'!$D$4:$D$503,_calc!$E$112))=0,"",INDEX('Checklist'!$D$4:$D$503,_calc!$E$112)))=0,"","Rule example: "&amp;IF(LEN(INDEX('Checklist'!$D$4:$D$503,_calc!$E$112))=0,"",INDEX('Checklist'!$D$4:$D$503,_calc!$E$112))&amp;". ")&amp;IF(LEN(IF(LEN(INDEX('Checklist'!$P$4:$P$503,_calc!$E$112))=0,"",INDEX('Checklist'!$P$4:$P$503,_calc!$E$112)))=0,"",IF(LEN(INDEX('Checklist'!$P$4:$P$503,_calc!$E$112))=0,"",INDEX('Checklist'!$P$4:$P$503,_calc!$E$112)))))</f>
        <v/>
      </c>
      <c r="K110" s="44">
        <f>IF(_calc!$E$112="","",IF(LEN(INDEX('Checklist'!$G$4:$G$503,_calc!$E$112))=0,"",INDEX('Checklist'!$G$4:$G$503,_calc!$E$112)))</f>
        <v/>
      </c>
    </row>
    <row r="111">
      <c r="A111" s="44">
        <f>IF(_calc!$E$113="","","Survey check – "&amp;IF(LEN(INDEX('Checklist'!$C$4:$C$503,_calc!$E$113))=0,"",INDEX('Checklist'!$C$4:$C$503,_calc!$E$113)))</f>
        <v/>
      </c>
      <c r="B111" s="44">
        <f>IF(_calc!$E$113="","",IF(ISNUMBER(INDEX('Checklist'!$L$4:$L$503,_calc!$E$113)),TEXT(INDEX('Checklist'!$L$4:$L$503,_calc!$E$113),"yyyy-mm-dd"),""))</f>
        <v/>
      </c>
      <c r="C111" s="44">
        <f>IF(_calc!$E$113="","","Survey readiness")</f>
        <v/>
      </c>
      <c r="D111" s="44">
        <f>IF(_calc!$E$113="","",IF(ISNUMBER(INDEX('Checklist'!$H$4:$H$503,_calc!$E$113)),TEXT(INDEX('Checklist'!$H$4:$H$503,_calc!$E$113),"yyyy-mm-dd"),""))</f>
        <v/>
      </c>
      <c r="F111" s="44">
        <f>IF(_calc!$E$113="","",TRIM(IF(LEN(IF(LEN(INDEX('Checklist'!$A$4:$A$503,_calc!$E$113))=0,"",INDEX('Checklist'!$A$4:$A$503,_calc!$E$113)))=0,"","Group: "&amp;IF(LEN(INDEX('Checklist'!$A$4:$A$503,_calc!$E$113))=0,"",INDEX('Checklist'!$A$4:$A$503,_calc!$E$113))&amp;". ")&amp;IF(LEN(IF(LEN(INDEX('Checklist'!$E$4:$E$503,_calc!$E$113))=0,"",INDEX('Checklist'!$E$4:$E$503,_calc!$E$113)))=0,"","Owner: "&amp;IF(LEN(INDEX('Checklist'!$E$4:$E$503,_calc!$E$113))=0,"",INDEX('Checklist'!$E$4:$E$503,_calc!$E$113))&amp;". ")&amp;IF(LEN(IF(LEN(INDEX('Checklist'!$F$4:$F$503,_calc!$E$113))=0,"",INDEX('Checklist'!$F$4:$F$503,_calc!$E$113)))=0,"","Backup: "&amp;IF(LEN(INDEX('Checklist'!$F$4:$F$503,_calc!$E$113))=0,"",INDEX('Checklist'!$F$4:$F$503,_calc!$E$113))&amp;". ")&amp;IF(LEN(IF(LEN(INDEX('Checklist'!$J$4:$J$503,_calc!$E$113))=0,"",INDEX('Checklist'!$J$4:$J$503,_calc!$E$113)))=0,"","Evidence: "&amp;IF(LEN(INDEX('Checklist'!$J$4:$J$503,_calc!$E$113))=0,"",INDEX('Checklist'!$J$4:$J$503,_calc!$E$113))&amp;". ")&amp;IF(LEN(IF(LEN(INDEX('Checklist'!$D$4:$D$503,_calc!$E$113))=0,"",INDEX('Checklist'!$D$4:$D$503,_calc!$E$113)))=0,"","Rule example: "&amp;IF(LEN(INDEX('Checklist'!$D$4:$D$503,_calc!$E$113))=0,"",INDEX('Checklist'!$D$4:$D$503,_calc!$E$113))&amp;". ")&amp;IF(LEN(IF(LEN(INDEX('Checklist'!$P$4:$P$503,_calc!$E$113))=0,"",INDEX('Checklist'!$P$4:$P$503,_calc!$E$113)))=0,"",IF(LEN(INDEX('Checklist'!$P$4:$P$503,_calc!$E$113))=0,"",INDEX('Checklist'!$P$4:$P$503,_calc!$E$113)))))</f>
        <v/>
      </c>
      <c r="K111" s="44">
        <f>IF(_calc!$E$113="","",IF(LEN(INDEX('Checklist'!$G$4:$G$503,_calc!$E$113))=0,"",INDEX('Checklist'!$G$4:$G$503,_calc!$E$113)))</f>
        <v/>
      </c>
    </row>
    <row r="112">
      <c r="A112" s="44">
        <f>IF(_calc!$E$114="","","Survey check – "&amp;IF(LEN(INDEX('Checklist'!$C$4:$C$503,_calc!$E$114))=0,"",INDEX('Checklist'!$C$4:$C$503,_calc!$E$114)))</f>
        <v/>
      </c>
      <c r="B112" s="44">
        <f>IF(_calc!$E$114="","",IF(ISNUMBER(INDEX('Checklist'!$L$4:$L$503,_calc!$E$114)),TEXT(INDEX('Checklist'!$L$4:$L$503,_calc!$E$114),"yyyy-mm-dd"),""))</f>
        <v/>
      </c>
      <c r="C112" s="44">
        <f>IF(_calc!$E$114="","","Survey readiness")</f>
        <v/>
      </c>
      <c r="D112" s="44">
        <f>IF(_calc!$E$114="","",IF(ISNUMBER(INDEX('Checklist'!$H$4:$H$503,_calc!$E$114)),TEXT(INDEX('Checklist'!$H$4:$H$503,_calc!$E$114),"yyyy-mm-dd"),""))</f>
        <v/>
      </c>
      <c r="F112" s="44">
        <f>IF(_calc!$E$114="","",TRIM(IF(LEN(IF(LEN(INDEX('Checklist'!$A$4:$A$503,_calc!$E$114))=0,"",INDEX('Checklist'!$A$4:$A$503,_calc!$E$114)))=0,"","Group: "&amp;IF(LEN(INDEX('Checklist'!$A$4:$A$503,_calc!$E$114))=0,"",INDEX('Checklist'!$A$4:$A$503,_calc!$E$114))&amp;". ")&amp;IF(LEN(IF(LEN(INDEX('Checklist'!$E$4:$E$503,_calc!$E$114))=0,"",INDEX('Checklist'!$E$4:$E$503,_calc!$E$114)))=0,"","Owner: "&amp;IF(LEN(INDEX('Checklist'!$E$4:$E$503,_calc!$E$114))=0,"",INDEX('Checklist'!$E$4:$E$503,_calc!$E$114))&amp;". ")&amp;IF(LEN(IF(LEN(INDEX('Checklist'!$F$4:$F$503,_calc!$E$114))=0,"",INDEX('Checklist'!$F$4:$F$503,_calc!$E$114)))=0,"","Backup: "&amp;IF(LEN(INDEX('Checklist'!$F$4:$F$503,_calc!$E$114))=0,"",INDEX('Checklist'!$F$4:$F$503,_calc!$E$114))&amp;". ")&amp;IF(LEN(IF(LEN(INDEX('Checklist'!$J$4:$J$503,_calc!$E$114))=0,"",INDEX('Checklist'!$J$4:$J$503,_calc!$E$114)))=0,"","Evidence: "&amp;IF(LEN(INDEX('Checklist'!$J$4:$J$503,_calc!$E$114))=0,"",INDEX('Checklist'!$J$4:$J$503,_calc!$E$114))&amp;". ")&amp;IF(LEN(IF(LEN(INDEX('Checklist'!$D$4:$D$503,_calc!$E$114))=0,"",INDEX('Checklist'!$D$4:$D$503,_calc!$E$114)))=0,"","Rule example: "&amp;IF(LEN(INDEX('Checklist'!$D$4:$D$503,_calc!$E$114))=0,"",INDEX('Checklist'!$D$4:$D$503,_calc!$E$114))&amp;". ")&amp;IF(LEN(IF(LEN(INDEX('Checklist'!$P$4:$P$503,_calc!$E$114))=0,"",INDEX('Checklist'!$P$4:$P$503,_calc!$E$114)))=0,"",IF(LEN(INDEX('Checklist'!$P$4:$P$503,_calc!$E$114))=0,"",INDEX('Checklist'!$P$4:$P$503,_calc!$E$114)))))</f>
        <v/>
      </c>
      <c r="K112" s="44">
        <f>IF(_calc!$E$114="","",IF(LEN(INDEX('Checklist'!$G$4:$G$503,_calc!$E$114))=0,"",INDEX('Checklist'!$G$4:$G$503,_calc!$E$114)))</f>
        <v/>
      </c>
    </row>
    <row r="113">
      <c r="A113" s="44">
        <f>IF(_calc!$E$115="","","Survey check – "&amp;IF(LEN(INDEX('Checklist'!$C$4:$C$503,_calc!$E$115))=0,"",INDEX('Checklist'!$C$4:$C$503,_calc!$E$115)))</f>
        <v/>
      </c>
      <c r="B113" s="44">
        <f>IF(_calc!$E$115="","",IF(ISNUMBER(INDEX('Checklist'!$L$4:$L$503,_calc!$E$115)),TEXT(INDEX('Checklist'!$L$4:$L$503,_calc!$E$115),"yyyy-mm-dd"),""))</f>
        <v/>
      </c>
      <c r="C113" s="44">
        <f>IF(_calc!$E$115="","","Survey readiness")</f>
        <v/>
      </c>
      <c r="D113" s="44">
        <f>IF(_calc!$E$115="","",IF(ISNUMBER(INDEX('Checklist'!$H$4:$H$503,_calc!$E$115)),TEXT(INDEX('Checklist'!$H$4:$H$503,_calc!$E$115),"yyyy-mm-dd"),""))</f>
        <v/>
      </c>
      <c r="F113" s="44">
        <f>IF(_calc!$E$115="","",TRIM(IF(LEN(IF(LEN(INDEX('Checklist'!$A$4:$A$503,_calc!$E$115))=0,"",INDEX('Checklist'!$A$4:$A$503,_calc!$E$115)))=0,"","Group: "&amp;IF(LEN(INDEX('Checklist'!$A$4:$A$503,_calc!$E$115))=0,"",INDEX('Checklist'!$A$4:$A$503,_calc!$E$115))&amp;". ")&amp;IF(LEN(IF(LEN(INDEX('Checklist'!$E$4:$E$503,_calc!$E$115))=0,"",INDEX('Checklist'!$E$4:$E$503,_calc!$E$115)))=0,"","Owner: "&amp;IF(LEN(INDEX('Checklist'!$E$4:$E$503,_calc!$E$115))=0,"",INDEX('Checklist'!$E$4:$E$503,_calc!$E$115))&amp;". ")&amp;IF(LEN(IF(LEN(INDEX('Checklist'!$F$4:$F$503,_calc!$E$115))=0,"",INDEX('Checklist'!$F$4:$F$503,_calc!$E$115)))=0,"","Backup: "&amp;IF(LEN(INDEX('Checklist'!$F$4:$F$503,_calc!$E$115))=0,"",INDEX('Checklist'!$F$4:$F$503,_calc!$E$115))&amp;". ")&amp;IF(LEN(IF(LEN(INDEX('Checklist'!$J$4:$J$503,_calc!$E$115))=0,"",INDEX('Checklist'!$J$4:$J$503,_calc!$E$115)))=0,"","Evidence: "&amp;IF(LEN(INDEX('Checklist'!$J$4:$J$503,_calc!$E$115))=0,"",INDEX('Checklist'!$J$4:$J$503,_calc!$E$115))&amp;". ")&amp;IF(LEN(IF(LEN(INDEX('Checklist'!$D$4:$D$503,_calc!$E$115))=0,"",INDEX('Checklist'!$D$4:$D$503,_calc!$E$115)))=0,"","Rule example: "&amp;IF(LEN(INDEX('Checklist'!$D$4:$D$503,_calc!$E$115))=0,"",INDEX('Checklist'!$D$4:$D$503,_calc!$E$115))&amp;". ")&amp;IF(LEN(IF(LEN(INDEX('Checklist'!$P$4:$P$503,_calc!$E$115))=0,"",INDEX('Checklist'!$P$4:$P$503,_calc!$E$115)))=0,"",IF(LEN(INDEX('Checklist'!$P$4:$P$503,_calc!$E$115))=0,"",INDEX('Checklist'!$P$4:$P$503,_calc!$E$115)))))</f>
        <v/>
      </c>
      <c r="K113" s="44">
        <f>IF(_calc!$E$115="","",IF(LEN(INDEX('Checklist'!$G$4:$G$503,_calc!$E$115))=0,"",INDEX('Checklist'!$G$4:$G$503,_calc!$E$115)))</f>
        <v/>
      </c>
    </row>
    <row r="114">
      <c r="A114" s="44">
        <f>IF(_calc!$E$116="","","Survey check – "&amp;IF(LEN(INDEX('Checklist'!$C$4:$C$503,_calc!$E$116))=0,"",INDEX('Checklist'!$C$4:$C$503,_calc!$E$116)))</f>
        <v/>
      </c>
      <c r="B114" s="44">
        <f>IF(_calc!$E$116="","",IF(ISNUMBER(INDEX('Checklist'!$L$4:$L$503,_calc!$E$116)),TEXT(INDEX('Checklist'!$L$4:$L$503,_calc!$E$116),"yyyy-mm-dd"),""))</f>
        <v/>
      </c>
      <c r="C114" s="44">
        <f>IF(_calc!$E$116="","","Survey readiness")</f>
        <v/>
      </c>
      <c r="D114" s="44">
        <f>IF(_calc!$E$116="","",IF(ISNUMBER(INDEX('Checklist'!$H$4:$H$503,_calc!$E$116)),TEXT(INDEX('Checklist'!$H$4:$H$503,_calc!$E$116),"yyyy-mm-dd"),""))</f>
        <v/>
      </c>
      <c r="F114" s="44">
        <f>IF(_calc!$E$116="","",TRIM(IF(LEN(IF(LEN(INDEX('Checklist'!$A$4:$A$503,_calc!$E$116))=0,"",INDEX('Checklist'!$A$4:$A$503,_calc!$E$116)))=0,"","Group: "&amp;IF(LEN(INDEX('Checklist'!$A$4:$A$503,_calc!$E$116))=0,"",INDEX('Checklist'!$A$4:$A$503,_calc!$E$116))&amp;". ")&amp;IF(LEN(IF(LEN(INDEX('Checklist'!$E$4:$E$503,_calc!$E$116))=0,"",INDEX('Checklist'!$E$4:$E$503,_calc!$E$116)))=0,"","Owner: "&amp;IF(LEN(INDEX('Checklist'!$E$4:$E$503,_calc!$E$116))=0,"",INDEX('Checklist'!$E$4:$E$503,_calc!$E$116))&amp;". ")&amp;IF(LEN(IF(LEN(INDEX('Checklist'!$F$4:$F$503,_calc!$E$116))=0,"",INDEX('Checklist'!$F$4:$F$503,_calc!$E$116)))=0,"","Backup: "&amp;IF(LEN(INDEX('Checklist'!$F$4:$F$503,_calc!$E$116))=0,"",INDEX('Checklist'!$F$4:$F$503,_calc!$E$116))&amp;". ")&amp;IF(LEN(IF(LEN(INDEX('Checklist'!$J$4:$J$503,_calc!$E$116))=0,"",INDEX('Checklist'!$J$4:$J$503,_calc!$E$116)))=0,"","Evidence: "&amp;IF(LEN(INDEX('Checklist'!$J$4:$J$503,_calc!$E$116))=0,"",INDEX('Checklist'!$J$4:$J$503,_calc!$E$116))&amp;". ")&amp;IF(LEN(IF(LEN(INDEX('Checklist'!$D$4:$D$503,_calc!$E$116))=0,"",INDEX('Checklist'!$D$4:$D$503,_calc!$E$116)))=0,"","Rule example: "&amp;IF(LEN(INDEX('Checklist'!$D$4:$D$503,_calc!$E$116))=0,"",INDEX('Checklist'!$D$4:$D$503,_calc!$E$116))&amp;". ")&amp;IF(LEN(IF(LEN(INDEX('Checklist'!$P$4:$P$503,_calc!$E$116))=0,"",INDEX('Checklist'!$P$4:$P$503,_calc!$E$116)))=0,"",IF(LEN(INDEX('Checklist'!$P$4:$P$503,_calc!$E$116))=0,"",INDEX('Checklist'!$P$4:$P$503,_calc!$E$116)))))</f>
        <v/>
      </c>
      <c r="K114" s="44">
        <f>IF(_calc!$E$116="","",IF(LEN(INDEX('Checklist'!$G$4:$G$503,_calc!$E$116))=0,"",INDEX('Checklist'!$G$4:$G$503,_calc!$E$116)))</f>
        <v/>
      </c>
    </row>
    <row r="115">
      <c r="A115" s="44">
        <f>IF(_calc!$E$117="","","Survey check – "&amp;IF(LEN(INDEX('Checklist'!$C$4:$C$503,_calc!$E$117))=0,"",INDEX('Checklist'!$C$4:$C$503,_calc!$E$117)))</f>
        <v/>
      </c>
      <c r="B115" s="44">
        <f>IF(_calc!$E$117="","",IF(ISNUMBER(INDEX('Checklist'!$L$4:$L$503,_calc!$E$117)),TEXT(INDEX('Checklist'!$L$4:$L$503,_calc!$E$117),"yyyy-mm-dd"),""))</f>
        <v/>
      </c>
      <c r="C115" s="44">
        <f>IF(_calc!$E$117="","","Survey readiness")</f>
        <v/>
      </c>
      <c r="D115" s="44">
        <f>IF(_calc!$E$117="","",IF(ISNUMBER(INDEX('Checklist'!$H$4:$H$503,_calc!$E$117)),TEXT(INDEX('Checklist'!$H$4:$H$503,_calc!$E$117),"yyyy-mm-dd"),""))</f>
        <v/>
      </c>
      <c r="F115" s="44">
        <f>IF(_calc!$E$117="","",TRIM(IF(LEN(IF(LEN(INDEX('Checklist'!$A$4:$A$503,_calc!$E$117))=0,"",INDEX('Checklist'!$A$4:$A$503,_calc!$E$117)))=0,"","Group: "&amp;IF(LEN(INDEX('Checklist'!$A$4:$A$503,_calc!$E$117))=0,"",INDEX('Checklist'!$A$4:$A$503,_calc!$E$117))&amp;". ")&amp;IF(LEN(IF(LEN(INDEX('Checklist'!$E$4:$E$503,_calc!$E$117))=0,"",INDEX('Checklist'!$E$4:$E$503,_calc!$E$117)))=0,"","Owner: "&amp;IF(LEN(INDEX('Checklist'!$E$4:$E$503,_calc!$E$117))=0,"",INDEX('Checklist'!$E$4:$E$503,_calc!$E$117))&amp;". ")&amp;IF(LEN(IF(LEN(INDEX('Checklist'!$F$4:$F$503,_calc!$E$117))=0,"",INDEX('Checklist'!$F$4:$F$503,_calc!$E$117)))=0,"","Backup: "&amp;IF(LEN(INDEX('Checklist'!$F$4:$F$503,_calc!$E$117))=0,"",INDEX('Checklist'!$F$4:$F$503,_calc!$E$117))&amp;". ")&amp;IF(LEN(IF(LEN(INDEX('Checklist'!$J$4:$J$503,_calc!$E$117))=0,"",INDEX('Checklist'!$J$4:$J$503,_calc!$E$117)))=0,"","Evidence: "&amp;IF(LEN(INDEX('Checklist'!$J$4:$J$503,_calc!$E$117))=0,"",INDEX('Checklist'!$J$4:$J$503,_calc!$E$117))&amp;". ")&amp;IF(LEN(IF(LEN(INDEX('Checklist'!$D$4:$D$503,_calc!$E$117))=0,"",INDEX('Checklist'!$D$4:$D$503,_calc!$E$117)))=0,"","Rule example: "&amp;IF(LEN(INDEX('Checklist'!$D$4:$D$503,_calc!$E$117))=0,"",INDEX('Checklist'!$D$4:$D$503,_calc!$E$117))&amp;". ")&amp;IF(LEN(IF(LEN(INDEX('Checklist'!$P$4:$P$503,_calc!$E$117))=0,"",INDEX('Checklist'!$P$4:$P$503,_calc!$E$117)))=0,"",IF(LEN(INDEX('Checklist'!$P$4:$P$503,_calc!$E$117))=0,"",INDEX('Checklist'!$P$4:$P$503,_calc!$E$117)))))</f>
        <v/>
      </c>
      <c r="K115" s="44">
        <f>IF(_calc!$E$117="","",IF(LEN(INDEX('Checklist'!$G$4:$G$503,_calc!$E$117))=0,"",INDEX('Checklist'!$G$4:$G$503,_calc!$E$117)))</f>
        <v/>
      </c>
    </row>
    <row r="116">
      <c r="A116" s="44">
        <f>IF(_calc!$E$118="","","Survey check – "&amp;IF(LEN(INDEX('Checklist'!$C$4:$C$503,_calc!$E$118))=0,"",INDEX('Checklist'!$C$4:$C$503,_calc!$E$118)))</f>
        <v/>
      </c>
      <c r="B116" s="44">
        <f>IF(_calc!$E$118="","",IF(ISNUMBER(INDEX('Checklist'!$L$4:$L$503,_calc!$E$118)),TEXT(INDEX('Checklist'!$L$4:$L$503,_calc!$E$118),"yyyy-mm-dd"),""))</f>
        <v/>
      </c>
      <c r="C116" s="44">
        <f>IF(_calc!$E$118="","","Survey readiness")</f>
        <v/>
      </c>
      <c r="D116" s="44">
        <f>IF(_calc!$E$118="","",IF(ISNUMBER(INDEX('Checklist'!$H$4:$H$503,_calc!$E$118)),TEXT(INDEX('Checklist'!$H$4:$H$503,_calc!$E$118),"yyyy-mm-dd"),""))</f>
        <v/>
      </c>
      <c r="F116" s="44">
        <f>IF(_calc!$E$118="","",TRIM(IF(LEN(IF(LEN(INDEX('Checklist'!$A$4:$A$503,_calc!$E$118))=0,"",INDEX('Checklist'!$A$4:$A$503,_calc!$E$118)))=0,"","Group: "&amp;IF(LEN(INDEX('Checklist'!$A$4:$A$503,_calc!$E$118))=0,"",INDEX('Checklist'!$A$4:$A$503,_calc!$E$118))&amp;". ")&amp;IF(LEN(IF(LEN(INDEX('Checklist'!$E$4:$E$503,_calc!$E$118))=0,"",INDEX('Checklist'!$E$4:$E$503,_calc!$E$118)))=0,"","Owner: "&amp;IF(LEN(INDEX('Checklist'!$E$4:$E$503,_calc!$E$118))=0,"",INDEX('Checklist'!$E$4:$E$503,_calc!$E$118))&amp;". ")&amp;IF(LEN(IF(LEN(INDEX('Checklist'!$F$4:$F$503,_calc!$E$118))=0,"",INDEX('Checklist'!$F$4:$F$503,_calc!$E$118)))=0,"","Backup: "&amp;IF(LEN(INDEX('Checklist'!$F$4:$F$503,_calc!$E$118))=0,"",INDEX('Checklist'!$F$4:$F$503,_calc!$E$118))&amp;". ")&amp;IF(LEN(IF(LEN(INDEX('Checklist'!$J$4:$J$503,_calc!$E$118))=0,"",INDEX('Checklist'!$J$4:$J$503,_calc!$E$118)))=0,"","Evidence: "&amp;IF(LEN(INDEX('Checklist'!$J$4:$J$503,_calc!$E$118))=0,"",INDEX('Checklist'!$J$4:$J$503,_calc!$E$118))&amp;". ")&amp;IF(LEN(IF(LEN(INDEX('Checklist'!$D$4:$D$503,_calc!$E$118))=0,"",INDEX('Checklist'!$D$4:$D$503,_calc!$E$118)))=0,"","Rule example: "&amp;IF(LEN(INDEX('Checklist'!$D$4:$D$503,_calc!$E$118))=0,"",INDEX('Checklist'!$D$4:$D$503,_calc!$E$118))&amp;". ")&amp;IF(LEN(IF(LEN(INDEX('Checklist'!$P$4:$P$503,_calc!$E$118))=0,"",INDEX('Checklist'!$P$4:$P$503,_calc!$E$118)))=0,"",IF(LEN(INDEX('Checklist'!$P$4:$P$503,_calc!$E$118))=0,"",INDEX('Checklist'!$P$4:$P$503,_calc!$E$118)))))</f>
        <v/>
      </c>
      <c r="K116" s="44">
        <f>IF(_calc!$E$118="","",IF(LEN(INDEX('Checklist'!$G$4:$G$503,_calc!$E$118))=0,"",INDEX('Checklist'!$G$4:$G$503,_calc!$E$118)))</f>
        <v/>
      </c>
    </row>
    <row r="117">
      <c r="A117" s="44">
        <f>IF(_calc!$E$119="","","Survey check – "&amp;IF(LEN(INDEX('Checklist'!$C$4:$C$503,_calc!$E$119))=0,"",INDEX('Checklist'!$C$4:$C$503,_calc!$E$119)))</f>
        <v/>
      </c>
      <c r="B117" s="44">
        <f>IF(_calc!$E$119="","",IF(ISNUMBER(INDEX('Checklist'!$L$4:$L$503,_calc!$E$119)),TEXT(INDEX('Checklist'!$L$4:$L$503,_calc!$E$119),"yyyy-mm-dd"),""))</f>
        <v/>
      </c>
      <c r="C117" s="44">
        <f>IF(_calc!$E$119="","","Survey readiness")</f>
        <v/>
      </c>
      <c r="D117" s="44">
        <f>IF(_calc!$E$119="","",IF(ISNUMBER(INDEX('Checklist'!$H$4:$H$503,_calc!$E$119)),TEXT(INDEX('Checklist'!$H$4:$H$503,_calc!$E$119),"yyyy-mm-dd"),""))</f>
        <v/>
      </c>
      <c r="F117" s="44">
        <f>IF(_calc!$E$119="","",TRIM(IF(LEN(IF(LEN(INDEX('Checklist'!$A$4:$A$503,_calc!$E$119))=0,"",INDEX('Checklist'!$A$4:$A$503,_calc!$E$119)))=0,"","Group: "&amp;IF(LEN(INDEX('Checklist'!$A$4:$A$503,_calc!$E$119))=0,"",INDEX('Checklist'!$A$4:$A$503,_calc!$E$119))&amp;". ")&amp;IF(LEN(IF(LEN(INDEX('Checklist'!$E$4:$E$503,_calc!$E$119))=0,"",INDEX('Checklist'!$E$4:$E$503,_calc!$E$119)))=0,"","Owner: "&amp;IF(LEN(INDEX('Checklist'!$E$4:$E$503,_calc!$E$119))=0,"",INDEX('Checklist'!$E$4:$E$503,_calc!$E$119))&amp;". ")&amp;IF(LEN(IF(LEN(INDEX('Checklist'!$F$4:$F$503,_calc!$E$119))=0,"",INDEX('Checklist'!$F$4:$F$503,_calc!$E$119)))=0,"","Backup: "&amp;IF(LEN(INDEX('Checklist'!$F$4:$F$503,_calc!$E$119))=0,"",INDEX('Checklist'!$F$4:$F$503,_calc!$E$119))&amp;". ")&amp;IF(LEN(IF(LEN(INDEX('Checklist'!$J$4:$J$503,_calc!$E$119))=0,"",INDEX('Checklist'!$J$4:$J$503,_calc!$E$119)))=0,"","Evidence: "&amp;IF(LEN(INDEX('Checklist'!$J$4:$J$503,_calc!$E$119))=0,"",INDEX('Checklist'!$J$4:$J$503,_calc!$E$119))&amp;". ")&amp;IF(LEN(IF(LEN(INDEX('Checklist'!$D$4:$D$503,_calc!$E$119))=0,"",INDEX('Checklist'!$D$4:$D$503,_calc!$E$119)))=0,"","Rule example: "&amp;IF(LEN(INDEX('Checklist'!$D$4:$D$503,_calc!$E$119))=0,"",INDEX('Checklist'!$D$4:$D$503,_calc!$E$119))&amp;". ")&amp;IF(LEN(IF(LEN(INDEX('Checklist'!$P$4:$P$503,_calc!$E$119))=0,"",INDEX('Checklist'!$P$4:$P$503,_calc!$E$119)))=0,"",IF(LEN(INDEX('Checklist'!$P$4:$P$503,_calc!$E$119))=0,"",INDEX('Checklist'!$P$4:$P$503,_calc!$E$119)))))</f>
        <v/>
      </c>
      <c r="K117" s="44">
        <f>IF(_calc!$E$119="","",IF(LEN(INDEX('Checklist'!$G$4:$G$503,_calc!$E$119))=0,"",INDEX('Checklist'!$G$4:$G$503,_calc!$E$119)))</f>
        <v/>
      </c>
    </row>
    <row r="118">
      <c r="A118" s="44">
        <f>IF(_calc!$E$120="","","Survey check – "&amp;IF(LEN(INDEX('Checklist'!$C$4:$C$503,_calc!$E$120))=0,"",INDEX('Checklist'!$C$4:$C$503,_calc!$E$120)))</f>
        <v/>
      </c>
      <c r="B118" s="44">
        <f>IF(_calc!$E$120="","",IF(ISNUMBER(INDEX('Checklist'!$L$4:$L$503,_calc!$E$120)),TEXT(INDEX('Checklist'!$L$4:$L$503,_calc!$E$120),"yyyy-mm-dd"),""))</f>
        <v/>
      </c>
      <c r="C118" s="44">
        <f>IF(_calc!$E$120="","","Survey readiness")</f>
        <v/>
      </c>
      <c r="D118" s="44">
        <f>IF(_calc!$E$120="","",IF(ISNUMBER(INDEX('Checklist'!$H$4:$H$503,_calc!$E$120)),TEXT(INDEX('Checklist'!$H$4:$H$503,_calc!$E$120),"yyyy-mm-dd"),""))</f>
        <v/>
      </c>
      <c r="F118" s="44">
        <f>IF(_calc!$E$120="","",TRIM(IF(LEN(IF(LEN(INDEX('Checklist'!$A$4:$A$503,_calc!$E$120))=0,"",INDEX('Checklist'!$A$4:$A$503,_calc!$E$120)))=0,"","Group: "&amp;IF(LEN(INDEX('Checklist'!$A$4:$A$503,_calc!$E$120))=0,"",INDEX('Checklist'!$A$4:$A$503,_calc!$E$120))&amp;". ")&amp;IF(LEN(IF(LEN(INDEX('Checklist'!$E$4:$E$503,_calc!$E$120))=0,"",INDEX('Checklist'!$E$4:$E$503,_calc!$E$120)))=0,"","Owner: "&amp;IF(LEN(INDEX('Checklist'!$E$4:$E$503,_calc!$E$120))=0,"",INDEX('Checklist'!$E$4:$E$503,_calc!$E$120))&amp;". ")&amp;IF(LEN(IF(LEN(INDEX('Checklist'!$F$4:$F$503,_calc!$E$120))=0,"",INDEX('Checklist'!$F$4:$F$503,_calc!$E$120)))=0,"","Backup: "&amp;IF(LEN(INDEX('Checklist'!$F$4:$F$503,_calc!$E$120))=0,"",INDEX('Checklist'!$F$4:$F$503,_calc!$E$120))&amp;". ")&amp;IF(LEN(IF(LEN(INDEX('Checklist'!$J$4:$J$503,_calc!$E$120))=0,"",INDEX('Checklist'!$J$4:$J$503,_calc!$E$120)))=0,"","Evidence: "&amp;IF(LEN(INDEX('Checklist'!$J$4:$J$503,_calc!$E$120))=0,"",INDEX('Checklist'!$J$4:$J$503,_calc!$E$120))&amp;". ")&amp;IF(LEN(IF(LEN(INDEX('Checklist'!$D$4:$D$503,_calc!$E$120))=0,"",INDEX('Checklist'!$D$4:$D$503,_calc!$E$120)))=0,"","Rule example: "&amp;IF(LEN(INDEX('Checklist'!$D$4:$D$503,_calc!$E$120))=0,"",INDEX('Checklist'!$D$4:$D$503,_calc!$E$120))&amp;". ")&amp;IF(LEN(IF(LEN(INDEX('Checklist'!$P$4:$P$503,_calc!$E$120))=0,"",INDEX('Checklist'!$P$4:$P$503,_calc!$E$120)))=0,"",IF(LEN(INDEX('Checklist'!$P$4:$P$503,_calc!$E$120))=0,"",INDEX('Checklist'!$P$4:$P$503,_calc!$E$120)))))</f>
        <v/>
      </c>
      <c r="K118" s="44">
        <f>IF(_calc!$E$120="","",IF(LEN(INDEX('Checklist'!$G$4:$G$503,_calc!$E$120))=0,"",INDEX('Checklist'!$G$4:$G$503,_calc!$E$120)))</f>
        <v/>
      </c>
    </row>
    <row r="119">
      <c r="A119" s="44">
        <f>IF(_calc!$E$121="","","Survey check – "&amp;IF(LEN(INDEX('Checklist'!$C$4:$C$503,_calc!$E$121))=0,"",INDEX('Checklist'!$C$4:$C$503,_calc!$E$121)))</f>
        <v/>
      </c>
      <c r="B119" s="44">
        <f>IF(_calc!$E$121="","",IF(ISNUMBER(INDEX('Checklist'!$L$4:$L$503,_calc!$E$121)),TEXT(INDEX('Checklist'!$L$4:$L$503,_calc!$E$121),"yyyy-mm-dd"),""))</f>
        <v/>
      </c>
      <c r="C119" s="44">
        <f>IF(_calc!$E$121="","","Survey readiness")</f>
        <v/>
      </c>
      <c r="D119" s="44">
        <f>IF(_calc!$E$121="","",IF(ISNUMBER(INDEX('Checklist'!$H$4:$H$503,_calc!$E$121)),TEXT(INDEX('Checklist'!$H$4:$H$503,_calc!$E$121),"yyyy-mm-dd"),""))</f>
        <v/>
      </c>
      <c r="F119" s="44">
        <f>IF(_calc!$E$121="","",TRIM(IF(LEN(IF(LEN(INDEX('Checklist'!$A$4:$A$503,_calc!$E$121))=0,"",INDEX('Checklist'!$A$4:$A$503,_calc!$E$121)))=0,"","Group: "&amp;IF(LEN(INDEX('Checklist'!$A$4:$A$503,_calc!$E$121))=0,"",INDEX('Checklist'!$A$4:$A$503,_calc!$E$121))&amp;". ")&amp;IF(LEN(IF(LEN(INDEX('Checklist'!$E$4:$E$503,_calc!$E$121))=0,"",INDEX('Checklist'!$E$4:$E$503,_calc!$E$121)))=0,"","Owner: "&amp;IF(LEN(INDEX('Checklist'!$E$4:$E$503,_calc!$E$121))=0,"",INDEX('Checklist'!$E$4:$E$503,_calc!$E$121))&amp;". ")&amp;IF(LEN(IF(LEN(INDEX('Checklist'!$F$4:$F$503,_calc!$E$121))=0,"",INDEX('Checklist'!$F$4:$F$503,_calc!$E$121)))=0,"","Backup: "&amp;IF(LEN(INDEX('Checklist'!$F$4:$F$503,_calc!$E$121))=0,"",INDEX('Checklist'!$F$4:$F$503,_calc!$E$121))&amp;". ")&amp;IF(LEN(IF(LEN(INDEX('Checklist'!$J$4:$J$503,_calc!$E$121))=0,"",INDEX('Checklist'!$J$4:$J$503,_calc!$E$121)))=0,"","Evidence: "&amp;IF(LEN(INDEX('Checklist'!$J$4:$J$503,_calc!$E$121))=0,"",INDEX('Checklist'!$J$4:$J$503,_calc!$E$121))&amp;". ")&amp;IF(LEN(IF(LEN(INDEX('Checklist'!$D$4:$D$503,_calc!$E$121))=0,"",INDEX('Checklist'!$D$4:$D$503,_calc!$E$121)))=0,"","Rule example: "&amp;IF(LEN(INDEX('Checklist'!$D$4:$D$503,_calc!$E$121))=0,"",INDEX('Checklist'!$D$4:$D$503,_calc!$E$121))&amp;". ")&amp;IF(LEN(IF(LEN(INDEX('Checklist'!$P$4:$P$503,_calc!$E$121))=0,"",INDEX('Checklist'!$P$4:$P$503,_calc!$E$121)))=0,"",IF(LEN(INDEX('Checklist'!$P$4:$P$503,_calc!$E$121))=0,"",INDEX('Checklist'!$P$4:$P$503,_calc!$E$121)))))</f>
        <v/>
      </c>
      <c r="K119" s="44">
        <f>IF(_calc!$E$121="","",IF(LEN(INDEX('Checklist'!$G$4:$G$503,_calc!$E$121))=0,"",INDEX('Checklist'!$G$4:$G$503,_calc!$E$121)))</f>
        <v/>
      </c>
    </row>
    <row r="120">
      <c r="A120" s="44">
        <f>IF(_calc!$E$122="","","Survey check – "&amp;IF(LEN(INDEX('Checklist'!$C$4:$C$503,_calc!$E$122))=0,"",INDEX('Checklist'!$C$4:$C$503,_calc!$E$122)))</f>
        <v/>
      </c>
      <c r="B120" s="44">
        <f>IF(_calc!$E$122="","",IF(ISNUMBER(INDEX('Checklist'!$L$4:$L$503,_calc!$E$122)),TEXT(INDEX('Checklist'!$L$4:$L$503,_calc!$E$122),"yyyy-mm-dd"),""))</f>
        <v/>
      </c>
      <c r="C120" s="44">
        <f>IF(_calc!$E$122="","","Survey readiness")</f>
        <v/>
      </c>
      <c r="D120" s="44">
        <f>IF(_calc!$E$122="","",IF(ISNUMBER(INDEX('Checklist'!$H$4:$H$503,_calc!$E$122)),TEXT(INDEX('Checklist'!$H$4:$H$503,_calc!$E$122),"yyyy-mm-dd"),""))</f>
        <v/>
      </c>
      <c r="F120" s="44">
        <f>IF(_calc!$E$122="","",TRIM(IF(LEN(IF(LEN(INDEX('Checklist'!$A$4:$A$503,_calc!$E$122))=0,"",INDEX('Checklist'!$A$4:$A$503,_calc!$E$122)))=0,"","Group: "&amp;IF(LEN(INDEX('Checklist'!$A$4:$A$503,_calc!$E$122))=0,"",INDEX('Checklist'!$A$4:$A$503,_calc!$E$122))&amp;". ")&amp;IF(LEN(IF(LEN(INDEX('Checklist'!$E$4:$E$503,_calc!$E$122))=0,"",INDEX('Checklist'!$E$4:$E$503,_calc!$E$122)))=0,"","Owner: "&amp;IF(LEN(INDEX('Checklist'!$E$4:$E$503,_calc!$E$122))=0,"",INDEX('Checklist'!$E$4:$E$503,_calc!$E$122))&amp;". ")&amp;IF(LEN(IF(LEN(INDEX('Checklist'!$F$4:$F$503,_calc!$E$122))=0,"",INDEX('Checklist'!$F$4:$F$503,_calc!$E$122)))=0,"","Backup: "&amp;IF(LEN(INDEX('Checklist'!$F$4:$F$503,_calc!$E$122))=0,"",INDEX('Checklist'!$F$4:$F$503,_calc!$E$122))&amp;". ")&amp;IF(LEN(IF(LEN(INDEX('Checklist'!$J$4:$J$503,_calc!$E$122))=0,"",INDEX('Checklist'!$J$4:$J$503,_calc!$E$122)))=0,"","Evidence: "&amp;IF(LEN(INDEX('Checklist'!$J$4:$J$503,_calc!$E$122))=0,"",INDEX('Checklist'!$J$4:$J$503,_calc!$E$122))&amp;". ")&amp;IF(LEN(IF(LEN(INDEX('Checklist'!$D$4:$D$503,_calc!$E$122))=0,"",INDEX('Checklist'!$D$4:$D$503,_calc!$E$122)))=0,"","Rule example: "&amp;IF(LEN(INDEX('Checklist'!$D$4:$D$503,_calc!$E$122))=0,"",INDEX('Checklist'!$D$4:$D$503,_calc!$E$122))&amp;". ")&amp;IF(LEN(IF(LEN(INDEX('Checklist'!$P$4:$P$503,_calc!$E$122))=0,"",INDEX('Checklist'!$P$4:$P$503,_calc!$E$122)))=0,"",IF(LEN(INDEX('Checklist'!$P$4:$P$503,_calc!$E$122))=0,"",INDEX('Checklist'!$P$4:$P$503,_calc!$E$122)))))</f>
        <v/>
      </c>
      <c r="K120" s="44">
        <f>IF(_calc!$E$122="","",IF(LEN(INDEX('Checklist'!$G$4:$G$503,_calc!$E$122))=0,"",INDEX('Checklist'!$G$4:$G$503,_calc!$E$122)))</f>
        <v/>
      </c>
    </row>
    <row r="121">
      <c r="A121" s="44">
        <f>IF(_calc!$E$123="","","Survey check – "&amp;IF(LEN(INDEX('Checklist'!$C$4:$C$503,_calc!$E$123))=0,"",INDEX('Checklist'!$C$4:$C$503,_calc!$E$123)))</f>
        <v/>
      </c>
      <c r="B121" s="44">
        <f>IF(_calc!$E$123="","",IF(ISNUMBER(INDEX('Checklist'!$L$4:$L$503,_calc!$E$123)),TEXT(INDEX('Checklist'!$L$4:$L$503,_calc!$E$123),"yyyy-mm-dd"),""))</f>
        <v/>
      </c>
      <c r="C121" s="44">
        <f>IF(_calc!$E$123="","","Survey readiness")</f>
        <v/>
      </c>
      <c r="D121" s="44">
        <f>IF(_calc!$E$123="","",IF(ISNUMBER(INDEX('Checklist'!$H$4:$H$503,_calc!$E$123)),TEXT(INDEX('Checklist'!$H$4:$H$503,_calc!$E$123),"yyyy-mm-dd"),""))</f>
        <v/>
      </c>
      <c r="F121" s="44">
        <f>IF(_calc!$E$123="","",TRIM(IF(LEN(IF(LEN(INDEX('Checklist'!$A$4:$A$503,_calc!$E$123))=0,"",INDEX('Checklist'!$A$4:$A$503,_calc!$E$123)))=0,"","Group: "&amp;IF(LEN(INDEX('Checklist'!$A$4:$A$503,_calc!$E$123))=0,"",INDEX('Checklist'!$A$4:$A$503,_calc!$E$123))&amp;". ")&amp;IF(LEN(IF(LEN(INDEX('Checklist'!$E$4:$E$503,_calc!$E$123))=0,"",INDEX('Checklist'!$E$4:$E$503,_calc!$E$123)))=0,"","Owner: "&amp;IF(LEN(INDEX('Checklist'!$E$4:$E$503,_calc!$E$123))=0,"",INDEX('Checklist'!$E$4:$E$503,_calc!$E$123))&amp;". ")&amp;IF(LEN(IF(LEN(INDEX('Checklist'!$F$4:$F$503,_calc!$E$123))=0,"",INDEX('Checklist'!$F$4:$F$503,_calc!$E$123)))=0,"","Backup: "&amp;IF(LEN(INDEX('Checklist'!$F$4:$F$503,_calc!$E$123))=0,"",INDEX('Checklist'!$F$4:$F$503,_calc!$E$123))&amp;". ")&amp;IF(LEN(IF(LEN(INDEX('Checklist'!$J$4:$J$503,_calc!$E$123))=0,"",INDEX('Checklist'!$J$4:$J$503,_calc!$E$123)))=0,"","Evidence: "&amp;IF(LEN(INDEX('Checklist'!$J$4:$J$503,_calc!$E$123))=0,"",INDEX('Checklist'!$J$4:$J$503,_calc!$E$123))&amp;". ")&amp;IF(LEN(IF(LEN(INDEX('Checklist'!$D$4:$D$503,_calc!$E$123))=0,"",INDEX('Checklist'!$D$4:$D$503,_calc!$E$123)))=0,"","Rule example: "&amp;IF(LEN(INDEX('Checklist'!$D$4:$D$503,_calc!$E$123))=0,"",INDEX('Checklist'!$D$4:$D$503,_calc!$E$123))&amp;". ")&amp;IF(LEN(IF(LEN(INDEX('Checklist'!$P$4:$P$503,_calc!$E$123))=0,"",INDEX('Checklist'!$P$4:$P$503,_calc!$E$123)))=0,"",IF(LEN(INDEX('Checklist'!$P$4:$P$503,_calc!$E$123))=0,"",INDEX('Checklist'!$P$4:$P$503,_calc!$E$123)))))</f>
        <v/>
      </c>
      <c r="K121" s="44">
        <f>IF(_calc!$E$123="","",IF(LEN(INDEX('Checklist'!$G$4:$G$503,_calc!$E$123))=0,"",INDEX('Checklist'!$G$4:$G$503,_calc!$E$123)))</f>
        <v/>
      </c>
    </row>
    <row r="122">
      <c r="A122" s="44">
        <f>IF(_calc!$E$124="","","Survey check – "&amp;IF(LEN(INDEX('Checklist'!$C$4:$C$503,_calc!$E$124))=0,"",INDEX('Checklist'!$C$4:$C$503,_calc!$E$124)))</f>
        <v/>
      </c>
      <c r="B122" s="44">
        <f>IF(_calc!$E$124="","",IF(ISNUMBER(INDEX('Checklist'!$L$4:$L$503,_calc!$E$124)),TEXT(INDEX('Checklist'!$L$4:$L$503,_calc!$E$124),"yyyy-mm-dd"),""))</f>
        <v/>
      </c>
      <c r="C122" s="44">
        <f>IF(_calc!$E$124="","","Survey readiness")</f>
        <v/>
      </c>
      <c r="D122" s="44">
        <f>IF(_calc!$E$124="","",IF(ISNUMBER(INDEX('Checklist'!$H$4:$H$503,_calc!$E$124)),TEXT(INDEX('Checklist'!$H$4:$H$503,_calc!$E$124),"yyyy-mm-dd"),""))</f>
        <v/>
      </c>
      <c r="F122" s="44">
        <f>IF(_calc!$E$124="","",TRIM(IF(LEN(IF(LEN(INDEX('Checklist'!$A$4:$A$503,_calc!$E$124))=0,"",INDEX('Checklist'!$A$4:$A$503,_calc!$E$124)))=0,"","Group: "&amp;IF(LEN(INDEX('Checklist'!$A$4:$A$503,_calc!$E$124))=0,"",INDEX('Checklist'!$A$4:$A$503,_calc!$E$124))&amp;". ")&amp;IF(LEN(IF(LEN(INDEX('Checklist'!$E$4:$E$503,_calc!$E$124))=0,"",INDEX('Checklist'!$E$4:$E$503,_calc!$E$124)))=0,"","Owner: "&amp;IF(LEN(INDEX('Checklist'!$E$4:$E$503,_calc!$E$124))=0,"",INDEX('Checklist'!$E$4:$E$503,_calc!$E$124))&amp;". ")&amp;IF(LEN(IF(LEN(INDEX('Checklist'!$F$4:$F$503,_calc!$E$124))=0,"",INDEX('Checklist'!$F$4:$F$503,_calc!$E$124)))=0,"","Backup: "&amp;IF(LEN(INDEX('Checklist'!$F$4:$F$503,_calc!$E$124))=0,"",INDEX('Checklist'!$F$4:$F$503,_calc!$E$124))&amp;". ")&amp;IF(LEN(IF(LEN(INDEX('Checklist'!$J$4:$J$503,_calc!$E$124))=0,"",INDEX('Checklist'!$J$4:$J$503,_calc!$E$124)))=0,"","Evidence: "&amp;IF(LEN(INDEX('Checklist'!$J$4:$J$503,_calc!$E$124))=0,"",INDEX('Checklist'!$J$4:$J$503,_calc!$E$124))&amp;". ")&amp;IF(LEN(IF(LEN(INDEX('Checklist'!$D$4:$D$503,_calc!$E$124))=0,"",INDEX('Checklist'!$D$4:$D$503,_calc!$E$124)))=0,"","Rule example: "&amp;IF(LEN(INDEX('Checklist'!$D$4:$D$503,_calc!$E$124))=0,"",INDEX('Checklist'!$D$4:$D$503,_calc!$E$124))&amp;". ")&amp;IF(LEN(IF(LEN(INDEX('Checklist'!$P$4:$P$503,_calc!$E$124))=0,"",INDEX('Checklist'!$P$4:$P$503,_calc!$E$124)))=0,"",IF(LEN(INDEX('Checklist'!$P$4:$P$503,_calc!$E$124))=0,"",INDEX('Checklist'!$P$4:$P$503,_calc!$E$124)))))</f>
        <v/>
      </c>
      <c r="K122" s="44">
        <f>IF(_calc!$E$124="","",IF(LEN(INDEX('Checklist'!$G$4:$G$503,_calc!$E$124))=0,"",INDEX('Checklist'!$G$4:$G$503,_calc!$E$124)))</f>
        <v/>
      </c>
    </row>
    <row r="123">
      <c r="A123" s="44">
        <f>IF(_calc!$E$125="","","Survey check – "&amp;IF(LEN(INDEX('Checklist'!$C$4:$C$503,_calc!$E$125))=0,"",INDEX('Checklist'!$C$4:$C$503,_calc!$E$125)))</f>
        <v/>
      </c>
      <c r="B123" s="44">
        <f>IF(_calc!$E$125="","",IF(ISNUMBER(INDEX('Checklist'!$L$4:$L$503,_calc!$E$125)),TEXT(INDEX('Checklist'!$L$4:$L$503,_calc!$E$125),"yyyy-mm-dd"),""))</f>
        <v/>
      </c>
      <c r="C123" s="44">
        <f>IF(_calc!$E$125="","","Survey readiness")</f>
        <v/>
      </c>
      <c r="D123" s="44">
        <f>IF(_calc!$E$125="","",IF(ISNUMBER(INDEX('Checklist'!$H$4:$H$503,_calc!$E$125)),TEXT(INDEX('Checklist'!$H$4:$H$503,_calc!$E$125),"yyyy-mm-dd"),""))</f>
        <v/>
      </c>
      <c r="F123" s="44">
        <f>IF(_calc!$E$125="","",TRIM(IF(LEN(IF(LEN(INDEX('Checklist'!$A$4:$A$503,_calc!$E$125))=0,"",INDEX('Checklist'!$A$4:$A$503,_calc!$E$125)))=0,"","Group: "&amp;IF(LEN(INDEX('Checklist'!$A$4:$A$503,_calc!$E$125))=0,"",INDEX('Checklist'!$A$4:$A$503,_calc!$E$125))&amp;". ")&amp;IF(LEN(IF(LEN(INDEX('Checklist'!$E$4:$E$503,_calc!$E$125))=0,"",INDEX('Checklist'!$E$4:$E$503,_calc!$E$125)))=0,"","Owner: "&amp;IF(LEN(INDEX('Checklist'!$E$4:$E$503,_calc!$E$125))=0,"",INDEX('Checklist'!$E$4:$E$503,_calc!$E$125))&amp;". ")&amp;IF(LEN(IF(LEN(INDEX('Checklist'!$F$4:$F$503,_calc!$E$125))=0,"",INDEX('Checklist'!$F$4:$F$503,_calc!$E$125)))=0,"","Backup: "&amp;IF(LEN(INDEX('Checklist'!$F$4:$F$503,_calc!$E$125))=0,"",INDEX('Checklist'!$F$4:$F$503,_calc!$E$125))&amp;". ")&amp;IF(LEN(IF(LEN(INDEX('Checklist'!$J$4:$J$503,_calc!$E$125))=0,"",INDEX('Checklist'!$J$4:$J$503,_calc!$E$125)))=0,"","Evidence: "&amp;IF(LEN(INDEX('Checklist'!$J$4:$J$503,_calc!$E$125))=0,"",INDEX('Checklist'!$J$4:$J$503,_calc!$E$125))&amp;". ")&amp;IF(LEN(IF(LEN(INDEX('Checklist'!$D$4:$D$503,_calc!$E$125))=0,"",INDEX('Checklist'!$D$4:$D$503,_calc!$E$125)))=0,"","Rule example: "&amp;IF(LEN(INDEX('Checklist'!$D$4:$D$503,_calc!$E$125))=0,"",INDEX('Checklist'!$D$4:$D$503,_calc!$E$125))&amp;". ")&amp;IF(LEN(IF(LEN(INDEX('Checklist'!$P$4:$P$503,_calc!$E$125))=0,"",INDEX('Checklist'!$P$4:$P$503,_calc!$E$125)))=0,"",IF(LEN(INDEX('Checklist'!$P$4:$P$503,_calc!$E$125))=0,"",INDEX('Checklist'!$P$4:$P$503,_calc!$E$125)))))</f>
        <v/>
      </c>
      <c r="K123" s="44">
        <f>IF(_calc!$E$125="","",IF(LEN(INDEX('Checklist'!$G$4:$G$503,_calc!$E$125))=0,"",INDEX('Checklist'!$G$4:$G$503,_calc!$E$125)))</f>
        <v/>
      </c>
    </row>
    <row r="124">
      <c r="A124" s="44">
        <f>IF(_calc!$E$126="","","Survey check – "&amp;IF(LEN(INDEX('Checklist'!$C$4:$C$503,_calc!$E$126))=0,"",INDEX('Checklist'!$C$4:$C$503,_calc!$E$126)))</f>
        <v/>
      </c>
      <c r="B124" s="44">
        <f>IF(_calc!$E$126="","",IF(ISNUMBER(INDEX('Checklist'!$L$4:$L$503,_calc!$E$126)),TEXT(INDEX('Checklist'!$L$4:$L$503,_calc!$E$126),"yyyy-mm-dd"),""))</f>
        <v/>
      </c>
      <c r="C124" s="44">
        <f>IF(_calc!$E$126="","","Survey readiness")</f>
        <v/>
      </c>
      <c r="D124" s="44">
        <f>IF(_calc!$E$126="","",IF(ISNUMBER(INDEX('Checklist'!$H$4:$H$503,_calc!$E$126)),TEXT(INDEX('Checklist'!$H$4:$H$503,_calc!$E$126),"yyyy-mm-dd"),""))</f>
        <v/>
      </c>
      <c r="F124" s="44">
        <f>IF(_calc!$E$126="","",TRIM(IF(LEN(IF(LEN(INDEX('Checklist'!$A$4:$A$503,_calc!$E$126))=0,"",INDEX('Checklist'!$A$4:$A$503,_calc!$E$126)))=0,"","Group: "&amp;IF(LEN(INDEX('Checklist'!$A$4:$A$503,_calc!$E$126))=0,"",INDEX('Checklist'!$A$4:$A$503,_calc!$E$126))&amp;". ")&amp;IF(LEN(IF(LEN(INDEX('Checklist'!$E$4:$E$503,_calc!$E$126))=0,"",INDEX('Checklist'!$E$4:$E$503,_calc!$E$126)))=0,"","Owner: "&amp;IF(LEN(INDEX('Checklist'!$E$4:$E$503,_calc!$E$126))=0,"",INDEX('Checklist'!$E$4:$E$503,_calc!$E$126))&amp;". ")&amp;IF(LEN(IF(LEN(INDEX('Checklist'!$F$4:$F$503,_calc!$E$126))=0,"",INDEX('Checklist'!$F$4:$F$503,_calc!$E$126)))=0,"","Backup: "&amp;IF(LEN(INDEX('Checklist'!$F$4:$F$503,_calc!$E$126))=0,"",INDEX('Checklist'!$F$4:$F$503,_calc!$E$126))&amp;". ")&amp;IF(LEN(IF(LEN(INDEX('Checklist'!$J$4:$J$503,_calc!$E$126))=0,"",INDEX('Checklist'!$J$4:$J$503,_calc!$E$126)))=0,"","Evidence: "&amp;IF(LEN(INDEX('Checklist'!$J$4:$J$503,_calc!$E$126))=0,"",INDEX('Checklist'!$J$4:$J$503,_calc!$E$126))&amp;". ")&amp;IF(LEN(IF(LEN(INDEX('Checklist'!$D$4:$D$503,_calc!$E$126))=0,"",INDEX('Checklist'!$D$4:$D$503,_calc!$E$126)))=0,"","Rule example: "&amp;IF(LEN(INDEX('Checklist'!$D$4:$D$503,_calc!$E$126))=0,"",INDEX('Checklist'!$D$4:$D$503,_calc!$E$126))&amp;". ")&amp;IF(LEN(IF(LEN(INDEX('Checklist'!$P$4:$P$503,_calc!$E$126))=0,"",INDEX('Checklist'!$P$4:$P$503,_calc!$E$126)))=0,"",IF(LEN(INDEX('Checklist'!$P$4:$P$503,_calc!$E$126))=0,"",INDEX('Checklist'!$P$4:$P$503,_calc!$E$126)))))</f>
        <v/>
      </c>
      <c r="K124" s="44">
        <f>IF(_calc!$E$126="","",IF(LEN(INDEX('Checklist'!$G$4:$G$503,_calc!$E$126))=0,"",INDEX('Checklist'!$G$4:$G$503,_calc!$E$126)))</f>
        <v/>
      </c>
    </row>
    <row r="125">
      <c r="A125" s="44">
        <f>IF(_calc!$E$127="","","Survey check – "&amp;IF(LEN(INDEX('Checklist'!$C$4:$C$503,_calc!$E$127))=0,"",INDEX('Checklist'!$C$4:$C$503,_calc!$E$127)))</f>
        <v/>
      </c>
      <c r="B125" s="44">
        <f>IF(_calc!$E$127="","",IF(ISNUMBER(INDEX('Checklist'!$L$4:$L$503,_calc!$E$127)),TEXT(INDEX('Checklist'!$L$4:$L$503,_calc!$E$127),"yyyy-mm-dd"),""))</f>
        <v/>
      </c>
      <c r="C125" s="44">
        <f>IF(_calc!$E$127="","","Survey readiness")</f>
        <v/>
      </c>
      <c r="D125" s="44">
        <f>IF(_calc!$E$127="","",IF(ISNUMBER(INDEX('Checklist'!$H$4:$H$503,_calc!$E$127)),TEXT(INDEX('Checklist'!$H$4:$H$503,_calc!$E$127),"yyyy-mm-dd"),""))</f>
        <v/>
      </c>
      <c r="F125" s="44">
        <f>IF(_calc!$E$127="","",TRIM(IF(LEN(IF(LEN(INDEX('Checklist'!$A$4:$A$503,_calc!$E$127))=0,"",INDEX('Checklist'!$A$4:$A$503,_calc!$E$127)))=0,"","Group: "&amp;IF(LEN(INDEX('Checklist'!$A$4:$A$503,_calc!$E$127))=0,"",INDEX('Checklist'!$A$4:$A$503,_calc!$E$127))&amp;". ")&amp;IF(LEN(IF(LEN(INDEX('Checklist'!$E$4:$E$503,_calc!$E$127))=0,"",INDEX('Checklist'!$E$4:$E$503,_calc!$E$127)))=0,"","Owner: "&amp;IF(LEN(INDEX('Checklist'!$E$4:$E$503,_calc!$E$127))=0,"",INDEX('Checklist'!$E$4:$E$503,_calc!$E$127))&amp;". ")&amp;IF(LEN(IF(LEN(INDEX('Checklist'!$F$4:$F$503,_calc!$E$127))=0,"",INDEX('Checklist'!$F$4:$F$503,_calc!$E$127)))=0,"","Backup: "&amp;IF(LEN(INDEX('Checklist'!$F$4:$F$503,_calc!$E$127))=0,"",INDEX('Checklist'!$F$4:$F$503,_calc!$E$127))&amp;". ")&amp;IF(LEN(IF(LEN(INDEX('Checklist'!$J$4:$J$503,_calc!$E$127))=0,"",INDEX('Checklist'!$J$4:$J$503,_calc!$E$127)))=0,"","Evidence: "&amp;IF(LEN(INDEX('Checklist'!$J$4:$J$503,_calc!$E$127))=0,"",INDEX('Checklist'!$J$4:$J$503,_calc!$E$127))&amp;". ")&amp;IF(LEN(IF(LEN(INDEX('Checklist'!$D$4:$D$503,_calc!$E$127))=0,"",INDEX('Checklist'!$D$4:$D$503,_calc!$E$127)))=0,"","Rule example: "&amp;IF(LEN(INDEX('Checklist'!$D$4:$D$503,_calc!$E$127))=0,"",INDEX('Checklist'!$D$4:$D$503,_calc!$E$127))&amp;". ")&amp;IF(LEN(IF(LEN(INDEX('Checklist'!$P$4:$P$503,_calc!$E$127))=0,"",INDEX('Checklist'!$P$4:$P$503,_calc!$E$127)))=0,"",IF(LEN(INDEX('Checklist'!$P$4:$P$503,_calc!$E$127))=0,"",INDEX('Checklist'!$P$4:$P$503,_calc!$E$127)))))</f>
        <v/>
      </c>
      <c r="K125" s="44">
        <f>IF(_calc!$E$127="","",IF(LEN(INDEX('Checklist'!$G$4:$G$503,_calc!$E$127))=0,"",INDEX('Checklist'!$G$4:$G$503,_calc!$E$127)))</f>
        <v/>
      </c>
    </row>
    <row r="126">
      <c r="A126" s="44">
        <f>IF(_calc!$E$128="","","Survey check – "&amp;IF(LEN(INDEX('Checklist'!$C$4:$C$503,_calc!$E$128))=0,"",INDEX('Checklist'!$C$4:$C$503,_calc!$E$128)))</f>
        <v/>
      </c>
      <c r="B126" s="44">
        <f>IF(_calc!$E$128="","",IF(ISNUMBER(INDEX('Checklist'!$L$4:$L$503,_calc!$E$128)),TEXT(INDEX('Checklist'!$L$4:$L$503,_calc!$E$128),"yyyy-mm-dd"),""))</f>
        <v/>
      </c>
      <c r="C126" s="44">
        <f>IF(_calc!$E$128="","","Survey readiness")</f>
        <v/>
      </c>
      <c r="D126" s="44">
        <f>IF(_calc!$E$128="","",IF(ISNUMBER(INDEX('Checklist'!$H$4:$H$503,_calc!$E$128)),TEXT(INDEX('Checklist'!$H$4:$H$503,_calc!$E$128),"yyyy-mm-dd"),""))</f>
        <v/>
      </c>
      <c r="F126" s="44">
        <f>IF(_calc!$E$128="","",TRIM(IF(LEN(IF(LEN(INDEX('Checklist'!$A$4:$A$503,_calc!$E$128))=0,"",INDEX('Checklist'!$A$4:$A$503,_calc!$E$128)))=0,"","Group: "&amp;IF(LEN(INDEX('Checklist'!$A$4:$A$503,_calc!$E$128))=0,"",INDEX('Checklist'!$A$4:$A$503,_calc!$E$128))&amp;". ")&amp;IF(LEN(IF(LEN(INDEX('Checklist'!$E$4:$E$503,_calc!$E$128))=0,"",INDEX('Checklist'!$E$4:$E$503,_calc!$E$128)))=0,"","Owner: "&amp;IF(LEN(INDEX('Checklist'!$E$4:$E$503,_calc!$E$128))=0,"",INDEX('Checklist'!$E$4:$E$503,_calc!$E$128))&amp;". ")&amp;IF(LEN(IF(LEN(INDEX('Checklist'!$F$4:$F$503,_calc!$E$128))=0,"",INDEX('Checklist'!$F$4:$F$503,_calc!$E$128)))=0,"","Backup: "&amp;IF(LEN(INDEX('Checklist'!$F$4:$F$503,_calc!$E$128))=0,"",INDEX('Checklist'!$F$4:$F$503,_calc!$E$128))&amp;". ")&amp;IF(LEN(IF(LEN(INDEX('Checklist'!$J$4:$J$503,_calc!$E$128))=0,"",INDEX('Checklist'!$J$4:$J$503,_calc!$E$128)))=0,"","Evidence: "&amp;IF(LEN(INDEX('Checklist'!$J$4:$J$503,_calc!$E$128))=0,"",INDEX('Checklist'!$J$4:$J$503,_calc!$E$128))&amp;". ")&amp;IF(LEN(IF(LEN(INDEX('Checklist'!$D$4:$D$503,_calc!$E$128))=0,"",INDEX('Checklist'!$D$4:$D$503,_calc!$E$128)))=0,"","Rule example: "&amp;IF(LEN(INDEX('Checklist'!$D$4:$D$503,_calc!$E$128))=0,"",INDEX('Checklist'!$D$4:$D$503,_calc!$E$128))&amp;". ")&amp;IF(LEN(IF(LEN(INDEX('Checklist'!$P$4:$P$503,_calc!$E$128))=0,"",INDEX('Checklist'!$P$4:$P$503,_calc!$E$128)))=0,"",IF(LEN(INDEX('Checklist'!$P$4:$P$503,_calc!$E$128))=0,"",INDEX('Checklist'!$P$4:$P$503,_calc!$E$128)))))</f>
        <v/>
      </c>
      <c r="K126" s="44">
        <f>IF(_calc!$E$128="","",IF(LEN(INDEX('Checklist'!$G$4:$G$503,_calc!$E$128))=0,"",INDEX('Checklist'!$G$4:$G$503,_calc!$E$128)))</f>
        <v/>
      </c>
    </row>
    <row r="127">
      <c r="A127" s="44">
        <f>IF(_calc!$E$129="","","Survey check – "&amp;IF(LEN(INDEX('Checklist'!$C$4:$C$503,_calc!$E$129))=0,"",INDEX('Checklist'!$C$4:$C$503,_calc!$E$129)))</f>
        <v/>
      </c>
      <c r="B127" s="44">
        <f>IF(_calc!$E$129="","",IF(ISNUMBER(INDEX('Checklist'!$L$4:$L$503,_calc!$E$129)),TEXT(INDEX('Checklist'!$L$4:$L$503,_calc!$E$129),"yyyy-mm-dd"),""))</f>
        <v/>
      </c>
      <c r="C127" s="44">
        <f>IF(_calc!$E$129="","","Survey readiness")</f>
        <v/>
      </c>
      <c r="D127" s="44">
        <f>IF(_calc!$E$129="","",IF(ISNUMBER(INDEX('Checklist'!$H$4:$H$503,_calc!$E$129)),TEXT(INDEX('Checklist'!$H$4:$H$503,_calc!$E$129),"yyyy-mm-dd"),""))</f>
        <v/>
      </c>
      <c r="F127" s="44">
        <f>IF(_calc!$E$129="","",TRIM(IF(LEN(IF(LEN(INDEX('Checklist'!$A$4:$A$503,_calc!$E$129))=0,"",INDEX('Checklist'!$A$4:$A$503,_calc!$E$129)))=0,"","Group: "&amp;IF(LEN(INDEX('Checklist'!$A$4:$A$503,_calc!$E$129))=0,"",INDEX('Checklist'!$A$4:$A$503,_calc!$E$129))&amp;". ")&amp;IF(LEN(IF(LEN(INDEX('Checklist'!$E$4:$E$503,_calc!$E$129))=0,"",INDEX('Checklist'!$E$4:$E$503,_calc!$E$129)))=0,"","Owner: "&amp;IF(LEN(INDEX('Checklist'!$E$4:$E$503,_calc!$E$129))=0,"",INDEX('Checklist'!$E$4:$E$503,_calc!$E$129))&amp;". ")&amp;IF(LEN(IF(LEN(INDEX('Checklist'!$F$4:$F$503,_calc!$E$129))=0,"",INDEX('Checklist'!$F$4:$F$503,_calc!$E$129)))=0,"","Backup: "&amp;IF(LEN(INDEX('Checklist'!$F$4:$F$503,_calc!$E$129))=0,"",INDEX('Checklist'!$F$4:$F$503,_calc!$E$129))&amp;". ")&amp;IF(LEN(IF(LEN(INDEX('Checklist'!$J$4:$J$503,_calc!$E$129))=0,"",INDEX('Checklist'!$J$4:$J$503,_calc!$E$129)))=0,"","Evidence: "&amp;IF(LEN(INDEX('Checklist'!$J$4:$J$503,_calc!$E$129))=0,"",INDEX('Checklist'!$J$4:$J$503,_calc!$E$129))&amp;". ")&amp;IF(LEN(IF(LEN(INDEX('Checklist'!$D$4:$D$503,_calc!$E$129))=0,"",INDEX('Checklist'!$D$4:$D$503,_calc!$E$129)))=0,"","Rule example: "&amp;IF(LEN(INDEX('Checklist'!$D$4:$D$503,_calc!$E$129))=0,"",INDEX('Checklist'!$D$4:$D$503,_calc!$E$129))&amp;". ")&amp;IF(LEN(IF(LEN(INDEX('Checklist'!$P$4:$P$503,_calc!$E$129))=0,"",INDEX('Checklist'!$P$4:$P$503,_calc!$E$129)))=0,"",IF(LEN(INDEX('Checklist'!$P$4:$P$503,_calc!$E$129))=0,"",INDEX('Checklist'!$P$4:$P$503,_calc!$E$129)))))</f>
        <v/>
      </c>
      <c r="K127" s="44">
        <f>IF(_calc!$E$129="","",IF(LEN(INDEX('Checklist'!$G$4:$G$503,_calc!$E$129))=0,"",INDEX('Checklist'!$G$4:$G$503,_calc!$E$129)))</f>
        <v/>
      </c>
    </row>
    <row r="128">
      <c r="A128" s="44">
        <f>IF(_calc!$E$130="","","Survey check – "&amp;IF(LEN(INDEX('Checklist'!$C$4:$C$503,_calc!$E$130))=0,"",INDEX('Checklist'!$C$4:$C$503,_calc!$E$130)))</f>
        <v/>
      </c>
      <c r="B128" s="44">
        <f>IF(_calc!$E$130="","",IF(ISNUMBER(INDEX('Checklist'!$L$4:$L$503,_calc!$E$130)),TEXT(INDEX('Checklist'!$L$4:$L$503,_calc!$E$130),"yyyy-mm-dd"),""))</f>
        <v/>
      </c>
      <c r="C128" s="44">
        <f>IF(_calc!$E$130="","","Survey readiness")</f>
        <v/>
      </c>
      <c r="D128" s="44">
        <f>IF(_calc!$E$130="","",IF(ISNUMBER(INDEX('Checklist'!$H$4:$H$503,_calc!$E$130)),TEXT(INDEX('Checklist'!$H$4:$H$503,_calc!$E$130),"yyyy-mm-dd"),""))</f>
        <v/>
      </c>
      <c r="F128" s="44">
        <f>IF(_calc!$E$130="","",TRIM(IF(LEN(IF(LEN(INDEX('Checklist'!$A$4:$A$503,_calc!$E$130))=0,"",INDEX('Checklist'!$A$4:$A$503,_calc!$E$130)))=0,"","Group: "&amp;IF(LEN(INDEX('Checklist'!$A$4:$A$503,_calc!$E$130))=0,"",INDEX('Checklist'!$A$4:$A$503,_calc!$E$130))&amp;". ")&amp;IF(LEN(IF(LEN(INDEX('Checklist'!$E$4:$E$503,_calc!$E$130))=0,"",INDEX('Checklist'!$E$4:$E$503,_calc!$E$130)))=0,"","Owner: "&amp;IF(LEN(INDEX('Checklist'!$E$4:$E$503,_calc!$E$130))=0,"",INDEX('Checklist'!$E$4:$E$503,_calc!$E$130))&amp;". ")&amp;IF(LEN(IF(LEN(INDEX('Checklist'!$F$4:$F$503,_calc!$E$130))=0,"",INDEX('Checklist'!$F$4:$F$503,_calc!$E$130)))=0,"","Backup: "&amp;IF(LEN(INDEX('Checklist'!$F$4:$F$503,_calc!$E$130))=0,"",INDEX('Checklist'!$F$4:$F$503,_calc!$E$130))&amp;". ")&amp;IF(LEN(IF(LEN(INDEX('Checklist'!$J$4:$J$503,_calc!$E$130))=0,"",INDEX('Checklist'!$J$4:$J$503,_calc!$E$130)))=0,"","Evidence: "&amp;IF(LEN(INDEX('Checklist'!$J$4:$J$503,_calc!$E$130))=0,"",INDEX('Checklist'!$J$4:$J$503,_calc!$E$130))&amp;". ")&amp;IF(LEN(IF(LEN(INDEX('Checklist'!$D$4:$D$503,_calc!$E$130))=0,"",INDEX('Checklist'!$D$4:$D$503,_calc!$E$130)))=0,"","Rule example: "&amp;IF(LEN(INDEX('Checklist'!$D$4:$D$503,_calc!$E$130))=0,"",INDEX('Checklist'!$D$4:$D$503,_calc!$E$130))&amp;". ")&amp;IF(LEN(IF(LEN(INDEX('Checklist'!$P$4:$P$503,_calc!$E$130))=0,"",INDEX('Checklist'!$P$4:$P$503,_calc!$E$130)))=0,"",IF(LEN(INDEX('Checklist'!$P$4:$P$503,_calc!$E$130))=0,"",INDEX('Checklist'!$P$4:$P$503,_calc!$E$130)))))</f>
        <v/>
      </c>
      <c r="K128" s="44">
        <f>IF(_calc!$E$130="","",IF(LEN(INDEX('Checklist'!$G$4:$G$503,_calc!$E$130))=0,"",INDEX('Checklist'!$G$4:$G$503,_calc!$E$130)))</f>
        <v/>
      </c>
    </row>
    <row r="129">
      <c r="A129" s="44">
        <f>IF(_calc!$E$131="","","Survey check – "&amp;IF(LEN(INDEX('Checklist'!$C$4:$C$503,_calc!$E$131))=0,"",INDEX('Checklist'!$C$4:$C$503,_calc!$E$131)))</f>
        <v/>
      </c>
      <c r="B129" s="44">
        <f>IF(_calc!$E$131="","",IF(ISNUMBER(INDEX('Checklist'!$L$4:$L$503,_calc!$E$131)),TEXT(INDEX('Checklist'!$L$4:$L$503,_calc!$E$131),"yyyy-mm-dd"),""))</f>
        <v/>
      </c>
      <c r="C129" s="44">
        <f>IF(_calc!$E$131="","","Survey readiness")</f>
        <v/>
      </c>
      <c r="D129" s="44">
        <f>IF(_calc!$E$131="","",IF(ISNUMBER(INDEX('Checklist'!$H$4:$H$503,_calc!$E$131)),TEXT(INDEX('Checklist'!$H$4:$H$503,_calc!$E$131),"yyyy-mm-dd"),""))</f>
        <v/>
      </c>
      <c r="F129" s="44">
        <f>IF(_calc!$E$131="","",TRIM(IF(LEN(IF(LEN(INDEX('Checklist'!$A$4:$A$503,_calc!$E$131))=0,"",INDEX('Checklist'!$A$4:$A$503,_calc!$E$131)))=0,"","Group: "&amp;IF(LEN(INDEX('Checklist'!$A$4:$A$503,_calc!$E$131))=0,"",INDEX('Checklist'!$A$4:$A$503,_calc!$E$131))&amp;". ")&amp;IF(LEN(IF(LEN(INDEX('Checklist'!$E$4:$E$503,_calc!$E$131))=0,"",INDEX('Checklist'!$E$4:$E$503,_calc!$E$131)))=0,"","Owner: "&amp;IF(LEN(INDEX('Checklist'!$E$4:$E$503,_calc!$E$131))=0,"",INDEX('Checklist'!$E$4:$E$503,_calc!$E$131))&amp;". ")&amp;IF(LEN(IF(LEN(INDEX('Checklist'!$F$4:$F$503,_calc!$E$131))=0,"",INDEX('Checklist'!$F$4:$F$503,_calc!$E$131)))=0,"","Backup: "&amp;IF(LEN(INDEX('Checklist'!$F$4:$F$503,_calc!$E$131))=0,"",INDEX('Checklist'!$F$4:$F$503,_calc!$E$131))&amp;". ")&amp;IF(LEN(IF(LEN(INDEX('Checklist'!$J$4:$J$503,_calc!$E$131))=0,"",INDEX('Checklist'!$J$4:$J$503,_calc!$E$131)))=0,"","Evidence: "&amp;IF(LEN(INDEX('Checklist'!$J$4:$J$503,_calc!$E$131))=0,"",INDEX('Checklist'!$J$4:$J$503,_calc!$E$131))&amp;". ")&amp;IF(LEN(IF(LEN(INDEX('Checklist'!$D$4:$D$503,_calc!$E$131))=0,"",INDEX('Checklist'!$D$4:$D$503,_calc!$E$131)))=0,"","Rule example: "&amp;IF(LEN(INDEX('Checklist'!$D$4:$D$503,_calc!$E$131))=0,"",INDEX('Checklist'!$D$4:$D$503,_calc!$E$131))&amp;". ")&amp;IF(LEN(IF(LEN(INDEX('Checklist'!$P$4:$P$503,_calc!$E$131))=0,"",INDEX('Checklist'!$P$4:$P$503,_calc!$E$131)))=0,"",IF(LEN(INDEX('Checklist'!$P$4:$P$503,_calc!$E$131))=0,"",INDEX('Checklist'!$P$4:$P$503,_calc!$E$131)))))</f>
        <v/>
      </c>
      <c r="K129" s="44">
        <f>IF(_calc!$E$131="","",IF(LEN(INDEX('Checklist'!$G$4:$G$503,_calc!$E$131))=0,"",INDEX('Checklist'!$G$4:$G$503,_calc!$E$131)))</f>
        <v/>
      </c>
    </row>
    <row r="130">
      <c r="A130" s="44">
        <f>IF(_calc!$E$132="","","Survey check – "&amp;IF(LEN(INDEX('Checklist'!$C$4:$C$503,_calc!$E$132))=0,"",INDEX('Checklist'!$C$4:$C$503,_calc!$E$132)))</f>
        <v/>
      </c>
      <c r="B130" s="44">
        <f>IF(_calc!$E$132="","",IF(ISNUMBER(INDEX('Checklist'!$L$4:$L$503,_calc!$E$132)),TEXT(INDEX('Checklist'!$L$4:$L$503,_calc!$E$132),"yyyy-mm-dd"),""))</f>
        <v/>
      </c>
      <c r="C130" s="44">
        <f>IF(_calc!$E$132="","","Survey readiness")</f>
        <v/>
      </c>
      <c r="D130" s="44">
        <f>IF(_calc!$E$132="","",IF(ISNUMBER(INDEX('Checklist'!$H$4:$H$503,_calc!$E$132)),TEXT(INDEX('Checklist'!$H$4:$H$503,_calc!$E$132),"yyyy-mm-dd"),""))</f>
        <v/>
      </c>
      <c r="F130" s="44">
        <f>IF(_calc!$E$132="","",TRIM(IF(LEN(IF(LEN(INDEX('Checklist'!$A$4:$A$503,_calc!$E$132))=0,"",INDEX('Checklist'!$A$4:$A$503,_calc!$E$132)))=0,"","Group: "&amp;IF(LEN(INDEX('Checklist'!$A$4:$A$503,_calc!$E$132))=0,"",INDEX('Checklist'!$A$4:$A$503,_calc!$E$132))&amp;". ")&amp;IF(LEN(IF(LEN(INDEX('Checklist'!$E$4:$E$503,_calc!$E$132))=0,"",INDEX('Checklist'!$E$4:$E$503,_calc!$E$132)))=0,"","Owner: "&amp;IF(LEN(INDEX('Checklist'!$E$4:$E$503,_calc!$E$132))=0,"",INDEX('Checklist'!$E$4:$E$503,_calc!$E$132))&amp;". ")&amp;IF(LEN(IF(LEN(INDEX('Checklist'!$F$4:$F$503,_calc!$E$132))=0,"",INDEX('Checklist'!$F$4:$F$503,_calc!$E$132)))=0,"","Backup: "&amp;IF(LEN(INDEX('Checklist'!$F$4:$F$503,_calc!$E$132))=0,"",INDEX('Checklist'!$F$4:$F$503,_calc!$E$132))&amp;". ")&amp;IF(LEN(IF(LEN(INDEX('Checklist'!$J$4:$J$503,_calc!$E$132))=0,"",INDEX('Checklist'!$J$4:$J$503,_calc!$E$132)))=0,"","Evidence: "&amp;IF(LEN(INDEX('Checklist'!$J$4:$J$503,_calc!$E$132))=0,"",INDEX('Checklist'!$J$4:$J$503,_calc!$E$132))&amp;". ")&amp;IF(LEN(IF(LEN(INDEX('Checklist'!$D$4:$D$503,_calc!$E$132))=0,"",INDEX('Checklist'!$D$4:$D$503,_calc!$E$132)))=0,"","Rule example: "&amp;IF(LEN(INDEX('Checklist'!$D$4:$D$503,_calc!$E$132))=0,"",INDEX('Checklist'!$D$4:$D$503,_calc!$E$132))&amp;". ")&amp;IF(LEN(IF(LEN(INDEX('Checklist'!$P$4:$P$503,_calc!$E$132))=0,"",INDEX('Checklist'!$P$4:$P$503,_calc!$E$132)))=0,"",IF(LEN(INDEX('Checklist'!$P$4:$P$503,_calc!$E$132))=0,"",INDEX('Checklist'!$P$4:$P$503,_calc!$E$132)))))</f>
        <v/>
      </c>
      <c r="K130" s="44">
        <f>IF(_calc!$E$132="","",IF(LEN(INDEX('Checklist'!$G$4:$G$503,_calc!$E$132))=0,"",INDEX('Checklist'!$G$4:$G$503,_calc!$E$132)))</f>
        <v/>
      </c>
    </row>
    <row r="131">
      <c r="A131" s="44">
        <f>IF(_calc!$E$133="","","Survey check – "&amp;IF(LEN(INDEX('Checklist'!$C$4:$C$503,_calc!$E$133))=0,"",INDEX('Checklist'!$C$4:$C$503,_calc!$E$133)))</f>
        <v/>
      </c>
      <c r="B131" s="44">
        <f>IF(_calc!$E$133="","",IF(ISNUMBER(INDEX('Checklist'!$L$4:$L$503,_calc!$E$133)),TEXT(INDEX('Checklist'!$L$4:$L$503,_calc!$E$133),"yyyy-mm-dd"),""))</f>
        <v/>
      </c>
      <c r="C131" s="44">
        <f>IF(_calc!$E$133="","","Survey readiness")</f>
        <v/>
      </c>
      <c r="D131" s="44">
        <f>IF(_calc!$E$133="","",IF(ISNUMBER(INDEX('Checklist'!$H$4:$H$503,_calc!$E$133)),TEXT(INDEX('Checklist'!$H$4:$H$503,_calc!$E$133),"yyyy-mm-dd"),""))</f>
        <v/>
      </c>
      <c r="F131" s="44">
        <f>IF(_calc!$E$133="","",TRIM(IF(LEN(IF(LEN(INDEX('Checklist'!$A$4:$A$503,_calc!$E$133))=0,"",INDEX('Checklist'!$A$4:$A$503,_calc!$E$133)))=0,"","Group: "&amp;IF(LEN(INDEX('Checklist'!$A$4:$A$503,_calc!$E$133))=0,"",INDEX('Checklist'!$A$4:$A$503,_calc!$E$133))&amp;". ")&amp;IF(LEN(IF(LEN(INDEX('Checklist'!$E$4:$E$503,_calc!$E$133))=0,"",INDEX('Checklist'!$E$4:$E$503,_calc!$E$133)))=0,"","Owner: "&amp;IF(LEN(INDEX('Checklist'!$E$4:$E$503,_calc!$E$133))=0,"",INDEX('Checklist'!$E$4:$E$503,_calc!$E$133))&amp;". ")&amp;IF(LEN(IF(LEN(INDEX('Checklist'!$F$4:$F$503,_calc!$E$133))=0,"",INDEX('Checklist'!$F$4:$F$503,_calc!$E$133)))=0,"","Backup: "&amp;IF(LEN(INDEX('Checklist'!$F$4:$F$503,_calc!$E$133))=0,"",INDEX('Checklist'!$F$4:$F$503,_calc!$E$133))&amp;". ")&amp;IF(LEN(IF(LEN(INDEX('Checklist'!$J$4:$J$503,_calc!$E$133))=0,"",INDEX('Checklist'!$J$4:$J$503,_calc!$E$133)))=0,"","Evidence: "&amp;IF(LEN(INDEX('Checklist'!$J$4:$J$503,_calc!$E$133))=0,"",INDEX('Checklist'!$J$4:$J$503,_calc!$E$133))&amp;". ")&amp;IF(LEN(IF(LEN(INDEX('Checklist'!$D$4:$D$503,_calc!$E$133))=0,"",INDEX('Checklist'!$D$4:$D$503,_calc!$E$133)))=0,"","Rule example: "&amp;IF(LEN(INDEX('Checklist'!$D$4:$D$503,_calc!$E$133))=0,"",INDEX('Checklist'!$D$4:$D$503,_calc!$E$133))&amp;". ")&amp;IF(LEN(IF(LEN(INDEX('Checklist'!$P$4:$P$503,_calc!$E$133))=0,"",INDEX('Checklist'!$P$4:$P$503,_calc!$E$133)))=0,"",IF(LEN(INDEX('Checklist'!$P$4:$P$503,_calc!$E$133))=0,"",INDEX('Checklist'!$P$4:$P$503,_calc!$E$133)))))</f>
        <v/>
      </c>
      <c r="K131" s="44">
        <f>IF(_calc!$E$133="","",IF(LEN(INDEX('Checklist'!$G$4:$G$503,_calc!$E$133))=0,"",INDEX('Checklist'!$G$4:$G$503,_calc!$E$133)))</f>
        <v/>
      </c>
    </row>
    <row r="132">
      <c r="A132" s="44">
        <f>IF(_calc!$E$134="","","Survey check – "&amp;IF(LEN(INDEX('Checklist'!$C$4:$C$503,_calc!$E$134))=0,"",INDEX('Checklist'!$C$4:$C$503,_calc!$E$134)))</f>
        <v/>
      </c>
      <c r="B132" s="44">
        <f>IF(_calc!$E$134="","",IF(ISNUMBER(INDEX('Checklist'!$L$4:$L$503,_calc!$E$134)),TEXT(INDEX('Checklist'!$L$4:$L$503,_calc!$E$134),"yyyy-mm-dd"),""))</f>
        <v/>
      </c>
      <c r="C132" s="44">
        <f>IF(_calc!$E$134="","","Survey readiness")</f>
        <v/>
      </c>
      <c r="D132" s="44">
        <f>IF(_calc!$E$134="","",IF(ISNUMBER(INDEX('Checklist'!$H$4:$H$503,_calc!$E$134)),TEXT(INDEX('Checklist'!$H$4:$H$503,_calc!$E$134),"yyyy-mm-dd"),""))</f>
        <v/>
      </c>
      <c r="F132" s="44">
        <f>IF(_calc!$E$134="","",TRIM(IF(LEN(IF(LEN(INDEX('Checklist'!$A$4:$A$503,_calc!$E$134))=0,"",INDEX('Checklist'!$A$4:$A$503,_calc!$E$134)))=0,"","Group: "&amp;IF(LEN(INDEX('Checklist'!$A$4:$A$503,_calc!$E$134))=0,"",INDEX('Checklist'!$A$4:$A$503,_calc!$E$134))&amp;". ")&amp;IF(LEN(IF(LEN(INDEX('Checklist'!$E$4:$E$503,_calc!$E$134))=0,"",INDEX('Checklist'!$E$4:$E$503,_calc!$E$134)))=0,"","Owner: "&amp;IF(LEN(INDEX('Checklist'!$E$4:$E$503,_calc!$E$134))=0,"",INDEX('Checklist'!$E$4:$E$503,_calc!$E$134))&amp;". ")&amp;IF(LEN(IF(LEN(INDEX('Checklist'!$F$4:$F$503,_calc!$E$134))=0,"",INDEX('Checklist'!$F$4:$F$503,_calc!$E$134)))=0,"","Backup: "&amp;IF(LEN(INDEX('Checklist'!$F$4:$F$503,_calc!$E$134))=0,"",INDEX('Checklist'!$F$4:$F$503,_calc!$E$134))&amp;". ")&amp;IF(LEN(IF(LEN(INDEX('Checklist'!$J$4:$J$503,_calc!$E$134))=0,"",INDEX('Checklist'!$J$4:$J$503,_calc!$E$134)))=0,"","Evidence: "&amp;IF(LEN(INDEX('Checklist'!$J$4:$J$503,_calc!$E$134))=0,"",INDEX('Checklist'!$J$4:$J$503,_calc!$E$134))&amp;". ")&amp;IF(LEN(IF(LEN(INDEX('Checklist'!$D$4:$D$503,_calc!$E$134))=0,"",INDEX('Checklist'!$D$4:$D$503,_calc!$E$134)))=0,"","Rule example: "&amp;IF(LEN(INDEX('Checklist'!$D$4:$D$503,_calc!$E$134))=0,"",INDEX('Checklist'!$D$4:$D$503,_calc!$E$134))&amp;". ")&amp;IF(LEN(IF(LEN(INDEX('Checklist'!$P$4:$P$503,_calc!$E$134))=0,"",INDEX('Checklist'!$P$4:$P$503,_calc!$E$134)))=0,"",IF(LEN(INDEX('Checklist'!$P$4:$P$503,_calc!$E$134))=0,"",INDEX('Checklist'!$P$4:$P$503,_calc!$E$134)))))</f>
        <v/>
      </c>
      <c r="K132" s="44">
        <f>IF(_calc!$E$134="","",IF(LEN(INDEX('Checklist'!$G$4:$G$503,_calc!$E$134))=0,"",INDEX('Checklist'!$G$4:$G$503,_calc!$E$134)))</f>
        <v/>
      </c>
    </row>
    <row r="133">
      <c r="A133" s="44">
        <f>IF(_calc!$E$135="","","Survey check – "&amp;IF(LEN(INDEX('Checklist'!$C$4:$C$503,_calc!$E$135))=0,"",INDEX('Checklist'!$C$4:$C$503,_calc!$E$135)))</f>
        <v/>
      </c>
      <c r="B133" s="44">
        <f>IF(_calc!$E$135="","",IF(ISNUMBER(INDEX('Checklist'!$L$4:$L$503,_calc!$E$135)),TEXT(INDEX('Checklist'!$L$4:$L$503,_calc!$E$135),"yyyy-mm-dd"),""))</f>
        <v/>
      </c>
      <c r="C133" s="44">
        <f>IF(_calc!$E$135="","","Survey readiness")</f>
        <v/>
      </c>
      <c r="D133" s="44">
        <f>IF(_calc!$E$135="","",IF(ISNUMBER(INDEX('Checklist'!$H$4:$H$503,_calc!$E$135)),TEXT(INDEX('Checklist'!$H$4:$H$503,_calc!$E$135),"yyyy-mm-dd"),""))</f>
        <v/>
      </c>
      <c r="F133" s="44">
        <f>IF(_calc!$E$135="","",TRIM(IF(LEN(IF(LEN(INDEX('Checklist'!$A$4:$A$503,_calc!$E$135))=0,"",INDEX('Checklist'!$A$4:$A$503,_calc!$E$135)))=0,"","Group: "&amp;IF(LEN(INDEX('Checklist'!$A$4:$A$503,_calc!$E$135))=0,"",INDEX('Checklist'!$A$4:$A$503,_calc!$E$135))&amp;". ")&amp;IF(LEN(IF(LEN(INDEX('Checklist'!$E$4:$E$503,_calc!$E$135))=0,"",INDEX('Checklist'!$E$4:$E$503,_calc!$E$135)))=0,"","Owner: "&amp;IF(LEN(INDEX('Checklist'!$E$4:$E$503,_calc!$E$135))=0,"",INDEX('Checklist'!$E$4:$E$503,_calc!$E$135))&amp;". ")&amp;IF(LEN(IF(LEN(INDEX('Checklist'!$F$4:$F$503,_calc!$E$135))=0,"",INDEX('Checklist'!$F$4:$F$503,_calc!$E$135)))=0,"","Backup: "&amp;IF(LEN(INDEX('Checklist'!$F$4:$F$503,_calc!$E$135))=0,"",INDEX('Checklist'!$F$4:$F$503,_calc!$E$135))&amp;". ")&amp;IF(LEN(IF(LEN(INDEX('Checklist'!$J$4:$J$503,_calc!$E$135))=0,"",INDEX('Checklist'!$J$4:$J$503,_calc!$E$135)))=0,"","Evidence: "&amp;IF(LEN(INDEX('Checklist'!$J$4:$J$503,_calc!$E$135))=0,"",INDEX('Checklist'!$J$4:$J$503,_calc!$E$135))&amp;". ")&amp;IF(LEN(IF(LEN(INDEX('Checklist'!$D$4:$D$503,_calc!$E$135))=0,"",INDEX('Checklist'!$D$4:$D$503,_calc!$E$135)))=0,"","Rule example: "&amp;IF(LEN(INDEX('Checklist'!$D$4:$D$503,_calc!$E$135))=0,"",INDEX('Checklist'!$D$4:$D$503,_calc!$E$135))&amp;". ")&amp;IF(LEN(IF(LEN(INDEX('Checklist'!$P$4:$P$503,_calc!$E$135))=0,"",INDEX('Checklist'!$P$4:$P$503,_calc!$E$135)))=0,"",IF(LEN(INDEX('Checklist'!$P$4:$P$503,_calc!$E$135))=0,"",INDEX('Checklist'!$P$4:$P$503,_calc!$E$135)))))</f>
        <v/>
      </c>
      <c r="K133" s="44">
        <f>IF(_calc!$E$135="","",IF(LEN(INDEX('Checklist'!$G$4:$G$503,_calc!$E$135))=0,"",INDEX('Checklist'!$G$4:$G$503,_calc!$E$135)))</f>
        <v/>
      </c>
    </row>
    <row r="134">
      <c r="A134" s="44">
        <f>IF(_calc!$E$136="","","Survey check – "&amp;IF(LEN(INDEX('Checklist'!$C$4:$C$503,_calc!$E$136))=0,"",INDEX('Checklist'!$C$4:$C$503,_calc!$E$136)))</f>
        <v/>
      </c>
      <c r="B134" s="44">
        <f>IF(_calc!$E$136="","",IF(ISNUMBER(INDEX('Checklist'!$L$4:$L$503,_calc!$E$136)),TEXT(INDEX('Checklist'!$L$4:$L$503,_calc!$E$136),"yyyy-mm-dd"),""))</f>
        <v/>
      </c>
      <c r="C134" s="44">
        <f>IF(_calc!$E$136="","","Survey readiness")</f>
        <v/>
      </c>
      <c r="D134" s="44">
        <f>IF(_calc!$E$136="","",IF(ISNUMBER(INDEX('Checklist'!$H$4:$H$503,_calc!$E$136)),TEXT(INDEX('Checklist'!$H$4:$H$503,_calc!$E$136),"yyyy-mm-dd"),""))</f>
        <v/>
      </c>
      <c r="F134" s="44">
        <f>IF(_calc!$E$136="","",TRIM(IF(LEN(IF(LEN(INDEX('Checklist'!$A$4:$A$503,_calc!$E$136))=0,"",INDEX('Checklist'!$A$4:$A$503,_calc!$E$136)))=0,"","Group: "&amp;IF(LEN(INDEX('Checklist'!$A$4:$A$503,_calc!$E$136))=0,"",INDEX('Checklist'!$A$4:$A$503,_calc!$E$136))&amp;". ")&amp;IF(LEN(IF(LEN(INDEX('Checklist'!$E$4:$E$503,_calc!$E$136))=0,"",INDEX('Checklist'!$E$4:$E$503,_calc!$E$136)))=0,"","Owner: "&amp;IF(LEN(INDEX('Checklist'!$E$4:$E$503,_calc!$E$136))=0,"",INDEX('Checklist'!$E$4:$E$503,_calc!$E$136))&amp;". ")&amp;IF(LEN(IF(LEN(INDEX('Checklist'!$F$4:$F$503,_calc!$E$136))=0,"",INDEX('Checklist'!$F$4:$F$503,_calc!$E$136)))=0,"","Backup: "&amp;IF(LEN(INDEX('Checklist'!$F$4:$F$503,_calc!$E$136))=0,"",INDEX('Checklist'!$F$4:$F$503,_calc!$E$136))&amp;". ")&amp;IF(LEN(IF(LEN(INDEX('Checklist'!$J$4:$J$503,_calc!$E$136))=0,"",INDEX('Checklist'!$J$4:$J$503,_calc!$E$136)))=0,"","Evidence: "&amp;IF(LEN(INDEX('Checklist'!$J$4:$J$503,_calc!$E$136))=0,"",INDEX('Checklist'!$J$4:$J$503,_calc!$E$136))&amp;". ")&amp;IF(LEN(IF(LEN(INDEX('Checklist'!$D$4:$D$503,_calc!$E$136))=0,"",INDEX('Checklist'!$D$4:$D$503,_calc!$E$136)))=0,"","Rule example: "&amp;IF(LEN(INDEX('Checklist'!$D$4:$D$503,_calc!$E$136))=0,"",INDEX('Checklist'!$D$4:$D$503,_calc!$E$136))&amp;". ")&amp;IF(LEN(IF(LEN(INDEX('Checklist'!$P$4:$P$503,_calc!$E$136))=0,"",INDEX('Checklist'!$P$4:$P$503,_calc!$E$136)))=0,"",IF(LEN(INDEX('Checklist'!$P$4:$P$503,_calc!$E$136))=0,"",INDEX('Checklist'!$P$4:$P$503,_calc!$E$136)))))</f>
        <v/>
      </c>
      <c r="K134" s="44">
        <f>IF(_calc!$E$136="","",IF(LEN(INDEX('Checklist'!$G$4:$G$503,_calc!$E$136))=0,"",INDEX('Checklist'!$G$4:$G$503,_calc!$E$136)))</f>
        <v/>
      </c>
    </row>
    <row r="135">
      <c r="A135" s="44">
        <f>IF(_calc!$E$137="","","Survey check – "&amp;IF(LEN(INDEX('Checklist'!$C$4:$C$503,_calc!$E$137))=0,"",INDEX('Checklist'!$C$4:$C$503,_calc!$E$137)))</f>
        <v/>
      </c>
      <c r="B135" s="44">
        <f>IF(_calc!$E$137="","",IF(ISNUMBER(INDEX('Checklist'!$L$4:$L$503,_calc!$E$137)),TEXT(INDEX('Checklist'!$L$4:$L$503,_calc!$E$137),"yyyy-mm-dd"),""))</f>
        <v/>
      </c>
      <c r="C135" s="44">
        <f>IF(_calc!$E$137="","","Survey readiness")</f>
        <v/>
      </c>
      <c r="D135" s="44">
        <f>IF(_calc!$E$137="","",IF(ISNUMBER(INDEX('Checklist'!$H$4:$H$503,_calc!$E$137)),TEXT(INDEX('Checklist'!$H$4:$H$503,_calc!$E$137),"yyyy-mm-dd"),""))</f>
        <v/>
      </c>
      <c r="F135" s="44">
        <f>IF(_calc!$E$137="","",TRIM(IF(LEN(IF(LEN(INDEX('Checklist'!$A$4:$A$503,_calc!$E$137))=0,"",INDEX('Checklist'!$A$4:$A$503,_calc!$E$137)))=0,"","Group: "&amp;IF(LEN(INDEX('Checklist'!$A$4:$A$503,_calc!$E$137))=0,"",INDEX('Checklist'!$A$4:$A$503,_calc!$E$137))&amp;". ")&amp;IF(LEN(IF(LEN(INDEX('Checklist'!$E$4:$E$503,_calc!$E$137))=0,"",INDEX('Checklist'!$E$4:$E$503,_calc!$E$137)))=0,"","Owner: "&amp;IF(LEN(INDEX('Checklist'!$E$4:$E$503,_calc!$E$137))=0,"",INDEX('Checklist'!$E$4:$E$503,_calc!$E$137))&amp;". ")&amp;IF(LEN(IF(LEN(INDEX('Checklist'!$F$4:$F$503,_calc!$E$137))=0,"",INDEX('Checklist'!$F$4:$F$503,_calc!$E$137)))=0,"","Backup: "&amp;IF(LEN(INDEX('Checklist'!$F$4:$F$503,_calc!$E$137))=0,"",INDEX('Checklist'!$F$4:$F$503,_calc!$E$137))&amp;". ")&amp;IF(LEN(IF(LEN(INDEX('Checklist'!$J$4:$J$503,_calc!$E$137))=0,"",INDEX('Checklist'!$J$4:$J$503,_calc!$E$137)))=0,"","Evidence: "&amp;IF(LEN(INDEX('Checklist'!$J$4:$J$503,_calc!$E$137))=0,"",INDEX('Checklist'!$J$4:$J$503,_calc!$E$137))&amp;". ")&amp;IF(LEN(IF(LEN(INDEX('Checklist'!$D$4:$D$503,_calc!$E$137))=0,"",INDEX('Checklist'!$D$4:$D$503,_calc!$E$137)))=0,"","Rule example: "&amp;IF(LEN(INDEX('Checklist'!$D$4:$D$503,_calc!$E$137))=0,"",INDEX('Checklist'!$D$4:$D$503,_calc!$E$137))&amp;". ")&amp;IF(LEN(IF(LEN(INDEX('Checklist'!$P$4:$P$503,_calc!$E$137))=0,"",INDEX('Checklist'!$P$4:$P$503,_calc!$E$137)))=0,"",IF(LEN(INDEX('Checklist'!$P$4:$P$503,_calc!$E$137))=0,"",INDEX('Checklist'!$P$4:$P$503,_calc!$E$137)))))</f>
        <v/>
      </c>
      <c r="K135" s="44">
        <f>IF(_calc!$E$137="","",IF(LEN(INDEX('Checklist'!$G$4:$G$503,_calc!$E$137))=0,"",INDEX('Checklist'!$G$4:$G$503,_calc!$E$137)))</f>
        <v/>
      </c>
    </row>
    <row r="136">
      <c r="A136" s="44">
        <f>IF(_calc!$E$138="","","Survey check – "&amp;IF(LEN(INDEX('Checklist'!$C$4:$C$503,_calc!$E$138))=0,"",INDEX('Checklist'!$C$4:$C$503,_calc!$E$138)))</f>
        <v/>
      </c>
      <c r="B136" s="44">
        <f>IF(_calc!$E$138="","",IF(ISNUMBER(INDEX('Checklist'!$L$4:$L$503,_calc!$E$138)),TEXT(INDEX('Checklist'!$L$4:$L$503,_calc!$E$138),"yyyy-mm-dd"),""))</f>
        <v/>
      </c>
      <c r="C136" s="44">
        <f>IF(_calc!$E$138="","","Survey readiness")</f>
        <v/>
      </c>
      <c r="D136" s="44">
        <f>IF(_calc!$E$138="","",IF(ISNUMBER(INDEX('Checklist'!$H$4:$H$503,_calc!$E$138)),TEXT(INDEX('Checklist'!$H$4:$H$503,_calc!$E$138),"yyyy-mm-dd"),""))</f>
        <v/>
      </c>
      <c r="F136" s="44">
        <f>IF(_calc!$E$138="","",TRIM(IF(LEN(IF(LEN(INDEX('Checklist'!$A$4:$A$503,_calc!$E$138))=0,"",INDEX('Checklist'!$A$4:$A$503,_calc!$E$138)))=0,"","Group: "&amp;IF(LEN(INDEX('Checklist'!$A$4:$A$503,_calc!$E$138))=0,"",INDEX('Checklist'!$A$4:$A$503,_calc!$E$138))&amp;". ")&amp;IF(LEN(IF(LEN(INDEX('Checklist'!$E$4:$E$503,_calc!$E$138))=0,"",INDEX('Checklist'!$E$4:$E$503,_calc!$E$138)))=0,"","Owner: "&amp;IF(LEN(INDEX('Checklist'!$E$4:$E$503,_calc!$E$138))=0,"",INDEX('Checklist'!$E$4:$E$503,_calc!$E$138))&amp;". ")&amp;IF(LEN(IF(LEN(INDEX('Checklist'!$F$4:$F$503,_calc!$E$138))=0,"",INDEX('Checklist'!$F$4:$F$503,_calc!$E$138)))=0,"","Backup: "&amp;IF(LEN(INDEX('Checklist'!$F$4:$F$503,_calc!$E$138))=0,"",INDEX('Checklist'!$F$4:$F$503,_calc!$E$138))&amp;". ")&amp;IF(LEN(IF(LEN(INDEX('Checklist'!$J$4:$J$503,_calc!$E$138))=0,"",INDEX('Checklist'!$J$4:$J$503,_calc!$E$138)))=0,"","Evidence: "&amp;IF(LEN(INDEX('Checklist'!$J$4:$J$503,_calc!$E$138))=0,"",INDEX('Checklist'!$J$4:$J$503,_calc!$E$138))&amp;". ")&amp;IF(LEN(IF(LEN(INDEX('Checklist'!$D$4:$D$503,_calc!$E$138))=0,"",INDEX('Checklist'!$D$4:$D$503,_calc!$E$138)))=0,"","Rule example: "&amp;IF(LEN(INDEX('Checklist'!$D$4:$D$503,_calc!$E$138))=0,"",INDEX('Checklist'!$D$4:$D$503,_calc!$E$138))&amp;". ")&amp;IF(LEN(IF(LEN(INDEX('Checklist'!$P$4:$P$503,_calc!$E$138))=0,"",INDEX('Checklist'!$P$4:$P$503,_calc!$E$138)))=0,"",IF(LEN(INDEX('Checklist'!$P$4:$P$503,_calc!$E$138))=0,"",INDEX('Checklist'!$P$4:$P$503,_calc!$E$138)))))</f>
        <v/>
      </c>
      <c r="K136" s="44">
        <f>IF(_calc!$E$138="","",IF(LEN(INDEX('Checklist'!$G$4:$G$503,_calc!$E$138))=0,"",INDEX('Checklist'!$G$4:$G$503,_calc!$E$138)))</f>
        <v/>
      </c>
    </row>
    <row r="137">
      <c r="A137" s="44">
        <f>IF(_calc!$E$139="","","Survey check – "&amp;IF(LEN(INDEX('Checklist'!$C$4:$C$503,_calc!$E$139))=0,"",INDEX('Checklist'!$C$4:$C$503,_calc!$E$139)))</f>
        <v/>
      </c>
      <c r="B137" s="44">
        <f>IF(_calc!$E$139="","",IF(ISNUMBER(INDEX('Checklist'!$L$4:$L$503,_calc!$E$139)),TEXT(INDEX('Checklist'!$L$4:$L$503,_calc!$E$139),"yyyy-mm-dd"),""))</f>
        <v/>
      </c>
      <c r="C137" s="44">
        <f>IF(_calc!$E$139="","","Survey readiness")</f>
        <v/>
      </c>
      <c r="D137" s="44">
        <f>IF(_calc!$E$139="","",IF(ISNUMBER(INDEX('Checklist'!$H$4:$H$503,_calc!$E$139)),TEXT(INDEX('Checklist'!$H$4:$H$503,_calc!$E$139),"yyyy-mm-dd"),""))</f>
        <v/>
      </c>
      <c r="F137" s="44">
        <f>IF(_calc!$E$139="","",TRIM(IF(LEN(IF(LEN(INDEX('Checklist'!$A$4:$A$503,_calc!$E$139))=0,"",INDEX('Checklist'!$A$4:$A$503,_calc!$E$139)))=0,"","Group: "&amp;IF(LEN(INDEX('Checklist'!$A$4:$A$503,_calc!$E$139))=0,"",INDEX('Checklist'!$A$4:$A$503,_calc!$E$139))&amp;". ")&amp;IF(LEN(IF(LEN(INDEX('Checklist'!$E$4:$E$503,_calc!$E$139))=0,"",INDEX('Checklist'!$E$4:$E$503,_calc!$E$139)))=0,"","Owner: "&amp;IF(LEN(INDEX('Checklist'!$E$4:$E$503,_calc!$E$139))=0,"",INDEX('Checklist'!$E$4:$E$503,_calc!$E$139))&amp;". ")&amp;IF(LEN(IF(LEN(INDEX('Checklist'!$F$4:$F$503,_calc!$E$139))=0,"",INDEX('Checklist'!$F$4:$F$503,_calc!$E$139)))=0,"","Backup: "&amp;IF(LEN(INDEX('Checklist'!$F$4:$F$503,_calc!$E$139))=0,"",INDEX('Checklist'!$F$4:$F$503,_calc!$E$139))&amp;". ")&amp;IF(LEN(IF(LEN(INDEX('Checklist'!$J$4:$J$503,_calc!$E$139))=0,"",INDEX('Checklist'!$J$4:$J$503,_calc!$E$139)))=0,"","Evidence: "&amp;IF(LEN(INDEX('Checklist'!$J$4:$J$503,_calc!$E$139))=0,"",INDEX('Checklist'!$J$4:$J$503,_calc!$E$139))&amp;". ")&amp;IF(LEN(IF(LEN(INDEX('Checklist'!$D$4:$D$503,_calc!$E$139))=0,"",INDEX('Checklist'!$D$4:$D$503,_calc!$E$139)))=0,"","Rule example: "&amp;IF(LEN(INDEX('Checklist'!$D$4:$D$503,_calc!$E$139))=0,"",INDEX('Checklist'!$D$4:$D$503,_calc!$E$139))&amp;". ")&amp;IF(LEN(IF(LEN(INDEX('Checklist'!$P$4:$P$503,_calc!$E$139))=0,"",INDEX('Checklist'!$P$4:$P$503,_calc!$E$139)))=0,"",IF(LEN(INDEX('Checklist'!$P$4:$P$503,_calc!$E$139))=0,"",INDEX('Checklist'!$P$4:$P$503,_calc!$E$139)))))</f>
        <v/>
      </c>
      <c r="K137" s="44">
        <f>IF(_calc!$E$139="","",IF(LEN(INDEX('Checklist'!$G$4:$G$503,_calc!$E$139))=0,"",INDEX('Checklist'!$G$4:$G$503,_calc!$E$139)))</f>
        <v/>
      </c>
    </row>
    <row r="138">
      <c r="A138" s="44">
        <f>IF(_calc!$E$140="","","Survey check – "&amp;IF(LEN(INDEX('Checklist'!$C$4:$C$503,_calc!$E$140))=0,"",INDEX('Checklist'!$C$4:$C$503,_calc!$E$140)))</f>
        <v/>
      </c>
      <c r="B138" s="44">
        <f>IF(_calc!$E$140="","",IF(ISNUMBER(INDEX('Checklist'!$L$4:$L$503,_calc!$E$140)),TEXT(INDEX('Checklist'!$L$4:$L$503,_calc!$E$140),"yyyy-mm-dd"),""))</f>
        <v/>
      </c>
      <c r="C138" s="44">
        <f>IF(_calc!$E$140="","","Survey readiness")</f>
        <v/>
      </c>
      <c r="D138" s="44">
        <f>IF(_calc!$E$140="","",IF(ISNUMBER(INDEX('Checklist'!$H$4:$H$503,_calc!$E$140)),TEXT(INDEX('Checklist'!$H$4:$H$503,_calc!$E$140),"yyyy-mm-dd"),""))</f>
        <v/>
      </c>
      <c r="F138" s="44">
        <f>IF(_calc!$E$140="","",TRIM(IF(LEN(IF(LEN(INDEX('Checklist'!$A$4:$A$503,_calc!$E$140))=0,"",INDEX('Checklist'!$A$4:$A$503,_calc!$E$140)))=0,"","Group: "&amp;IF(LEN(INDEX('Checklist'!$A$4:$A$503,_calc!$E$140))=0,"",INDEX('Checklist'!$A$4:$A$503,_calc!$E$140))&amp;". ")&amp;IF(LEN(IF(LEN(INDEX('Checklist'!$E$4:$E$503,_calc!$E$140))=0,"",INDEX('Checklist'!$E$4:$E$503,_calc!$E$140)))=0,"","Owner: "&amp;IF(LEN(INDEX('Checklist'!$E$4:$E$503,_calc!$E$140))=0,"",INDEX('Checklist'!$E$4:$E$503,_calc!$E$140))&amp;". ")&amp;IF(LEN(IF(LEN(INDEX('Checklist'!$F$4:$F$503,_calc!$E$140))=0,"",INDEX('Checklist'!$F$4:$F$503,_calc!$E$140)))=0,"","Backup: "&amp;IF(LEN(INDEX('Checklist'!$F$4:$F$503,_calc!$E$140))=0,"",INDEX('Checklist'!$F$4:$F$503,_calc!$E$140))&amp;". ")&amp;IF(LEN(IF(LEN(INDEX('Checklist'!$J$4:$J$503,_calc!$E$140))=0,"",INDEX('Checklist'!$J$4:$J$503,_calc!$E$140)))=0,"","Evidence: "&amp;IF(LEN(INDEX('Checklist'!$J$4:$J$503,_calc!$E$140))=0,"",INDEX('Checklist'!$J$4:$J$503,_calc!$E$140))&amp;". ")&amp;IF(LEN(IF(LEN(INDEX('Checklist'!$D$4:$D$503,_calc!$E$140))=0,"",INDEX('Checklist'!$D$4:$D$503,_calc!$E$140)))=0,"","Rule example: "&amp;IF(LEN(INDEX('Checklist'!$D$4:$D$503,_calc!$E$140))=0,"",INDEX('Checklist'!$D$4:$D$503,_calc!$E$140))&amp;". ")&amp;IF(LEN(IF(LEN(INDEX('Checklist'!$P$4:$P$503,_calc!$E$140))=0,"",INDEX('Checklist'!$P$4:$P$503,_calc!$E$140)))=0,"",IF(LEN(INDEX('Checklist'!$P$4:$P$503,_calc!$E$140))=0,"",INDEX('Checklist'!$P$4:$P$503,_calc!$E$140)))))</f>
        <v/>
      </c>
      <c r="K138" s="44">
        <f>IF(_calc!$E$140="","",IF(LEN(INDEX('Checklist'!$G$4:$G$503,_calc!$E$140))=0,"",INDEX('Checklist'!$G$4:$G$503,_calc!$E$140)))</f>
        <v/>
      </c>
    </row>
    <row r="139">
      <c r="A139" s="44">
        <f>IF(_calc!$E$141="","","Survey check – "&amp;IF(LEN(INDEX('Checklist'!$C$4:$C$503,_calc!$E$141))=0,"",INDEX('Checklist'!$C$4:$C$503,_calc!$E$141)))</f>
        <v/>
      </c>
      <c r="B139" s="44">
        <f>IF(_calc!$E$141="","",IF(ISNUMBER(INDEX('Checklist'!$L$4:$L$503,_calc!$E$141)),TEXT(INDEX('Checklist'!$L$4:$L$503,_calc!$E$141),"yyyy-mm-dd"),""))</f>
        <v/>
      </c>
      <c r="C139" s="44">
        <f>IF(_calc!$E$141="","","Survey readiness")</f>
        <v/>
      </c>
      <c r="D139" s="44">
        <f>IF(_calc!$E$141="","",IF(ISNUMBER(INDEX('Checklist'!$H$4:$H$503,_calc!$E$141)),TEXT(INDEX('Checklist'!$H$4:$H$503,_calc!$E$141),"yyyy-mm-dd"),""))</f>
        <v/>
      </c>
      <c r="F139" s="44">
        <f>IF(_calc!$E$141="","",TRIM(IF(LEN(IF(LEN(INDEX('Checklist'!$A$4:$A$503,_calc!$E$141))=0,"",INDEX('Checklist'!$A$4:$A$503,_calc!$E$141)))=0,"","Group: "&amp;IF(LEN(INDEX('Checklist'!$A$4:$A$503,_calc!$E$141))=0,"",INDEX('Checklist'!$A$4:$A$503,_calc!$E$141))&amp;". ")&amp;IF(LEN(IF(LEN(INDEX('Checklist'!$E$4:$E$503,_calc!$E$141))=0,"",INDEX('Checklist'!$E$4:$E$503,_calc!$E$141)))=0,"","Owner: "&amp;IF(LEN(INDEX('Checklist'!$E$4:$E$503,_calc!$E$141))=0,"",INDEX('Checklist'!$E$4:$E$503,_calc!$E$141))&amp;". ")&amp;IF(LEN(IF(LEN(INDEX('Checklist'!$F$4:$F$503,_calc!$E$141))=0,"",INDEX('Checklist'!$F$4:$F$503,_calc!$E$141)))=0,"","Backup: "&amp;IF(LEN(INDEX('Checklist'!$F$4:$F$503,_calc!$E$141))=0,"",INDEX('Checklist'!$F$4:$F$503,_calc!$E$141))&amp;". ")&amp;IF(LEN(IF(LEN(INDEX('Checklist'!$J$4:$J$503,_calc!$E$141))=0,"",INDEX('Checklist'!$J$4:$J$503,_calc!$E$141)))=0,"","Evidence: "&amp;IF(LEN(INDEX('Checklist'!$J$4:$J$503,_calc!$E$141))=0,"",INDEX('Checklist'!$J$4:$J$503,_calc!$E$141))&amp;". ")&amp;IF(LEN(IF(LEN(INDEX('Checklist'!$D$4:$D$503,_calc!$E$141))=0,"",INDEX('Checklist'!$D$4:$D$503,_calc!$E$141)))=0,"","Rule example: "&amp;IF(LEN(INDEX('Checklist'!$D$4:$D$503,_calc!$E$141))=0,"",INDEX('Checklist'!$D$4:$D$503,_calc!$E$141))&amp;". ")&amp;IF(LEN(IF(LEN(INDEX('Checklist'!$P$4:$P$503,_calc!$E$141))=0,"",INDEX('Checklist'!$P$4:$P$503,_calc!$E$141)))=0,"",IF(LEN(INDEX('Checklist'!$P$4:$P$503,_calc!$E$141))=0,"",INDEX('Checklist'!$P$4:$P$503,_calc!$E$141)))))</f>
        <v/>
      </c>
      <c r="K139" s="44">
        <f>IF(_calc!$E$141="","",IF(LEN(INDEX('Checklist'!$G$4:$G$503,_calc!$E$141))=0,"",INDEX('Checklist'!$G$4:$G$503,_calc!$E$141)))</f>
        <v/>
      </c>
    </row>
    <row r="140">
      <c r="A140" s="44">
        <f>IF(_calc!$E$142="","","Survey check – "&amp;IF(LEN(INDEX('Checklist'!$C$4:$C$503,_calc!$E$142))=0,"",INDEX('Checklist'!$C$4:$C$503,_calc!$E$142)))</f>
        <v/>
      </c>
      <c r="B140" s="44">
        <f>IF(_calc!$E$142="","",IF(ISNUMBER(INDEX('Checklist'!$L$4:$L$503,_calc!$E$142)),TEXT(INDEX('Checklist'!$L$4:$L$503,_calc!$E$142),"yyyy-mm-dd"),""))</f>
        <v/>
      </c>
      <c r="C140" s="44">
        <f>IF(_calc!$E$142="","","Survey readiness")</f>
        <v/>
      </c>
      <c r="D140" s="44">
        <f>IF(_calc!$E$142="","",IF(ISNUMBER(INDEX('Checklist'!$H$4:$H$503,_calc!$E$142)),TEXT(INDEX('Checklist'!$H$4:$H$503,_calc!$E$142),"yyyy-mm-dd"),""))</f>
        <v/>
      </c>
      <c r="F140" s="44">
        <f>IF(_calc!$E$142="","",TRIM(IF(LEN(IF(LEN(INDEX('Checklist'!$A$4:$A$503,_calc!$E$142))=0,"",INDEX('Checklist'!$A$4:$A$503,_calc!$E$142)))=0,"","Group: "&amp;IF(LEN(INDEX('Checklist'!$A$4:$A$503,_calc!$E$142))=0,"",INDEX('Checklist'!$A$4:$A$503,_calc!$E$142))&amp;". ")&amp;IF(LEN(IF(LEN(INDEX('Checklist'!$E$4:$E$503,_calc!$E$142))=0,"",INDEX('Checklist'!$E$4:$E$503,_calc!$E$142)))=0,"","Owner: "&amp;IF(LEN(INDEX('Checklist'!$E$4:$E$503,_calc!$E$142))=0,"",INDEX('Checklist'!$E$4:$E$503,_calc!$E$142))&amp;". ")&amp;IF(LEN(IF(LEN(INDEX('Checklist'!$F$4:$F$503,_calc!$E$142))=0,"",INDEX('Checklist'!$F$4:$F$503,_calc!$E$142)))=0,"","Backup: "&amp;IF(LEN(INDEX('Checklist'!$F$4:$F$503,_calc!$E$142))=0,"",INDEX('Checklist'!$F$4:$F$503,_calc!$E$142))&amp;". ")&amp;IF(LEN(IF(LEN(INDEX('Checklist'!$J$4:$J$503,_calc!$E$142))=0,"",INDEX('Checklist'!$J$4:$J$503,_calc!$E$142)))=0,"","Evidence: "&amp;IF(LEN(INDEX('Checklist'!$J$4:$J$503,_calc!$E$142))=0,"",INDEX('Checklist'!$J$4:$J$503,_calc!$E$142))&amp;". ")&amp;IF(LEN(IF(LEN(INDEX('Checklist'!$D$4:$D$503,_calc!$E$142))=0,"",INDEX('Checklist'!$D$4:$D$503,_calc!$E$142)))=0,"","Rule example: "&amp;IF(LEN(INDEX('Checklist'!$D$4:$D$503,_calc!$E$142))=0,"",INDEX('Checklist'!$D$4:$D$503,_calc!$E$142))&amp;". ")&amp;IF(LEN(IF(LEN(INDEX('Checklist'!$P$4:$P$503,_calc!$E$142))=0,"",INDEX('Checklist'!$P$4:$P$503,_calc!$E$142)))=0,"",IF(LEN(INDEX('Checklist'!$P$4:$P$503,_calc!$E$142))=0,"",INDEX('Checklist'!$P$4:$P$503,_calc!$E$142)))))</f>
        <v/>
      </c>
      <c r="K140" s="44">
        <f>IF(_calc!$E$142="","",IF(LEN(INDEX('Checklist'!$G$4:$G$503,_calc!$E$142))=0,"",INDEX('Checklist'!$G$4:$G$503,_calc!$E$142)))</f>
        <v/>
      </c>
    </row>
    <row r="141">
      <c r="A141" s="44">
        <f>IF(_calc!$E$143="","","Survey check – "&amp;IF(LEN(INDEX('Checklist'!$C$4:$C$503,_calc!$E$143))=0,"",INDEX('Checklist'!$C$4:$C$503,_calc!$E$143)))</f>
        <v/>
      </c>
      <c r="B141" s="44">
        <f>IF(_calc!$E$143="","",IF(ISNUMBER(INDEX('Checklist'!$L$4:$L$503,_calc!$E$143)),TEXT(INDEX('Checklist'!$L$4:$L$503,_calc!$E$143),"yyyy-mm-dd"),""))</f>
        <v/>
      </c>
      <c r="C141" s="44">
        <f>IF(_calc!$E$143="","","Survey readiness")</f>
        <v/>
      </c>
      <c r="D141" s="44">
        <f>IF(_calc!$E$143="","",IF(ISNUMBER(INDEX('Checklist'!$H$4:$H$503,_calc!$E$143)),TEXT(INDEX('Checklist'!$H$4:$H$503,_calc!$E$143),"yyyy-mm-dd"),""))</f>
        <v/>
      </c>
      <c r="F141" s="44">
        <f>IF(_calc!$E$143="","",TRIM(IF(LEN(IF(LEN(INDEX('Checklist'!$A$4:$A$503,_calc!$E$143))=0,"",INDEX('Checklist'!$A$4:$A$503,_calc!$E$143)))=0,"","Group: "&amp;IF(LEN(INDEX('Checklist'!$A$4:$A$503,_calc!$E$143))=0,"",INDEX('Checklist'!$A$4:$A$503,_calc!$E$143))&amp;". ")&amp;IF(LEN(IF(LEN(INDEX('Checklist'!$E$4:$E$503,_calc!$E$143))=0,"",INDEX('Checklist'!$E$4:$E$503,_calc!$E$143)))=0,"","Owner: "&amp;IF(LEN(INDEX('Checklist'!$E$4:$E$503,_calc!$E$143))=0,"",INDEX('Checklist'!$E$4:$E$503,_calc!$E$143))&amp;". ")&amp;IF(LEN(IF(LEN(INDEX('Checklist'!$F$4:$F$503,_calc!$E$143))=0,"",INDEX('Checklist'!$F$4:$F$503,_calc!$E$143)))=0,"","Backup: "&amp;IF(LEN(INDEX('Checklist'!$F$4:$F$503,_calc!$E$143))=0,"",INDEX('Checklist'!$F$4:$F$503,_calc!$E$143))&amp;". ")&amp;IF(LEN(IF(LEN(INDEX('Checklist'!$J$4:$J$503,_calc!$E$143))=0,"",INDEX('Checklist'!$J$4:$J$503,_calc!$E$143)))=0,"","Evidence: "&amp;IF(LEN(INDEX('Checklist'!$J$4:$J$503,_calc!$E$143))=0,"",INDEX('Checklist'!$J$4:$J$503,_calc!$E$143))&amp;". ")&amp;IF(LEN(IF(LEN(INDEX('Checklist'!$D$4:$D$503,_calc!$E$143))=0,"",INDEX('Checklist'!$D$4:$D$503,_calc!$E$143)))=0,"","Rule example: "&amp;IF(LEN(INDEX('Checklist'!$D$4:$D$503,_calc!$E$143))=0,"",INDEX('Checklist'!$D$4:$D$503,_calc!$E$143))&amp;". ")&amp;IF(LEN(IF(LEN(INDEX('Checklist'!$P$4:$P$503,_calc!$E$143))=0,"",INDEX('Checklist'!$P$4:$P$503,_calc!$E$143)))=0,"",IF(LEN(INDEX('Checklist'!$P$4:$P$503,_calc!$E$143))=0,"",INDEX('Checklist'!$P$4:$P$503,_calc!$E$143)))))</f>
        <v/>
      </c>
      <c r="K141" s="44">
        <f>IF(_calc!$E$143="","",IF(LEN(INDEX('Checklist'!$G$4:$G$503,_calc!$E$143))=0,"",INDEX('Checklist'!$G$4:$G$503,_calc!$E$143)))</f>
        <v/>
      </c>
    </row>
    <row r="142">
      <c r="A142" s="44">
        <f>IF(_calc!$E$144="","","Survey check – "&amp;IF(LEN(INDEX('Checklist'!$C$4:$C$503,_calc!$E$144))=0,"",INDEX('Checklist'!$C$4:$C$503,_calc!$E$144)))</f>
        <v/>
      </c>
      <c r="B142" s="44">
        <f>IF(_calc!$E$144="","",IF(ISNUMBER(INDEX('Checklist'!$L$4:$L$503,_calc!$E$144)),TEXT(INDEX('Checklist'!$L$4:$L$503,_calc!$E$144),"yyyy-mm-dd"),""))</f>
        <v/>
      </c>
      <c r="C142" s="44">
        <f>IF(_calc!$E$144="","","Survey readiness")</f>
        <v/>
      </c>
      <c r="D142" s="44">
        <f>IF(_calc!$E$144="","",IF(ISNUMBER(INDEX('Checklist'!$H$4:$H$503,_calc!$E$144)),TEXT(INDEX('Checklist'!$H$4:$H$503,_calc!$E$144),"yyyy-mm-dd"),""))</f>
        <v/>
      </c>
      <c r="F142" s="44">
        <f>IF(_calc!$E$144="","",TRIM(IF(LEN(IF(LEN(INDEX('Checklist'!$A$4:$A$503,_calc!$E$144))=0,"",INDEX('Checklist'!$A$4:$A$503,_calc!$E$144)))=0,"","Group: "&amp;IF(LEN(INDEX('Checklist'!$A$4:$A$503,_calc!$E$144))=0,"",INDEX('Checklist'!$A$4:$A$503,_calc!$E$144))&amp;". ")&amp;IF(LEN(IF(LEN(INDEX('Checklist'!$E$4:$E$503,_calc!$E$144))=0,"",INDEX('Checklist'!$E$4:$E$503,_calc!$E$144)))=0,"","Owner: "&amp;IF(LEN(INDEX('Checklist'!$E$4:$E$503,_calc!$E$144))=0,"",INDEX('Checklist'!$E$4:$E$503,_calc!$E$144))&amp;". ")&amp;IF(LEN(IF(LEN(INDEX('Checklist'!$F$4:$F$503,_calc!$E$144))=0,"",INDEX('Checklist'!$F$4:$F$503,_calc!$E$144)))=0,"","Backup: "&amp;IF(LEN(INDEX('Checklist'!$F$4:$F$503,_calc!$E$144))=0,"",INDEX('Checklist'!$F$4:$F$503,_calc!$E$144))&amp;". ")&amp;IF(LEN(IF(LEN(INDEX('Checklist'!$J$4:$J$503,_calc!$E$144))=0,"",INDEX('Checklist'!$J$4:$J$503,_calc!$E$144)))=0,"","Evidence: "&amp;IF(LEN(INDEX('Checklist'!$J$4:$J$503,_calc!$E$144))=0,"",INDEX('Checklist'!$J$4:$J$503,_calc!$E$144))&amp;". ")&amp;IF(LEN(IF(LEN(INDEX('Checklist'!$D$4:$D$503,_calc!$E$144))=0,"",INDEX('Checklist'!$D$4:$D$503,_calc!$E$144)))=0,"","Rule example: "&amp;IF(LEN(INDEX('Checklist'!$D$4:$D$503,_calc!$E$144))=0,"",INDEX('Checklist'!$D$4:$D$503,_calc!$E$144))&amp;". ")&amp;IF(LEN(IF(LEN(INDEX('Checklist'!$P$4:$P$503,_calc!$E$144))=0,"",INDEX('Checklist'!$P$4:$P$503,_calc!$E$144)))=0,"",IF(LEN(INDEX('Checklist'!$P$4:$P$503,_calc!$E$144))=0,"",INDEX('Checklist'!$P$4:$P$503,_calc!$E$144)))))</f>
        <v/>
      </c>
      <c r="K142" s="44">
        <f>IF(_calc!$E$144="","",IF(LEN(INDEX('Checklist'!$G$4:$G$503,_calc!$E$144))=0,"",INDEX('Checklist'!$G$4:$G$503,_calc!$E$144)))</f>
        <v/>
      </c>
    </row>
    <row r="143">
      <c r="A143" s="44">
        <f>IF(_calc!$E$145="","","Survey check – "&amp;IF(LEN(INDEX('Checklist'!$C$4:$C$503,_calc!$E$145))=0,"",INDEX('Checklist'!$C$4:$C$503,_calc!$E$145)))</f>
        <v/>
      </c>
      <c r="B143" s="44">
        <f>IF(_calc!$E$145="","",IF(ISNUMBER(INDEX('Checklist'!$L$4:$L$503,_calc!$E$145)),TEXT(INDEX('Checklist'!$L$4:$L$503,_calc!$E$145),"yyyy-mm-dd"),""))</f>
        <v/>
      </c>
      <c r="C143" s="44">
        <f>IF(_calc!$E$145="","","Survey readiness")</f>
        <v/>
      </c>
      <c r="D143" s="44">
        <f>IF(_calc!$E$145="","",IF(ISNUMBER(INDEX('Checklist'!$H$4:$H$503,_calc!$E$145)),TEXT(INDEX('Checklist'!$H$4:$H$503,_calc!$E$145),"yyyy-mm-dd"),""))</f>
        <v/>
      </c>
      <c r="F143" s="44">
        <f>IF(_calc!$E$145="","",TRIM(IF(LEN(IF(LEN(INDEX('Checklist'!$A$4:$A$503,_calc!$E$145))=0,"",INDEX('Checklist'!$A$4:$A$503,_calc!$E$145)))=0,"","Group: "&amp;IF(LEN(INDEX('Checklist'!$A$4:$A$503,_calc!$E$145))=0,"",INDEX('Checklist'!$A$4:$A$503,_calc!$E$145))&amp;". ")&amp;IF(LEN(IF(LEN(INDEX('Checklist'!$E$4:$E$503,_calc!$E$145))=0,"",INDEX('Checklist'!$E$4:$E$503,_calc!$E$145)))=0,"","Owner: "&amp;IF(LEN(INDEX('Checklist'!$E$4:$E$503,_calc!$E$145))=0,"",INDEX('Checklist'!$E$4:$E$503,_calc!$E$145))&amp;". ")&amp;IF(LEN(IF(LEN(INDEX('Checklist'!$F$4:$F$503,_calc!$E$145))=0,"",INDEX('Checklist'!$F$4:$F$503,_calc!$E$145)))=0,"","Backup: "&amp;IF(LEN(INDEX('Checklist'!$F$4:$F$503,_calc!$E$145))=0,"",INDEX('Checklist'!$F$4:$F$503,_calc!$E$145))&amp;". ")&amp;IF(LEN(IF(LEN(INDEX('Checklist'!$J$4:$J$503,_calc!$E$145))=0,"",INDEX('Checklist'!$J$4:$J$503,_calc!$E$145)))=0,"","Evidence: "&amp;IF(LEN(INDEX('Checklist'!$J$4:$J$503,_calc!$E$145))=0,"",INDEX('Checklist'!$J$4:$J$503,_calc!$E$145))&amp;". ")&amp;IF(LEN(IF(LEN(INDEX('Checklist'!$D$4:$D$503,_calc!$E$145))=0,"",INDEX('Checklist'!$D$4:$D$503,_calc!$E$145)))=0,"","Rule example: "&amp;IF(LEN(INDEX('Checklist'!$D$4:$D$503,_calc!$E$145))=0,"",INDEX('Checklist'!$D$4:$D$503,_calc!$E$145))&amp;". ")&amp;IF(LEN(IF(LEN(INDEX('Checklist'!$P$4:$P$503,_calc!$E$145))=0,"",INDEX('Checklist'!$P$4:$P$503,_calc!$E$145)))=0,"",IF(LEN(INDEX('Checklist'!$P$4:$P$503,_calc!$E$145))=0,"",INDEX('Checklist'!$P$4:$P$503,_calc!$E$145)))))</f>
        <v/>
      </c>
      <c r="K143" s="44">
        <f>IF(_calc!$E$145="","",IF(LEN(INDEX('Checklist'!$G$4:$G$503,_calc!$E$145))=0,"",INDEX('Checklist'!$G$4:$G$503,_calc!$E$145)))</f>
        <v/>
      </c>
    </row>
    <row r="144">
      <c r="A144" s="44">
        <f>IF(_calc!$E$146="","","Survey check – "&amp;IF(LEN(INDEX('Checklist'!$C$4:$C$503,_calc!$E$146))=0,"",INDEX('Checklist'!$C$4:$C$503,_calc!$E$146)))</f>
        <v/>
      </c>
      <c r="B144" s="44">
        <f>IF(_calc!$E$146="","",IF(ISNUMBER(INDEX('Checklist'!$L$4:$L$503,_calc!$E$146)),TEXT(INDEX('Checklist'!$L$4:$L$503,_calc!$E$146),"yyyy-mm-dd"),""))</f>
        <v/>
      </c>
      <c r="C144" s="44">
        <f>IF(_calc!$E$146="","","Survey readiness")</f>
        <v/>
      </c>
      <c r="D144" s="44">
        <f>IF(_calc!$E$146="","",IF(ISNUMBER(INDEX('Checklist'!$H$4:$H$503,_calc!$E$146)),TEXT(INDEX('Checklist'!$H$4:$H$503,_calc!$E$146),"yyyy-mm-dd"),""))</f>
        <v/>
      </c>
      <c r="F144" s="44">
        <f>IF(_calc!$E$146="","",TRIM(IF(LEN(IF(LEN(INDEX('Checklist'!$A$4:$A$503,_calc!$E$146))=0,"",INDEX('Checklist'!$A$4:$A$503,_calc!$E$146)))=0,"","Group: "&amp;IF(LEN(INDEX('Checklist'!$A$4:$A$503,_calc!$E$146))=0,"",INDEX('Checklist'!$A$4:$A$503,_calc!$E$146))&amp;". ")&amp;IF(LEN(IF(LEN(INDEX('Checklist'!$E$4:$E$503,_calc!$E$146))=0,"",INDEX('Checklist'!$E$4:$E$503,_calc!$E$146)))=0,"","Owner: "&amp;IF(LEN(INDEX('Checklist'!$E$4:$E$503,_calc!$E$146))=0,"",INDEX('Checklist'!$E$4:$E$503,_calc!$E$146))&amp;". ")&amp;IF(LEN(IF(LEN(INDEX('Checklist'!$F$4:$F$503,_calc!$E$146))=0,"",INDEX('Checklist'!$F$4:$F$503,_calc!$E$146)))=0,"","Backup: "&amp;IF(LEN(INDEX('Checklist'!$F$4:$F$503,_calc!$E$146))=0,"",INDEX('Checklist'!$F$4:$F$503,_calc!$E$146))&amp;". ")&amp;IF(LEN(IF(LEN(INDEX('Checklist'!$J$4:$J$503,_calc!$E$146))=0,"",INDEX('Checklist'!$J$4:$J$503,_calc!$E$146)))=0,"","Evidence: "&amp;IF(LEN(INDEX('Checklist'!$J$4:$J$503,_calc!$E$146))=0,"",INDEX('Checklist'!$J$4:$J$503,_calc!$E$146))&amp;". ")&amp;IF(LEN(IF(LEN(INDEX('Checklist'!$D$4:$D$503,_calc!$E$146))=0,"",INDEX('Checklist'!$D$4:$D$503,_calc!$E$146)))=0,"","Rule example: "&amp;IF(LEN(INDEX('Checklist'!$D$4:$D$503,_calc!$E$146))=0,"",INDEX('Checklist'!$D$4:$D$503,_calc!$E$146))&amp;". ")&amp;IF(LEN(IF(LEN(INDEX('Checklist'!$P$4:$P$503,_calc!$E$146))=0,"",INDEX('Checklist'!$P$4:$P$503,_calc!$E$146)))=0,"",IF(LEN(INDEX('Checklist'!$P$4:$P$503,_calc!$E$146))=0,"",INDEX('Checklist'!$P$4:$P$503,_calc!$E$146)))))</f>
        <v/>
      </c>
      <c r="K144" s="44">
        <f>IF(_calc!$E$146="","",IF(LEN(INDEX('Checklist'!$G$4:$G$503,_calc!$E$146))=0,"",INDEX('Checklist'!$G$4:$G$503,_calc!$E$146)))</f>
        <v/>
      </c>
    </row>
    <row r="145">
      <c r="A145" s="44">
        <f>IF(_calc!$E$147="","","Survey check – "&amp;IF(LEN(INDEX('Checklist'!$C$4:$C$503,_calc!$E$147))=0,"",INDEX('Checklist'!$C$4:$C$503,_calc!$E$147)))</f>
        <v/>
      </c>
      <c r="B145" s="44">
        <f>IF(_calc!$E$147="","",IF(ISNUMBER(INDEX('Checklist'!$L$4:$L$503,_calc!$E$147)),TEXT(INDEX('Checklist'!$L$4:$L$503,_calc!$E$147),"yyyy-mm-dd"),""))</f>
        <v/>
      </c>
      <c r="C145" s="44">
        <f>IF(_calc!$E$147="","","Survey readiness")</f>
        <v/>
      </c>
      <c r="D145" s="44">
        <f>IF(_calc!$E$147="","",IF(ISNUMBER(INDEX('Checklist'!$H$4:$H$503,_calc!$E$147)),TEXT(INDEX('Checklist'!$H$4:$H$503,_calc!$E$147),"yyyy-mm-dd"),""))</f>
        <v/>
      </c>
      <c r="F145" s="44">
        <f>IF(_calc!$E$147="","",TRIM(IF(LEN(IF(LEN(INDEX('Checklist'!$A$4:$A$503,_calc!$E$147))=0,"",INDEX('Checklist'!$A$4:$A$503,_calc!$E$147)))=0,"","Group: "&amp;IF(LEN(INDEX('Checklist'!$A$4:$A$503,_calc!$E$147))=0,"",INDEX('Checklist'!$A$4:$A$503,_calc!$E$147))&amp;". ")&amp;IF(LEN(IF(LEN(INDEX('Checklist'!$E$4:$E$503,_calc!$E$147))=0,"",INDEX('Checklist'!$E$4:$E$503,_calc!$E$147)))=0,"","Owner: "&amp;IF(LEN(INDEX('Checklist'!$E$4:$E$503,_calc!$E$147))=0,"",INDEX('Checklist'!$E$4:$E$503,_calc!$E$147))&amp;". ")&amp;IF(LEN(IF(LEN(INDEX('Checklist'!$F$4:$F$503,_calc!$E$147))=0,"",INDEX('Checklist'!$F$4:$F$503,_calc!$E$147)))=0,"","Backup: "&amp;IF(LEN(INDEX('Checklist'!$F$4:$F$503,_calc!$E$147))=0,"",INDEX('Checklist'!$F$4:$F$503,_calc!$E$147))&amp;". ")&amp;IF(LEN(IF(LEN(INDEX('Checklist'!$J$4:$J$503,_calc!$E$147))=0,"",INDEX('Checklist'!$J$4:$J$503,_calc!$E$147)))=0,"","Evidence: "&amp;IF(LEN(INDEX('Checklist'!$J$4:$J$503,_calc!$E$147))=0,"",INDEX('Checklist'!$J$4:$J$503,_calc!$E$147))&amp;". ")&amp;IF(LEN(IF(LEN(INDEX('Checklist'!$D$4:$D$503,_calc!$E$147))=0,"",INDEX('Checklist'!$D$4:$D$503,_calc!$E$147)))=0,"","Rule example: "&amp;IF(LEN(INDEX('Checklist'!$D$4:$D$503,_calc!$E$147))=0,"",INDEX('Checklist'!$D$4:$D$503,_calc!$E$147))&amp;". ")&amp;IF(LEN(IF(LEN(INDEX('Checklist'!$P$4:$P$503,_calc!$E$147))=0,"",INDEX('Checklist'!$P$4:$P$503,_calc!$E$147)))=0,"",IF(LEN(INDEX('Checklist'!$P$4:$P$503,_calc!$E$147))=0,"",INDEX('Checklist'!$P$4:$P$503,_calc!$E$147)))))</f>
        <v/>
      </c>
      <c r="K145" s="44">
        <f>IF(_calc!$E$147="","",IF(LEN(INDEX('Checklist'!$G$4:$G$503,_calc!$E$147))=0,"",INDEX('Checklist'!$G$4:$G$503,_calc!$E$147)))</f>
        <v/>
      </c>
    </row>
    <row r="146">
      <c r="A146" s="44">
        <f>IF(_calc!$E$148="","","Survey check – "&amp;IF(LEN(INDEX('Checklist'!$C$4:$C$503,_calc!$E$148))=0,"",INDEX('Checklist'!$C$4:$C$503,_calc!$E$148)))</f>
        <v/>
      </c>
      <c r="B146" s="44">
        <f>IF(_calc!$E$148="","",IF(ISNUMBER(INDEX('Checklist'!$L$4:$L$503,_calc!$E$148)),TEXT(INDEX('Checklist'!$L$4:$L$503,_calc!$E$148),"yyyy-mm-dd"),""))</f>
        <v/>
      </c>
      <c r="C146" s="44">
        <f>IF(_calc!$E$148="","","Survey readiness")</f>
        <v/>
      </c>
      <c r="D146" s="44">
        <f>IF(_calc!$E$148="","",IF(ISNUMBER(INDEX('Checklist'!$H$4:$H$503,_calc!$E$148)),TEXT(INDEX('Checklist'!$H$4:$H$503,_calc!$E$148),"yyyy-mm-dd"),""))</f>
        <v/>
      </c>
      <c r="F146" s="44">
        <f>IF(_calc!$E$148="","",TRIM(IF(LEN(IF(LEN(INDEX('Checklist'!$A$4:$A$503,_calc!$E$148))=0,"",INDEX('Checklist'!$A$4:$A$503,_calc!$E$148)))=0,"","Group: "&amp;IF(LEN(INDEX('Checklist'!$A$4:$A$503,_calc!$E$148))=0,"",INDEX('Checklist'!$A$4:$A$503,_calc!$E$148))&amp;". ")&amp;IF(LEN(IF(LEN(INDEX('Checklist'!$E$4:$E$503,_calc!$E$148))=0,"",INDEX('Checklist'!$E$4:$E$503,_calc!$E$148)))=0,"","Owner: "&amp;IF(LEN(INDEX('Checklist'!$E$4:$E$503,_calc!$E$148))=0,"",INDEX('Checklist'!$E$4:$E$503,_calc!$E$148))&amp;". ")&amp;IF(LEN(IF(LEN(INDEX('Checklist'!$F$4:$F$503,_calc!$E$148))=0,"",INDEX('Checklist'!$F$4:$F$503,_calc!$E$148)))=0,"","Backup: "&amp;IF(LEN(INDEX('Checklist'!$F$4:$F$503,_calc!$E$148))=0,"",INDEX('Checklist'!$F$4:$F$503,_calc!$E$148))&amp;". ")&amp;IF(LEN(IF(LEN(INDEX('Checklist'!$J$4:$J$503,_calc!$E$148))=0,"",INDEX('Checklist'!$J$4:$J$503,_calc!$E$148)))=0,"","Evidence: "&amp;IF(LEN(INDEX('Checklist'!$J$4:$J$503,_calc!$E$148))=0,"",INDEX('Checklist'!$J$4:$J$503,_calc!$E$148))&amp;". ")&amp;IF(LEN(IF(LEN(INDEX('Checklist'!$D$4:$D$503,_calc!$E$148))=0,"",INDEX('Checklist'!$D$4:$D$503,_calc!$E$148)))=0,"","Rule example: "&amp;IF(LEN(INDEX('Checklist'!$D$4:$D$503,_calc!$E$148))=0,"",INDEX('Checklist'!$D$4:$D$503,_calc!$E$148))&amp;". ")&amp;IF(LEN(IF(LEN(INDEX('Checklist'!$P$4:$P$503,_calc!$E$148))=0,"",INDEX('Checklist'!$P$4:$P$503,_calc!$E$148)))=0,"",IF(LEN(INDEX('Checklist'!$P$4:$P$503,_calc!$E$148))=0,"",INDEX('Checklist'!$P$4:$P$503,_calc!$E$148)))))</f>
        <v/>
      </c>
      <c r="K146" s="44">
        <f>IF(_calc!$E$148="","",IF(LEN(INDEX('Checklist'!$G$4:$G$503,_calc!$E$148))=0,"",INDEX('Checklist'!$G$4:$G$503,_calc!$E$148)))</f>
        <v/>
      </c>
    </row>
    <row r="147">
      <c r="A147" s="44">
        <f>IF(_calc!$E$149="","","Survey check – "&amp;IF(LEN(INDEX('Checklist'!$C$4:$C$503,_calc!$E$149))=0,"",INDEX('Checklist'!$C$4:$C$503,_calc!$E$149)))</f>
        <v/>
      </c>
      <c r="B147" s="44">
        <f>IF(_calc!$E$149="","",IF(ISNUMBER(INDEX('Checklist'!$L$4:$L$503,_calc!$E$149)),TEXT(INDEX('Checklist'!$L$4:$L$503,_calc!$E$149),"yyyy-mm-dd"),""))</f>
        <v/>
      </c>
      <c r="C147" s="44">
        <f>IF(_calc!$E$149="","","Survey readiness")</f>
        <v/>
      </c>
      <c r="D147" s="44">
        <f>IF(_calc!$E$149="","",IF(ISNUMBER(INDEX('Checklist'!$H$4:$H$503,_calc!$E$149)),TEXT(INDEX('Checklist'!$H$4:$H$503,_calc!$E$149),"yyyy-mm-dd"),""))</f>
        <v/>
      </c>
      <c r="F147" s="44">
        <f>IF(_calc!$E$149="","",TRIM(IF(LEN(IF(LEN(INDEX('Checklist'!$A$4:$A$503,_calc!$E$149))=0,"",INDEX('Checklist'!$A$4:$A$503,_calc!$E$149)))=0,"","Group: "&amp;IF(LEN(INDEX('Checklist'!$A$4:$A$503,_calc!$E$149))=0,"",INDEX('Checklist'!$A$4:$A$503,_calc!$E$149))&amp;". ")&amp;IF(LEN(IF(LEN(INDEX('Checklist'!$E$4:$E$503,_calc!$E$149))=0,"",INDEX('Checklist'!$E$4:$E$503,_calc!$E$149)))=0,"","Owner: "&amp;IF(LEN(INDEX('Checklist'!$E$4:$E$503,_calc!$E$149))=0,"",INDEX('Checklist'!$E$4:$E$503,_calc!$E$149))&amp;". ")&amp;IF(LEN(IF(LEN(INDEX('Checklist'!$F$4:$F$503,_calc!$E$149))=0,"",INDEX('Checklist'!$F$4:$F$503,_calc!$E$149)))=0,"","Backup: "&amp;IF(LEN(INDEX('Checklist'!$F$4:$F$503,_calc!$E$149))=0,"",INDEX('Checklist'!$F$4:$F$503,_calc!$E$149))&amp;". ")&amp;IF(LEN(IF(LEN(INDEX('Checklist'!$J$4:$J$503,_calc!$E$149))=0,"",INDEX('Checklist'!$J$4:$J$503,_calc!$E$149)))=0,"","Evidence: "&amp;IF(LEN(INDEX('Checklist'!$J$4:$J$503,_calc!$E$149))=0,"",INDEX('Checklist'!$J$4:$J$503,_calc!$E$149))&amp;". ")&amp;IF(LEN(IF(LEN(INDEX('Checklist'!$D$4:$D$503,_calc!$E$149))=0,"",INDEX('Checklist'!$D$4:$D$503,_calc!$E$149)))=0,"","Rule example: "&amp;IF(LEN(INDEX('Checklist'!$D$4:$D$503,_calc!$E$149))=0,"",INDEX('Checklist'!$D$4:$D$503,_calc!$E$149))&amp;". ")&amp;IF(LEN(IF(LEN(INDEX('Checklist'!$P$4:$P$503,_calc!$E$149))=0,"",INDEX('Checklist'!$P$4:$P$503,_calc!$E$149)))=0,"",IF(LEN(INDEX('Checklist'!$P$4:$P$503,_calc!$E$149))=0,"",INDEX('Checklist'!$P$4:$P$503,_calc!$E$149)))))</f>
        <v/>
      </c>
      <c r="K147" s="44">
        <f>IF(_calc!$E$149="","",IF(LEN(INDEX('Checklist'!$G$4:$G$503,_calc!$E$149))=0,"",INDEX('Checklist'!$G$4:$G$503,_calc!$E$149)))</f>
        <v/>
      </c>
    </row>
    <row r="148">
      <c r="A148" s="44">
        <f>IF(_calc!$E$150="","","Survey check – "&amp;IF(LEN(INDEX('Checklist'!$C$4:$C$503,_calc!$E$150))=0,"",INDEX('Checklist'!$C$4:$C$503,_calc!$E$150)))</f>
        <v/>
      </c>
      <c r="B148" s="44">
        <f>IF(_calc!$E$150="","",IF(ISNUMBER(INDEX('Checklist'!$L$4:$L$503,_calc!$E$150)),TEXT(INDEX('Checklist'!$L$4:$L$503,_calc!$E$150),"yyyy-mm-dd"),""))</f>
        <v/>
      </c>
      <c r="C148" s="44">
        <f>IF(_calc!$E$150="","","Survey readiness")</f>
        <v/>
      </c>
      <c r="D148" s="44">
        <f>IF(_calc!$E$150="","",IF(ISNUMBER(INDEX('Checklist'!$H$4:$H$503,_calc!$E$150)),TEXT(INDEX('Checklist'!$H$4:$H$503,_calc!$E$150),"yyyy-mm-dd"),""))</f>
        <v/>
      </c>
      <c r="F148" s="44">
        <f>IF(_calc!$E$150="","",TRIM(IF(LEN(IF(LEN(INDEX('Checklist'!$A$4:$A$503,_calc!$E$150))=0,"",INDEX('Checklist'!$A$4:$A$503,_calc!$E$150)))=0,"","Group: "&amp;IF(LEN(INDEX('Checklist'!$A$4:$A$503,_calc!$E$150))=0,"",INDEX('Checklist'!$A$4:$A$503,_calc!$E$150))&amp;". ")&amp;IF(LEN(IF(LEN(INDEX('Checklist'!$E$4:$E$503,_calc!$E$150))=0,"",INDEX('Checklist'!$E$4:$E$503,_calc!$E$150)))=0,"","Owner: "&amp;IF(LEN(INDEX('Checklist'!$E$4:$E$503,_calc!$E$150))=0,"",INDEX('Checklist'!$E$4:$E$503,_calc!$E$150))&amp;". ")&amp;IF(LEN(IF(LEN(INDEX('Checklist'!$F$4:$F$503,_calc!$E$150))=0,"",INDEX('Checklist'!$F$4:$F$503,_calc!$E$150)))=0,"","Backup: "&amp;IF(LEN(INDEX('Checklist'!$F$4:$F$503,_calc!$E$150))=0,"",INDEX('Checklist'!$F$4:$F$503,_calc!$E$150))&amp;". ")&amp;IF(LEN(IF(LEN(INDEX('Checklist'!$J$4:$J$503,_calc!$E$150))=0,"",INDEX('Checklist'!$J$4:$J$503,_calc!$E$150)))=0,"","Evidence: "&amp;IF(LEN(INDEX('Checklist'!$J$4:$J$503,_calc!$E$150))=0,"",INDEX('Checklist'!$J$4:$J$503,_calc!$E$150))&amp;". ")&amp;IF(LEN(IF(LEN(INDEX('Checklist'!$D$4:$D$503,_calc!$E$150))=0,"",INDEX('Checklist'!$D$4:$D$503,_calc!$E$150)))=0,"","Rule example: "&amp;IF(LEN(INDEX('Checklist'!$D$4:$D$503,_calc!$E$150))=0,"",INDEX('Checklist'!$D$4:$D$503,_calc!$E$150))&amp;". ")&amp;IF(LEN(IF(LEN(INDEX('Checklist'!$P$4:$P$503,_calc!$E$150))=0,"",INDEX('Checklist'!$P$4:$P$503,_calc!$E$150)))=0,"",IF(LEN(INDEX('Checklist'!$P$4:$P$503,_calc!$E$150))=0,"",INDEX('Checklist'!$P$4:$P$503,_calc!$E$150)))))</f>
        <v/>
      </c>
      <c r="K148" s="44">
        <f>IF(_calc!$E$150="","",IF(LEN(INDEX('Checklist'!$G$4:$G$503,_calc!$E$150))=0,"",INDEX('Checklist'!$G$4:$G$503,_calc!$E$150)))</f>
        <v/>
      </c>
    </row>
    <row r="149">
      <c r="A149" s="44">
        <f>IF(_calc!$E$151="","","Survey check – "&amp;IF(LEN(INDEX('Checklist'!$C$4:$C$503,_calc!$E$151))=0,"",INDEX('Checklist'!$C$4:$C$503,_calc!$E$151)))</f>
        <v/>
      </c>
      <c r="B149" s="44">
        <f>IF(_calc!$E$151="","",IF(ISNUMBER(INDEX('Checklist'!$L$4:$L$503,_calc!$E$151)),TEXT(INDEX('Checklist'!$L$4:$L$503,_calc!$E$151),"yyyy-mm-dd"),""))</f>
        <v/>
      </c>
      <c r="C149" s="44">
        <f>IF(_calc!$E$151="","","Survey readiness")</f>
        <v/>
      </c>
      <c r="D149" s="44">
        <f>IF(_calc!$E$151="","",IF(ISNUMBER(INDEX('Checklist'!$H$4:$H$503,_calc!$E$151)),TEXT(INDEX('Checklist'!$H$4:$H$503,_calc!$E$151),"yyyy-mm-dd"),""))</f>
        <v/>
      </c>
      <c r="F149" s="44">
        <f>IF(_calc!$E$151="","",TRIM(IF(LEN(IF(LEN(INDEX('Checklist'!$A$4:$A$503,_calc!$E$151))=0,"",INDEX('Checklist'!$A$4:$A$503,_calc!$E$151)))=0,"","Group: "&amp;IF(LEN(INDEX('Checklist'!$A$4:$A$503,_calc!$E$151))=0,"",INDEX('Checklist'!$A$4:$A$503,_calc!$E$151))&amp;". ")&amp;IF(LEN(IF(LEN(INDEX('Checklist'!$E$4:$E$503,_calc!$E$151))=0,"",INDEX('Checklist'!$E$4:$E$503,_calc!$E$151)))=0,"","Owner: "&amp;IF(LEN(INDEX('Checklist'!$E$4:$E$503,_calc!$E$151))=0,"",INDEX('Checklist'!$E$4:$E$503,_calc!$E$151))&amp;". ")&amp;IF(LEN(IF(LEN(INDEX('Checklist'!$F$4:$F$503,_calc!$E$151))=0,"",INDEX('Checklist'!$F$4:$F$503,_calc!$E$151)))=0,"","Backup: "&amp;IF(LEN(INDEX('Checklist'!$F$4:$F$503,_calc!$E$151))=0,"",INDEX('Checklist'!$F$4:$F$503,_calc!$E$151))&amp;". ")&amp;IF(LEN(IF(LEN(INDEX('Checklist'!$J$4:$J$503,_calc!$E$151))=0,"",INDEX('Checklist'!$J$4:$J$503,_calc!$E$151)))=0,"","Evidence: "&amp;IF(LEN(INDEX('Checklist'!$J$4:$J$503,_calc!$E$151))=0,"",INDEX('Checklist'!$J$4:$J$503,_calc!$E$151))&amp;". ")&amp;IF(LEN(IF(LEN(INDEX('Checklist'!$D$4:$D$503,_calc!$E$151))=0,"",INDEX('Checklist'!$D$4:$D$503,_calc!$E$151)))=0,"","Rule example: "&amp;IF(LEN(INDEX('Checklist'!$D$4:$D$503,_calc!$E$151))=0,"",INDEX('Checklist'!$D$4:$D$503,_calc!$E$151))&amp;". ")&amp;IF(LEN(IF(LEN(INDEX('Checklist'!$P$4:$P$503,_calc!$E$151))=0,"",INDEX('Checklist'!$P$4:$P$503,_calc!$E$151)))=0,"",IF(LEN(INDEX('Checklist'!$P$4:$P$503,_calc!$E$151))=0,"",INDEX('Checklist'!$P$4:$P$503,_calc!$E$151)))))</f>
        <v/>
      </c>
      <c r="K149" s="44">
        <f>IF(_calc!$E$151="","",IF(LEN(INDEX('Checklist'!$G$4:$G$503,_calc!$E$151))=0,"",INDEX('Checklist'!$G$4:$G$503,_calc!$E$151)))</f>
        <v/>
      </c>
    </row>
    <row r="150">
      <c r="A150" s="44">
        <f>IF(_calc!$E$152="","","Survey check – "&amp;IF(LEN(INDEX('Checklist'!$C$4:$C$503,_calc!$E$152))=0,"",INDEX('Checklist'!$C$4:$C$503,_calc!$E$152)))</f>
        <v/>
      </c>
      <c r="B150" s="44">
        <f>IF(_calc!$E$152="","",IF(ISNUMBER(INDEX('Checklist'!$L$4:$L$503,_calc!$E$152)),TEXT(INDEX('Checklist'!$L$4:$L$503,_calc!$E$152),"yyyy-mm-dd"),""))</f>
        <v/>
      </c>
      <c r="C150" s="44">
        <f>IF(_calc!$E$152="","","Survey readiness")</f>
        <v/>
      </c>
      <c r="D150" s="44">
        <f>IF(_calc!$E$152="","",IF(ISNUMBER(INDEX('Checklist'!$H$4:$H$503,_calc!$E$152)),TEXT(INDEX('Checklist'!$H$4:$H$503,_calc!$E$152),"yyyy-mm-dd"),""))</f>
        <v/>
      </c>
      <c r="F150" s="44">
        <f>IF(_calc!$E$152="","",TRIM(IF(LEN(IF(LEN(INDEX('Checklist'!$A$4:$A$503,_calc!$E$152))=0,"",INDEX('Checklist'!$A$4:$A$503,_calc!$E$152)))=0,"","Group: "&amp;IF(LEN(INDEX('Checklist'!$A$4:$A$503,_calc!$E$152))=0,"",INDEX('Checklist'!$A$4:$A$503,_calc!$E$152))&amp;". ")&amp;IF(LEN(IF(LEN(INDEX('Checklist'!$E$4:$E$503,_calc!$E$152))=0,"",INDEX('Checklist'!$E$4:$E$503,_calc!$E$152)))=0,"","Owner: "&amp;IF(LEN(INDEX('Checklist'!$E$4:$E$503,_calc!$E$152))=0,"",INDEX('Checklist'!$E$4:$E$503,_calc!$E$152))&amp;". ")&amp;IF(LEN(IF(LEN(INDEX('Checklist'!$F$4:$F$503,_calc!$E$152))=0,"",INDEX('Checklist'!$F$4:$F$503,_calc!$E$152)))=0,"","Backup: "&amp;IF(LEN(INDEX('Checklist'!$F$4:$F$503,_calc!$E$152))=0,"",INDEX('Checklist'!$F$4:$F$503,_calc!$E$152))&amp;". ")&amp;IF(LEN(IF(LEN(INDEX('Checklist'!$J$4:$J$503,_calc!$E$152))=0,"",INDEX('Checklist'!$J$4:$J$503,_calc!$E$152)))=0,"","Evidence: "&amp;IF(LEN(INDEX('Checklist'!$J$4:$J$503,_calc!$E$152))=0,"",INDEX('Checklist'!$J$4:$J$503,_calc!$E$152))&amp;". ")&amp;IF(LEN(IF(LEN(INDEX('Checklist'!$D$4:$D$503,_calc!$E$152))=0,"",INDEX('Checklist'!$D$4:$D$503,_calc!$E$152)))=0,"","Rule example: "&amp;IF(LEN(INDEX('Checklist'!$D$4:$D$503,_calc!$E$152))=0,"",INDEX('Checklist'!$D$4:$D$503,_calc!$E$152))&amp;". ")&amp;IF(LEN(IF(LEN(INDEX('Checklist'!$P$4:$P$503,_calc!$E$152))=0,"",INDEX('Checklist'!$P$4:$P$503,_calc!$E$152)))=0,"",IF(LEN(INDEX('Checklist'!$P$4:$P$503,_calc!$E$152))=0,"",INDEX('Checklist'!$P$4:$P$503,_calc!$E$152)))))</f>
        <v/>
      </c>
      <c r="K150" s="44">
        <f>IF(_calc!$E$152="","",IF(LEN(INDEX('Checklist'!$G$4:$G$503,_calc!$E$152))=0,"",INDEX('Checklist'!$G$4:$G$503,_calc!$E$152)))</f>
        <v/>
      </c>
    </row>
    <row r="151">
      <c r="A151" s="44">
        <f>IF(_calc!$E$153="","","Survey check – "&amp;IF(LEN(INDEX('Checklist'!$C$4:$C$503,_calc!$E$153))=0,"",INDEX('Checklist'!$C$4:$C$503,_calc!$E$153)))</f>
        <v/>
      </c>
      <c r="B151" s="44">
        <f>IF(_calc!$E$153="","",IF(ISNUMBER(INDEX('Checklist'!$L$4:$L$503,_calc!$E$153)),TEXT(INDEX('Checklist'!$L$4:$L$503,_calc!$E$153),"yyyy-mm-dd"),""))</f>
        <v/>
      </c>
      <c r="C151" s="44">
        <f>IF(_calc!$E$153="","","Survey readiness")</f>
        <v/>
      </c>
      <c r="D151" s="44">
        <f>IF(_calc!$E$153="","",IF(ISNUMBER(INDEX('Checklist'!$H$4:$H$503,_calc!$E$153)),TEXT(INDEX('Checklist'!$H$4:$H$503,_calc!$E$153),"yyyy-mm-dd"),""))</f>
        <v/>
      </c>
      <c r="F151" s="44">
        <f>IF(_calc!$E$153="","",TRIM(IF(LEN(IF(LEN(INDEX('Checklist'!$A$4:$A$503,_calc!$E$153))=0,"",INDEX('Checklist'!$A$4:$A$503,_calc!$E$153)))=0,"","Group: "&amp;IF(LEN(INDEX('Checklist'!$A$4:$A$503,_calc!$E$153))=0,"",INDEX('Checklist'!$A$4:$A$503,_calc!$E$153))&amp;". ")&amp;IF(LEN(IF(LEN(INDEX('Checklist'!$E$4:$E$503,_calc!$E$153))=0,"",INDEX('Checklist'!$E$4:$E$503,_calc!$E$153)))=0,"","Owner: "&amp;IF(LEN(INDEX('Checklist'!$E$4:$E$503,_calc!$E$153))=0,"",INDEX('Checklist'!$E$4:$E$503,_calc!$E$153))&amp;". ")&amp;IF(LEN(IF(LEN(INDEX('Checklist'!$F$4:$F$503,_calc!$E$153))=0,"",INDEX('Checklist'!$F$4:$F$503,_calc!$E$153)))=0,"","Backup: "&amp;IF(LEN(INDEX('Checklist'!$F$4:$F$503,_calc!$E$153))=0,"",INDEX('Checklist'!$F$4:$F$503,_calc!$E$153))&amp;". ")&amp;IF(LEN(IF(LEN(INDEX('Checklist'!$J$4:$J$503,_calc!$E$153))=0,"",INDEX('Checklist'!$J$4:$J$503,_calc!$E$153)))=0,"","Evidence: "&amp;IF(LEN(INDEX('Checklist'!$J$4:$J$503,_calc!$E$153))=0,"",INDEX('Checklist'!$J$4:$J$503,_calc!$E$153))&amp;". ")&amp;IF(LEN(IF(LEN(INDEX('Checklist'!$D$4:$D$503,_calc!$E$153))=0,"",INDEX('Checklist'!$D$4:$D$503,_calc!$E$153)))=0,"","Rule example: "&amp;IF(LEN(INDEX('Checklist'!$D$4:$D$503,_calc!$E$153))=0,"",INDEX('Checklist'!$D$4:$D$503,_calc!$E$153))&amp;". ")&amp;IF(LEN(IF(LEN(INDEX('Checklist'!$P$4:$P$503,_calc!$E$153))=0,"",INDEX('Checklist'!$P$4:$P$503,_calc!$E$153)))=0,"",IF(LEN(INDEX('Checklist'!$P$4:$P$503,_calc!$E$153))=0,"",INDEX('Checklist'!$P$4:$P$503,_calc!$E$153)))))</f>
        <v/>
      </c>
      <c r="K151" s="44">
        <f>IF(_calc!$E$153="","",IF(LEN(INDEX('Checklist'!$G$4:$G$503,_calc!$E$153))=0,"",INDEX('Checklist'!$G$4:$G$503,_calc!$E$153)))</f>
        <v/>
      </c>
    </row>
    <row r="152">
      <c r="A152" s="44">
        <f>IF(_calc!$E$154="","","Survey check – "&amp;IF(LEN(INDEX('Checklist'!$C$4:$C$503,_calc!$E$154))=0,"",INDEX('Checklist'!$C$4:$C$503,_calc!$E$154)))</f>
        <v/>
      </c>
      <c r="B152" s="44">
        <f>IF(_calc!$E$154="","",IF(ISNUMBER(INDEX('Checklist'!$L$4:$L$503,_calc!$E$154)),TEXT(INDEX('Checklist'!$L$4:$L$503,_calc!$E$154),"yyyy-mm-dd"),""))</f>
        <v/>
      </c>
      <c r="C152" s="44">
        <f>IF(_calc!$E$154="","","Survey readiness")</f>
        <v/>
      </c>
      <c r="D152" s="44">
        <f>IF(_calc!$E$154="","",IF(ISNUMBER(INDEX('Checklist'!$H$4:$H$503,_calc!$E$154)),TEXT(INDEX('Checklist'!$H$4:$H$503,_calc!$E$154),"yyyy-mm-dd"),""))</f>
        <v/>
      </c>
      <c r="F152" s="44">
        <f>IF(_calc!$E$154="","",TRIM(IF(LEN(IF(LEN(INDEX('Checklist'!$A$4:$A$503,_calc!$E$154))=0,"",INDEX('Checklist'!$A$4:$A$503,_calc!$E$154)))=0,"","Group: "&amp;IF(LEN(INDEX('Checklist'!$A$4:$A$503,_calc!$E$154))=0,"",INDEX('Checklist'!$A$4:$A$503,_calc!$E$154))&amp;". ")&amp;IF(LEN(IF(LEN(INDEX('Checklist'!$E$4:$E$503,_calc!$E$154))=0,"",INDEX('Checklist'!$E$4:$E$503,_calc!$E$154)))=0,"","Owner: "&amp;IF(LEN(INDEX('Checklist'!$E$4:$E$503,_calc!$E$154))=0,"",INDEX('Checklist'!$E$4:$E$503,_calc!$E$154))&amp;". ")&amp;IF(LEN(IF(LEN(INDEX('Checklist'!$F$4:$F$503,_calc!$E$154))=0,"",INDEX('Checklist'!$F$4:$F$503,_calc!$E$154)))=0,"","Backup: "&amp;IF(LEN(INDEX('Checklist'!$F$4:$F$503,_calc!$E$154))=0,"",INDEX('Checklist'!$F$4:$F$503,_calc!$E$154))&amp;". ")&amp;IF(LEN(IF(LEN(INDEX('Checklist'!$J$4:$J$503,_calc!$E$154))=0,"",INDEX('Checklist'!$J$4:$J$503,_calc!$E$154)))=0,"","Evidence: "&amp;IF(LEN(INDEX('Checklist'!$J$4:$J$503,_calc!$E$154))=0,"",INDEX('Checklist'!$J$4:$J$503,_calc!$E$154))&amp;". ")&amp;IF(LEN(IF(LEN(INDEX('Checklist'!$D$4:$D$503,_calc!$E$154))=0,"",INDEX('Checklist'!$D$4:$D$503,_calc!$E$154)))=0,"","Rule example: "&amp;IF(LEN(INDEX('Checklist'!$D$4:$D$503,_calc!$E$154))=0,"",INDEX('Checklist'!$D$4:$D$503,_calc!$E$154))&amp;". ")&amp;IF(LEN(IF(LEN(INDEX('Checklist'!$P$4:$P$503,_calc!$E$154))=0,"",INDEX('Checklist'!$P$4:$P$503,_calc!$E$154)))=0,"",IF(LEN(INDEX('Checklist'!$P$4:$P$503,_calc!$E$154))=0,"",INDEX('Checklist'!$P$4:$P$503,_calc!$E$154)))))</f>
        <v/>
      </c>
      <c r="K152" s="44">
        <f>IF(_calc!$E$154="","",IF(LEN(INDEX('Checklist'!$G$4:$G$503,_calc!$E$154))=0,"",INDEX('Checklist'!$G$4:$G$503,_calc!$E$154)))</f>
        <v/>
      </c>
    </row>
    <row r="153">
      <c r="A153" s="44">
        <f>IF(_calc!$E$155="","","Survey check – "&amp;IF(LEN(INDEX('Checklist'!$C$4:$C$503,_calc!$E$155))=0,"",INDEX('Checklist'!$C$4:$C$503,_calc!$E$155)))</f>
        <v/>
      </c>
      <c r="B153" s="44">
        <f>IF(_calc!$E$155="","",IF(ISNUMBER(INDEX('Checklist'!$L$4:$L$503,_calc!$E$155)),TEXT(INDEX('Checklist'!$L$4:$L$503,_calc!$E$155),"yyyy-mm-dd"),""))</f>
        <v/>
      </c>
      <c r="C153" s="44">
        <f>IF(_calc!$E$155="","","Survey readiness")</f>
        <v/>
      </c>
      <c r="D153" s="44">
        <f>IF(_calc!$E$155="","",IF(ISNUMBER(INDEX('Checklist'!$H$4:$H$503,_calc!$E$155)),TEXT(INDEX('Checklist'!$H$4:$H$503,_calc!$E$155),"yyyy-mm-dd"),""))</f>
        <v/>
      </c>
      <c r="F153" s="44">
        <f>IF(_calc!$E$155="","",TRIM(IF(LEN(IF(LEN(INDEX('Checklist'!$A$4:$A$503,_calc!$E$155))=0,"",INDEX('Checklist'!$A$4:$A$503,_calc!$E$155)))=0,"","Group: "&amp;IF(LEN(INDEX('Checklist'!$A$4:$A$503,_calc!$E$155))=0,"",INDEX('Checklist'!$A$4:$A$503,_calc!$E$155))&amp;". ")&amp;IF(LEN(IF(LEN(INDEX('Checklist'!$E$4:$E$503,_calc!$E$155))=0,"",INDEX('Checklist'!$E$4:$E$503,_calc!$E$155)))=0,"","Owner: "&amp;IF(LEN(INDEX('Checklist'!$E$4:$E$503,_calc!$E$155))=0,"",INDEX('Checklist'!$E$4:$E$503,_calc!$E$155))&amp;". ")&amp;IF(LEN(IF(LEN(INDEX('Checklist'!$F$4:$F$503,_calc!$E$155))=0,"",INDEX('Checklist'!$F$4:$F$503,_calc!$E$155)))=0,"","Backup: "&amp;IF(LEN(INDEX('Checklist'!$F$4:$F$503,_calc!$E$155))=0,"",INDEX('Checklist'!$F$4:$F$503,_calc!$E$155))&amp;". ")&amp;IF(LEN(IF(LEN(INDEX('Checklist'!$J$4:$J$503,_calc!$E$155))=0,"",INDEX('Checklist'!$J$4:$J$503,_calc!$E$155)))=0,"","Evidence: "&amp;IF(LEN(INDEX('Checklist'!$J$4:$J$503,_calc!$E$155))=0,"",INDEX('Checklist'!$J$4:$J$503,_calc!$E$155))&amp;". ")&amp;IF(LEN(IF(LEN(INDEX('Checklist'!$D$4:$D$503,_calc!$E$155))=0,"",INDEX('Checklist'!$D$4:$D$503,_calc!$E$155)))=0,"","Rule example: "&amp;IF(LEN(INDEX('Checklist'!$D$4:$D$503,_calc!$E$155))=0,"",INDEX('Checklist'!$D$4:$D$503,_calc!$E$155))&amp;". ")&amp;IF(LEN(IF(LEN(INDEX('Checklist'!$P$4:$P$503,_calc!$E$155))=0,"",INDEX('Checklist'!$P$4:$P$503,_calc!$E$155)))=0,"",IF(LEN(INDEX('Checklist'!$P$4:$P$503,_calc!$E$155))=0,"",INDEX('Checklist'!$P$4:$P$503,_calc!$E$155)))))</f>
        <v/>
      </c>
      <c r="K153" s="44">
        <f>IF(_calc!$E$155="","",IF(LEN(INDEX('Checklist'!$G$4:$G$503,_calc!$E$155))=0,"",INDEX('Checklist'!$G$4:$G$503,_calc!$E$155)))</f>
        <v/>
      </c>
    </row>
    <row r="154">
      <c r="A154" s="44">
        <f>IF(_calc!$E$156="","","Survey check – "&amp;IF(LEN(INDEX('Checklist'!$C$4:$C$503,_calc!$E$156))=0,"",INDEX('Checklist'!$C$4:$C$503,_calc!$E$156)))</f>
        <v/>
      </c>
      <c r="B154" s="44">
        <f>IF(_calc!$E$156="","",IF(ISNUMBER(INDEX('Checklist'!$L$4:$L$503,_calc!$E$156)),TEXT(INDEX('Checklist'!$L$4:$L$503,_calc!$E$156),"yyyy-mm-dd"),""))</f>
        <v/>
      </c>
      <c r="C154" s="44">
        <f>IF(_calc!$E$156="","","Survey readiness")</f>
        <v/>
      </c>
      <c r="D154" s="44">
        <f>IF(_calc!$E$156="","",IF(ISNUMBER(INDEX('Checklist'!$H$4:$H$503,_calc!$E$156)),TEXT(INDEX('Checklist'!$H$4:$H$503,_calc!$E$156),"yyyy-mm-dd"),""))</f>
        <v/>
      </c>
      <c r="F154" s="44">
        <f>IF(_calc!$E$156="","",TRIM(IF(LEN(IF(LEN(INDEX('Checklist'!$A$4:$A$503,_calc!$E$156))=0,"",INDEX('Checklist'!$A$4:$A$503,_calc!$E$156)))=0,"","Group: "&amp;IF(LEN(INDEX('Checklist'!$A$4:$A$503,_calc!$E$156))=0,"",INDEX('Checklist'!$A$4:$A$503,_calc!$E$156))&amp;". ")&amp;IF(LEN(IF(LEN(INDEX('Checklist'!$E$4:$E$503,_calc!$E$156))=0,"",INDEX('Checklist'!$E$4:$E$503,_calc!$E$156)))=0,"","Owner: "&amp;IF(LEN(INDEX('Checklist'!$E$4:$E$503,_calc!$E$156))=0,"",INDEX('Checklist'!$E$4:$E$503,_calc!$E$156))&amp;". ")&amp;IF(LEN(IF(LEN(INDEX('Checklist'!$F$4:$F$503,_calc!$E$156))=0,"",INDEX('Checklist'!$F$4:$F$503,_calc!$E$156)))=0,"","Backup: "&amp;IF(LEN(INDEX('Checklist'!$F$4:$F$503,_calc!$E$156))=0,"",INDEX('Checklist'!$F$4:$F$503,_calc!$E$156))&amp;". ")&amp;IF(LEN(IF(LEN(INDEX('Checklist'!$J$4:$J$503,_calc!$E$156))=0,"",INDEX('Checklist'!$J$4:$J$503,_calc!$E$156)))=0,"","Evidence: "&amp;IF(LEN(INDEX('Checklist'!$J$4:$J$503,_calc!$E$156))=0,"",INDEX('Checklist'!$J$4:$J$503,_calc!$E$156))&amp;". ")&amp;IF(LEN(IF(LEN(INDEX('Checklist'!$D$4:$D$503,_calc!$E$156))=0,"",INDEX('Checklist'!$D$4:$D$503,_calc!$E$156)))=0,"","Rule example: "&amp;IF(LEN(INDEX('Checklist'!$D$4:$D$503,_calc!$E$156))=0,"",INDEX('Checklist'!$D$4:$D$503,_calc!$E$156))&amp;". ")&amp;IF(LEN(IF(LEN(INDEX('Checklist'!$P$4:$P$503,_calc!$E$156))=0,"",INDEX('Checklist'!$P$4:$P$503,_calc!$E$156)))=0,"",IF(LEN(INDEX('Checklist'!$P$4:$P$503,_calc!$E$156))=0,"",INDEX('Checklist'!$P$4:$P$503,_calc!$E$156)))))</f>
        <v/>
      </c>
      <c r="K154" s="44">
        <f>IF(_calc!$E$156="","",IF(LEN(INDEX('Checklist'!$G$4:$G$503,_calc!$E$156))=0,"",INDEX('Checklist'!$G$4:$G$503,_calc!$E$156)))</f>
        <v/>
      </c>
    </row>
    <row r="155">
      <c r="A155" s="44">
        <f>IF(_calc!$E$157="","","Survey check – "&amp;IF(LEN(INDEX('Checklist'!$C$4:$C$503,_calc!$E$157))=0,"",INDEX('Checklist'!$C$4:$C$503,_calc!$E$157)))</f>
        <v/>
      </c>
      <c r="B155" s="44">
        <f>IF(_calc!$E$157="","",IF(ISNUMBER(INDEX('Checklist'!$L$4:$L$503,_calc!$E$157)),TEXT(INDEX('Checklist'!$L$4:$L$503,_calc!$E$157),"yyyy-mm-dd"),""))</f>
        <v/>
      </c>
      <c r="C155" s="44">
        <f>IF(_calc!$E$157="","","Survey readiness")</f>
        <v/>
      </c>
      <c r="D155" s="44">
        <f>IF(_calc!$E$157="","",IF(ISNUMBER(INDEX('Checklist'!$H$4:$H$503,_calc!$E$157)),TEXT(INDEX('Checklist'!$H$4:$H$503,_calc!$E$157),"yyyy-mm-dd"),""))</f>
        <v/>
      </c>
      <c r="F155" s="44">
        <f>IF(_calc!$E$157="","",TRIM(IF(LEN(IF(LEN(INDEX('Checklist'!$A$4:$A$503,_calc!$E$157))=0,"",INDEX('Checklist'!$A$4:$A$503,_calc!$E$157)))=0,"","Group: "&amp;IF(LEN(INDEX('Checklist'!$A$4:$A$503,_calc!$E$157))=0,"",INDEX('Checklist'!$A$4:$A$503,_calc!$E$157))&amp;". ")&amp;IF(LEN(IF(LEN(INDEX('Checklist'!$E$4:$E$503,_calc!$E$157))=0,"",INDEX('Checklist'!$E$4:$E$503,_calc!$E$157)))=0,"","Owner: "&amp;IF(LEN(INDEX('Checklist'!$E$4:$E$503,_calc!$E$157))=0,"",INDEX('Checklist'!$E$4:$E$503,_calc!$E$157))&amp;". ")&amp;IF(LEN(IF(LEN(INDEX('Checklist'!$F$4:$F$503,_calc!$E$157))=0,"",INDEX('Checklist'!$F$4:$F$503,_calc!$E$157)))=0,"","Backup: "&amp;IF(LEN(INDEX('Checklist'!$F$4:$F$503,_calc!$E$157))=0,"",INDEX('Checklist'!$F$4:$F$503,_calc!$E$157))&amp;". ")&amp;IF(LEN(IF(LEN(INDEX('Checklist'!$J$4:$J$503,_calc!$E$157))=0,"",INDEX('Checklist'!$J$4:$J$503,_calc!$E$157)))=0,"","Evidence: "&amp;IF(LEN(INDEX('Checklist'!$J$4:$J$503,_calc!$E$157))=0,"",INDEX('Checklist'!$J$4:$J$503,_calc!$E$157))&amp;". ")&amp;IF(LEN(IF(LEN(INDEX('Checklist'!$D$4:$D$503,_calc!$E$157))=0,"",INDEX('Checklist'!$D$4:$D$503,_calc!$E$157)))=0,"","Rule example: "&amp;IF(LEN(INDEX('Checklist'!$D$4:$D$503,_calc!$E$157))=0,"",INDEX('Checklist'!$D$4:$D$503,_calc!$E$157))&amp;". ")&amp;IF(LEN(IF(LEN(INDEX('Checklist'!$P$4:$P$503,_calc!$E$157))=0,"",INDEX('Checklist'!$P$4:$P$503,_calc!$E$157)))=0,"",IF(LEN(INDEX('Checklist'!$P$4:$P$503,_calc!$E$157))=0,"",INDEX('Checklist'!$P$4:$P$503,_calc!$E$157)))))</f>
        <v/>
      </c>
      <c r="K155" s="44">
        <f>IF(_calc!$E$157="","",IF(LEN(INDEX('Checklist'!$G$4:$G$503,_calc!$E$157))=0,"",INDEX('Checklist'!$G$4:$G$503,_calc!$E$157)))</f>
        <v/>
      </c>
    </row>
    <row r="156">
      <c r="A156" s="44">
        <f>IF(_calc!$E$158="","","Survey check – "&amp;IF(LEN(INDEX('Checklist'!$C$4:$C$503,_calc!$E$158))=0,"",INDEX('Checklist'!$C$4:$C$503,_calc!$E$158)))</f>
        <v/>
      </c>
      <c r="B156" s="44">
        <f>IF(_calc!$E$158="","",IF(ISNUMBER(INDEX('Checklist'!$L$4:$L$503,_calc!$E$158)),TEXT(INDEX('Checklist'!$L$4:$L$503,_calc!$E$158),"yyyy-mm-dd"),""))</f>
        <v/>
      </c>
      <c r="C156" s="44">
        <f>IF(_calc!$E$158="","","Survey readiness")</f>
        <v/>
      </c>
      <c r="D156" s="44">
        <f>IF(_calc!$E$158="","",IF(ISNUMBER(INDEX('Checklist'!$H$4:$H$503,_calc!$E$158)),TEXT(INDEX('Checklist'!$H$4:$H$503,_calc!$E$158),"yyyy-mm-dd"),""))</f>
        <v/>
      </c>
      <c r="F156" s="44">
        <f>IF(_calc!$E$158="","",TRIM(IF(LEN(IF(LEN(INDEX('Checklist'!$A$4:$A$503,_calc!$E$158))=0,"",INDEX('Checklist'!$A$4:$A$503,_calc!$E$158)))=0,"","Group: "&amp;IF(LEN(INDEX('Checklist'!$A$4:$A$503,_calc!$E$158))=0,"",INDEX('Checklist'!$A$4:$A$503,_calc!$E$158))&amp;". ")&amp;IF(LEN(IF(LEN(INDEX('Checklist'!$E$4:$E$503,_calc!$E$158))=0,"",INDEX('Checklist'!$E$4:$E$503,_calc!$E$158)))=0,"","Owner: "&amp;IF(LEN(INDEX('Checklist'!$E$4:$E$503,_calc!$E$158))=0,"",INDEX('Checklist'!$E$4:$E$503,_calc!$E$158))&amp;". ")&amp;IF(LEN(IF(LEN(INDEX('Checklist'!$F$4:$F$503,_calc!$E$158))=0,"",INDEX('Checklist'!$F$4:$F$503,_calc!$E$158)))=0,"","Backup: "&amp;IF(LEN(INDEX('Checklist'!$F$4:$F$503,_calc!$E$158))=0,"",INDEX('Checklist'!$F$4:$F$503,_calc!$E$158))&amp;". ")&amp;IF(LEN(IF(LEN(INDEX('Checklist'!$J$4:$J$503,_calc!$E$158))=0,"",INDEX('Checklist'!$J$4:$J$503,_calc!$E$158)))=0,"","Evidence: "&amp;IF(LEN(INDEX('Checklist'!$J$4:$J$503,_calc!$E$158))=0,"",INDEX('Checklist'!$J$4:$J$503,_calc!$E$158))&amp;". ")&amp;IF(LEN(IF(LEN(INDEX('Checklist'!$D$4:$D$503,_calc!$E$158))=0,"",INDEX('Checklist'!$D$4:$D$503,_calc!$E$158)))=0,"","Rule example: "&amp;IF(LEN(INDEX('Checklist'!$D$4:$D$503,_calc!$E$158))=0,"",INDEX('Checklist'!$D$4:$D$503,_calc!$E$158))&amp;". ")&amp;IF(LEN(IF(LEN(INDEX('Checklist'!$P$4:$P$503,_calc!$E$158))=0,"",INDEX('Checklist'!$P$4:$P$503,_calc!$E$158)))=0,"",IF(LEN(INDEX('Checklist'!$P$4:$P$503,_calc!$E$158))=0,"",INDEX('Checklist'!$P$4:$P$503,_calc!$E$158)))))</f>
        <v/>
      </c>
      <c r="K156" s="44">
        <f>IF(_calc!$E$158="","",IF(LEN(INDEX('Checklist'!$G$4:$G$503,_calc!$E$158))=0,"",INDEX('Checklist'!$G$4:$G$503,_calc!$E$158)))</f>
        <v/>
      </c>
    </row>
    <row r="157">
      <c r="A157" s="44">
        <f>IF(_calc!$E$159="","","Survey check – "&amp;IF(LEN(INDEX('Checklist'!$C$4:$C$503,_calc!$E$159))=0,"",INDEX('Checklist'!$C$4:$C$503,_calc!$E$159)))</f>
        <v/>
      </c>
      <c r="B157" s="44">
        <f>IF(_calc!$E$159="","",IF(ISNUMBER(INDEX('Checklist'!$L$4:$L$503,_calc!$E$159)),TEXT(INDEX('Checklist'!$L$4:$L$503,_calc!$E$159),"yyyy-mm-dd"),""))</f>
        <v/>
      </c>
      <c r="C157" s="44">
        <f>IF(_calc!$E$159="","","Survey readiness")</f>
        <v/>
      </c>
      <c r="D157" s="44">
        <f>IF(_calc!$E$159="","",IF(ISNUMBER(INDEX('Checklist'!$H$4:$H$503,_calc!$E$159)),TEXT(INDEX('Checklist'!$H$4:$H$503,_calc!$E$159),"yyyy-mm-dd"),""))</f>
        <v/>
      </c>
      <c r="F157" s="44">
        <f>IF(_calc!$E$159="","",TRIM(IF(LEN(IF(LEN(INDEX('Checklist'!$A$4:$A$503,_calc!$E$159))=0,"",INDEX('Checklist'!$A$4:$A$503,_calc!$E$159)))=0,"","Group: "&amp;IF(LEN(INDEX('Checklist'!$A$4:$A$503,_calc!$E$159))=0,"",INDEX('Checklist'!$A$4:$A$503,_calc!$E$159))&amp;". ")&amp;IF(LEN(IF(LEN(INDEX('Checklist'!$E$4:$E$503,_calc!$E$159))=0,"",INDEX('Checklist'!$E$4:$E$503,_calc!$E$159)))=0,"","Owner: "&amp;IF(LEN(INDEX('Checklist'!$E$4:$E$503,_calc!$E$159))=0,"",INDEX('Checklist'!$E$4:$E$503,_calc!$E$159))&amp;". ")&amp;IF(LEN(IF(LEN(INDEX('Checklist'!$F$4:$F$503,_calc!$E$159))=0,"",INDEX('Checklist'!$F$4:$F$503,_calc!$E$159)))=0,"","Backup: "&amp;IF(LEN(INDEX('Checklist'!$F$4:$F$503,_calc!$E$159))=0,"",INDEX('Checklist'!$F$4:$F$503,_calc!$E$159))&amp;". ")&amp;IF(LEN(IF(LEN(INDEX('Checklist'!$J$4:$J$503,_calc!$E$159))=0,"",INDEX('Checklist'!$J$4:$J$503,_calc!$E$159)))=0,"","Evidence: "&amp;IF(LEN(INDEX('Checklist'!$J$4:$J$503,_calc!$E$159))=0,"",INDEX('Checklist'!$J$4:$J$503,_calc!$E$159))&amp;". ")&amp;IF(LEN(IF(LEN(INDEX('Checklist'!$D$4:$D$503,_calc!$E$159))=0,"",INDEX('Checklist'!$D$4:$D$503,_calc!$E$159)))=0,"","Rule example: "&amp;IF(LEN(INDEX('Checklist'!$D$4:$D$503,_calc!$E$159))=0,"",INDEX('Checklist'!$D$4:$D$503,_calc!$E$159))&amp;". ")&amp;IF(LEN(IF(LEN(INDEX('Checklist'!$P$4:$P$503,_calc!$E$159))=0,"",INDEX('Checklist'!$P$4:$P$503,_calc!$E$159)))=0,"",IF(LEN(INDEX('Checklist'!$P$4:$P$503,_calc!$E$159))=0,"",INDEX('Checklist'!$P$4:$P$503,_calc!$E$159)))))</f>
        <v/>
      </c>
      <c r="K157" s="44">
        <f>IF(_calc!$E$159="","",IF(LEN(INDEX('Checklist'!$G$4:$G$503,_calc!$E$159))=0,"",INDEX('Checklist'!$G$4:$G$503,_calc!$E$159)))</f>
        <v/>
      </c>
    </row>
    <row r="158">
      <c r="A158" s="44">
        <f>IF(_calc!$E$160="","","Survey check – "&amp;IF(LEN(INDEX('Checklist'!$C$4:$C$503,_calc!$E$160))=0,"",INDEX('Checklist'!$C$4:$C$503,_calc!$E$160)))</f>
        <v/>
      </c>
      <c r="B158" s="44">
        <f>IF(_calc!$E$160="","",IF(ISNUMBER(INDEX('Checklist'!$L$4:$L$503,_calc!$E$160)),TEXT(INDEX('Checklist'!$L$4:$L$503,_calc!$E$160),"yyyy-mm-dd"),""))</f>
        <v/>
      </c>
      <c r="C158" s="44">
        <f>IF(_calc!$E$160="","","Survey readiness")</f>
        <v/>
      </c>
      <c r="D158" s="44">
        <f>IF(_calc!$E$160="","",IF(ISNUMBER(INDEX('Checklist'!$H$4:$H$503,_calc!$E$160)),TEXT(INDEX('Checklist'!$H$4:$H$503,_calc!$E$160),"yyyy-mm-dd"),""))</f>
        <v/>
      </c>
      <c r="F158" s="44">
        <f>IF(_calc!$E$160="","",TRIM(IF(LEN(IF(LEN(INDEX('Checklist'!$A$4:$A$503,_calc!$E$160))=0,"",INDEX('Checklist'!$A$4:$A$503,_calc!$E$160)))=0,"","Group: "&amp;IF(LEN(INDEX('Checklist'!$A$4:$A$503,_calc!$E$160))=0,"",INDEX('Checklist'!$A$4:$A$503,_calc!$E$160))&amp;". ")&amp;IF(LEN(IF(LEN(INDEX('Checklist'!$E$4:$E$503,_calc!$E$160))=0,"",INDEX('Checklist'!$E$4:$E$503,_calc!$E$160)))=0,"","Owner: "&amp;IF(LEN(INDEX('Checklist'!$E$4:$E$503,_calc!$E$160))=0,"",INDEX('Checklist'!$E$4:$E$503,_calc!$E$160))&amp;". ")&amp;IF(LEN(IF(LEN(INDEX('Checklist'!$F$4:$F$503,_calc!$E$160))=0,"",INDEX('Checklist'!$F$4:$F$503,_calc!$E$160)))=0,"","Backup: "&amp;IF(LEN(INDEX('Checklist'!$F$4:$F$503,_calc!$E$160))=0,"",INDEX('Checklist'!$F$4:$F$503,_calc!$E$160))&amp;". ")&amp;IF(LEN(IF(LEN(INDEX('Checklist'!$J$4:$J$503,_calc!$E$160))=0,"",INDEX('Checklist'!$J$4:$J$503,_calc!$E$160)))=0,"","Evidence: "&amp;IF(LEN(INDEX('Checklist'!$J$4:$J$503,_calc!$E$160))=0,"",INDEX('Checklist'!$J$4:$J$503,_calc!$E$160))&amp;". ")&amp;IF(LEN(IF(LEN(INDEX('Checklist'!$D$4:$D$503,_calc!$E$160))=0,"",INDEX('Checklist'!$D$4:$D$503,_calc!$E$160)))=0,"","Rule example: "&amp;IF(LEN(INDEX('Checklist'!$D$4:$D$503,_calc!$E$160))=0,"",INDEX('Checklist'!$D$4:$D$503,_calc!$E$160))&amp;". ")&amp;IF(LEN(IF(LEN(INDEX('Checklist'!$P$4:$P$503,_calc!$E$160))=0,"",INDEX('Checklist'!$P$4:$P$503,_calc!$E$160)))=0,"",IF(LEN(INDEX('Checklist'!$P$4:$P$503,_calc!$E$160))=0,"",INDEX('Checklist'!$P$4:$P$503,_calc!$E$160)))))</f>
        <v/>
      </c>
      <c r="K158" s="44">
        <f>IF(_calc!$E$160="","",IF(LEN(INDEX('Checklist'!$G$4:$G$503,_calc!$E$160))=0,"",INDEX('Checklist'!$G$4:$G$503,_calc!$E$160)))</f>
        <v/>
      </c>
    </row>
    <row r="159">
      <c r="A159" s="44">
        <f>IF(_calc!$E$161="","","Survey check – "&amp;IF(LEN(INDEX('Checklist'!$C$4:$C$503,_calc!$E$161))=0,"",INDEX('Checklist'!$C$4:$C$503,_calc!$E$161)))</f>
        <v/>
      </c>
      <c r="B159" s="44">
        <f>IF(_calc!$E$161="","",IF(ISNUMBER(INDEX('Checklist'!$L$4:$L$503,_calc!$E$161)),TEXT(INDEX('Checklist'!$L$4:$L$503,_calc!$E$161),"yyyy-mm-dd"),""))</f>
        <v/>
      </c>
      <c r="C159" s="44">
        <f>IF(_calc!$E$161="","","Survey readiness")</f>
        <v/>
      </c>
      <c r="D159" s="44">
        <f>IF(_calc!$E$161="","",IF(ISNUMBER(INDEX('Checklist'!$H$4:$H$503,_calc!$E$161)),TEXT(INDEX('Checklist'!$H$4:$H$503,_calc!$E$161),"yyyy-mm-dd"),""))</f>
        <v/>
      </c>
      <c r="F159" s="44">
        <f>IF(_calc!$E$161="","",TRIM(IF(LEN(IF(LEN(INDEX('Checklist'!$A$4:$A$503,_calc!$E$161))=0,"",INDEX('Checklist'!$A$4:$A$503,_calc!$E$161)))=0,"","Group: "&amp;IF(LEN(INDEX('Checklist'!$A$4:$A$503,_calc!$E$161))=0,"",INDEX('Checklist'!$A$4:$A$503,_calc!$E$161))&amp;". ")&amp;IF(LEN(IF(LEN(INDEX('Checklist'!$E$4:$E$503,_calc!$E$161))=0,"",INDEX('Checklist'!$E$4:$E$503,_calc!$E$161)))=0,"","Owner: "&amp;IF(LEN(INDEX('Checklist'!$E$4:$E$503,_calc!$E$161))=0,"",INDEX('Checklist'!$E$4:$E$503,_calc!$E$161))&amp;". ")&amp;IF(LEN(IF(LEN(INDEX('Checklist'!$F$4:$F$503,_calc!$E$161))=0,"",INDEX('Checklist'!$F$4:$F$503,_calc!$E$161)))=0,"","Backup: "&amp;IF(LEN(INDEX('Checklist'!$F$4:$F$503,_calc!$E$161))=0,"",INDEX('Checklist'!$F$4:$F$503,_calc!$E$161))&amp;". ")&amp;IF(LEN(IF(LEN(INDEX('Checklist'!$J$4:$J$503,_calc!$E$161))=0,"",INDEX('Checklist'!$J$4:$J$503,_calc!$E$161)))=0,"","Evidence: "&amp;IF(LEN(INDEX('Checklist'!$J$4:$J$503,_calc!$E$161))=0,"",INDEX('Checklist'!$J$4:$J$503,_calc!$E$161))&amp;". ")&amp;IF(LEN(IF(LEN(INDEX('Checklist'!$D$4:$D$503,_calc!$E$161))=0,"",INDEX('Checklist'!$D$4:$D$503,_calc!$E$161)))=0,"","Rule example: "&amp;IF(LEN(INDEX('Checklist'!$D$4:$D$503,_calc!$E$161))=0,"",INDEX('Checklist'!$D$4:$D$503,_calc!$E$161))&amp;". ")&amp;IF(LEN(IF(LEN(INDEX('Checklist'!$P$4:$P$503,_calc!$E$161))=0,"",INDEX('Checklist'!$P$4:$P$503,_calc!$E$161)))=0,"",IF(LEN(INDEX('Checklist'!$P$4:$P$503,_calc!$E$161))=0,"",INDEX('Checklist'!$P$4:$P$503,_calc!$E$161)))))</f>
        <v/>
      </c>
      <c r="K159" s="44">
        <f>IF(_calc!$E$161="","",IF(LEN(INDEX('Checklist'!$G$4:$G$503,_calc!$E$161))=0,"",INDEX('Checklist'!$G$4:$G$503,_calc!$E$161)))</f>
        <v/>
      </c>
    </row>
    <row r="160">
      <c r="A160" s="44">
        <f>IF(_calc!$E$162="","","Survey check – "&amp;IF(LEN(INDEX('Checklist'!$C$4:$C$503,_calc!$E$162))=0,"",INDEX('Checklist'!$C$4:$C$503,_calc!$E$162)))</f>
        <v/>
      </c>
      <c r="B160" s="44">
        <f>IF(_calc!$E$162="","",IF(ISNUMBER(INDEX('Checklist'!$L$4:$L$503,_calc!$E$162)),TEXT(INDEX('Checklist'!$L$4:$L$503,_calc!$E$162),"yyyy-mm-dd"),""))</f>
        <v/>
      </c>
      <c r="C160" s="44">
        <f>IF(_calc!$E$162="","","Survey readiness")</f>
        <v/>
      </c>
      <c r="D160" s="44">
        <f>IF(_calc!$E$162="","",IF(ISNUMBER(INDEX('Checklist'!$H$4:$H$503,_calc!$E$162)),TEXT(INDEX('Checklist'!$H$4:$H$503,_calc!$E$162),"yyyy-mm-dd"),""))</f>
        <v/>
      </c>
      <c r="F160" s="44">
        <f>IF(_calc!$E$162="","",TRIM(IF(LEN(IF(LEN(INDEX('Checklist'!$A$4:$A$503,_calc!$E$162))=0,"",INDEX('Checklist'!$A$4:$A$503,_calc!$E$162)))=0,"","Group: "&amp;IF(LEN(INDEX('Checklist'!$A$4:$A$503,_calc!$E$162))=0,"",INDEX('Checklist'!$A$4:$A$503,_calc!$E$162))&amp;". ")&amp;IF(LEN(IF(LEN(INDEX('Checklist'!$E$4:$E$503,_calc!$E$162))=0,"",INDEX('Checklist'!$E$4:$E$503,_calc!$E$162)))=0,"","Owner: "&amp;IF(LEN(INDEX('Checklist'!$E$4:$E$503,_calc!$E$162))=0,"",INDEX('Checklist'!$E$4:$E$503,_calc!$E$162))&amp;". ")&amp;IF(LEN(IF(LEN(INDEX('Checklist'!$F$4:$F$503,_calc!$E$162))=0,"",INDEX('Checklist'!$F$4:$F$503,_calc!$E$162)))=0,"","Backup: "&amp;IF(LEN(INDEX('Checklist'!$F$4:$F$503,_calc!$E$162))=0,"",INDEX('Checklist'!$F$4:$F$503,_calc!$E$162))&amp;". ")&amp;IF(LEN(IF(LEN(INDEX('Checklist'!$J$4:$J$503,_calc!$E$162))=0,"",INDEX('Checklist'!$J$4:$J$503,_calc!$E$162)))=0,"","Evidence: "&amp;IF(LEN(INDEX('Checklist'!$J$4:$J$503,_calc!$E$162))=0,"",INDEX('Checklist'!$J$4:$J$503,_calc!$E$162))&amp;". ")&amp;IF(LEN(IF(LEN(INDEX('Checklist'!$D$4:$D$503,_calc!$E$162))=0,"",INDEX('Checklist'!$D$4:$D$503,_calc!$E$162)))=0,"","Rule example: "&amp;IF(LEN(INDEX('Checklist'!$D$4:$D$503,_calc!$E$162))=0,"",INDEX('Checklist'!$D$4:$D$503,_calc!$E$162))&amp;". ")&amp;IF(LEN(IF(LEN(INDEX('Checklist'!$P$4:$P$503,_calc!$E$162))=0,"",INDEX('Checklist'!$P$4:$P$503,_calc!$E$162)))=0,"",IF(LEN(INDEX('Checklist'!$P$4:$P$503,_calc!$E$162))=0,"",INDEX('Checklist'!$P$4:$P$503,_calc!$E$162)))))</f>
        <v/>
      </c>
      <c r="K160" s="44">
        <f>IF(_calc!$E$162="","",IF(LEN(INDEX('Checklist'!$G$4:$G$503,_calc!$E$162))=0,"",INDEX('Checklist'!$G$4:$G$503,_calc!$E$162)))</f>
        <v/>
      </c>
    </row>
    <row r="161">
      <c r="A161" s="44">
        <f>IF(_calc!$E$163="","","Survey check – "&amp;IF(LEN(INDEX('Checklist'!$C$4:$C$503,_calc!$E$163))=0,"",INDEX('Checklist'!$C$4:$C$503,_calc!$E$163)))</f>
        <v/>
      </c>
      <c r="B161" s="44">
        <f>IF(_calc!$E$163="","",IF(ISNUMBER(INDEX('Checklist'!$L$4:$L$503,_calc!$E$163)),TEXT(INDEX('Checklist'!$L$4:$L$503,_calc!$E$163),"yyyy-mm-dd"),""))</f>
        <v/>
      </c>
      <c r="C161" s="44">
        <f>IF(_calc!$E$163="","","Survey readiness")</f>
        <v/>
      </c>
      <c r="D161" s="44">
        <f>IF(_calc!$E$163="","",IF(ISNUMBER(INDEX('Checklist'!$H$4:$H$503,_calc!$E$163)),TEXT(INDEX('Checklist'!$H$4:$H$503,_calc!$E$163),"yyyy-mm-dd"),""))</f>
        <v/>
      </c>
      <c r="F161" s="44">
        <f>IF(_calc!$E$163="","",TRIM(IF(LEN(IF(LEN(INDEX('Checklist'!$A$4:$A$503,_calc!$E$163))=0,"",INDEX('Checklist'!$A$4:$A$503,_calc!$E$163)))=0,"","Group: "&amp;IF(LEN(INDEX('Checklist'!$A$4:$A$503,_calc!$E$163))=0,"",INDEX('Checklist'!$A$4:$A$503,_calc!$E$163))&amp;". ")&amp;IF(LEN(IF(LEN(INDEX('Checklist'!$E$4:$E$503,_calc!$E$163))=0,"",INDEX('Checklist'!$E$4:$E$503,_calc!$E$163)))=0,"","Owner: "&amp;IF(LEN(INDEX('Checklist'!$E$4:$E$503,_calc!$E$163))=0,"",INDEX('Checklist'!$E$4:$E$503,_calc!$E$163))&amp;". ")&amp;IF(LEN(IF(LEN(INDEX('Checklist'!$F$4:$F$503,_calc!$E$163))=0,"",INDEX('Checklist'!$F$4:$F$503,_calc!$E$163)))=0,"","Backup: "&amp;IF(LEN(INDEX('Checklist'!$F$4:$F$503,_calc!$E$163))=0,"",INDEX('Checklist'!$F$4:$F$503,_calc!$E$163))&amp;". ")&amp;IF(LEN(IF(LEN(INDEX('Checklist'!$J$4:$J$503,_calc!$E$163))=0,"",INDEX('Checklist'!$J$4:$J$503,_calc!$E$163)))=0,"","Evidence: "&amp;IF(LEN(INDEX('Checklist'!$J$4:$J$503,_calc!$E$163))=0,"",INDEX('Checklist'!$J$4:$J$503,_calc!$E$163))&amp;". ")&amp;IF(LEN(IF(LEN(INDEX('Checklist'!$D$4:$D$503,_calc!$E$163))=0,"",INDEX('Checklist'!$D$4:$D$503,_calc!$E$163)))=0,"","Rule example: "&amp;IF(LEN(INDEX('Checklist'!$D$4:$D$503,_calc!$E$163))=0,"",INDEX('Checklist'!$D$4:$D$503,_calc!$E$163))&amp;". ")&amp;IF(LEN(IF(LEN(INDEX('Checklist'!$P$4:$P$503,_calc!$E$163))=0,"",INDEX('Checklist'!$P$4:$P$503,_calc!$E$163)))=0,"",IF(LEN(INDEX('Checklist'!$P$4:$P$503,_calc!$E$163))=0,"",INDEX('Checklist'!$P$4:$P$503,_calc!$E$163)))))</f>
        <v/>
      </c>
      <c r="K161" s="44">
        <f>IF(_calc!$E$163="","",IF(LEN(INDEX('Checklist'!$G$4:$G$503,_calc!$E$163))=0,"",INDEX('Checklist'!$G$4:$G$503,_calc!$E$163)))</f>
        <v/>
      </c>
    </row>
    <row r="162">
      <c r="A162" s="44">
        <f>IF(_calc!$E$164="","","Survey check – "&amp;IF(LEN(INDEX('Checklist'!$C$4:$C$503,_calc!$E$164))=0,"",INDEX('Checklist'!$C$4:$C$503,_calc!$E$164)))</f>
        <v/>
      </c>
      <c r="B162" s="44">
        <f>IF(_calc!$E$164="","",IF(ISNUMBER(INDEX('Checklist'!$L$4:$L$503,_calc!$E$164)),TEXT(INDEX('Checklist'!$L$4:$L$503,_calc!$E$164),"yyyy-mm-dd"),""))</f>
        <v/>
      </c>
      <c r="C162" s="44">
        <f>IF(_calc!$E$164="","","Survey readiness")</f>
        <v/>
      </c>
      <c r="D162" s="44">
        <f>IF(_calc!$E$164="","",IF(ISNUMBER(INDEX('Checklist'!$H$4:$H$503,_calc!$E$164)),TEXT(INDEX('Checklist'!$H$4:$H$503,_calc!$E$164),"yyyy-mm-dd"),""))</f>
        <v/>
      </c>
      <c r="F162" s="44">
        <f>IF(_calc!$E$164="","",TRIM(IF(LEN(IF(LEN(INDEX('Checklist'!$A$4:$A$503,_calc!$E$164))=0,"",INDEX('Checklist'!$A$4:$A$503,_calc!$E$164)))=0,"","Group: "&amp;IF(LEN(INDEX('Checklist'!$A$4:$A$503,_calc!$E$164))=0,"",INDEX('Checklist'!$A$4:$A$503,_calc!$E$164))&amp;". ")&amp;IF(LEN(IF(LEN(INDEX('Checklist'!$E$4:$E$503,_calc!$E$164))=0,"",INDEX('Checklist'!$E$4:$E$503,_calc!$E$164)))=0,"","Owner: "&amp;IF(LEN(INDEX('Checklist'!$E$4:$E$503,_calc!$E$164))=0,"",INDEX('Checklist'!$E$4:$E$503,_calc!$E$164))&amp;". ")&amp;IF(LEN(IF(LEN(INDEX('Checklist'!$F$4:$F$503,_calc!$E$164))=0,"",INDEX('Checklist'!$F$4:$F$503,_calc!$E$164)))=0,"","Backup: "&amp;IF(LEN(INDEX('Checklist'!$F$4:$F$503,_calc!$E$164))=0,"",INDEX('Checklist'!$F$4:$F$503,_calc!$E$164))&amp;". ")&amp;IF(LEN(IF(LEN(INDEX('Checklist'!$J$4:$J$503,_calc!$E$164))=0,"",INDEX('Checklist'!$J$4:$J$503,_calc!$E$164)))=0,"","Evidence: "&amp;IF(LEN(INDEX('Checklist'!$J$4:$J$503,_calc!$E$164))=0,"",INDEX('Checklist'!$J$4:$J$503,_calc!$E$164))&amp;". ")&amp;IF(LEN(IF(LEN(INDEX('Checklist'!$D$4:$D$503,_calc!$E$164))=0,"",INDEX('Checklist'!$D$4:$D$503,_calc!$E$164)))=0,"","Rule example: "&amp;IF(LEN(INDEX('Checklist'!$D$4:$D$503,_calc!$E$164))=0,"",INDEX('Checklist'!$D$4:$D$503,_calc!$E$164))&amp;". ")&amp;IF(LEN(IF(LEN(INDEX('Checklist'!$P$4:$P$503,_calc!$E$164))=0,"",INDEX('Checklist'!$P$4:$P$503,_calc!$E$164)))=0,"",IF(LEN(INDEX('Checklist'!$P$4:$P$503,_calc!$E$164))=0,"",INDEX('Checklist'!$P$4:$P$503,_calc!$E$164)))))</f>
        <v/>
      </c>
      <c r="K162" s="44">
        <f>IF(_calc!$E$164="","",IF(LEN(INDEX('Checklist'!$G$4:$G$503,_calc!$E$164))=0,"",INDEX('Checklist'!$G$4:$G$503,_calc!$E$164)))</f>
        <v/>
      </c>
    </row>
    <row r="163">
      <c r="A163" s="44">
        <f>IF(_calc!$E$165="","","Survey check – "&amp;IF(LEN(INDEX('Checklist'!$C$4:$C$503,_calc!$E$165))=0,"",INDEX('Checklist'!$C$4:$C$503,_calc!$E$165)))</f>
        <v/>
      </c>
      <c r="B163" s="44">
        <f>IF(_calc!$E$165="","",IF(ISNUMBER(INDEX('Checklist'!$L$4:$L$503,_calc!$E$165)),TEXT(INDEX('Checklist'!$L$4:$L$503,_calc!$E$165),"yyyy-mm-dd"),""))</f>
        <v/>
      </c>
      <c r="C163" s="44">
        <f>IF(_calc!$E$165="","","Survey readiness")</f>
        <v/>
      </c>
      <c r="D163" s="44">
        <f>IF(_calc!$E$165="","",IF(ISNUMBER(INDEX('Checklist'!$H$4:$H$503,_calc!$E$165)),TEXT(INDEX('Checklist'!$H$4:$H$503,_calc!$E$165),"yyyy-mm-dd"),""))</f>
        <v/>
      </c>
      <c r="F163" s="44">
        <f>IF(_calc!$E$165="","",TRIM(IF(LEN(IF(LEN(INDEX('Checklist'!$A$4:$A$503,_calc!$E$165))=0,"",INDEX('Checklist'!$A$4:$A$503,_calc!$E$165)))=0,"","Group: "&amp;IF(LEN(INDEX('Checklist'!$A$4:$A$503,_calc!$E$165))=0,"",INDEX('Checklist'!$A$4:$A$503,_calc!$E$165))&amp;". ")&amp;IF(LEN(IF(LEN(INDEX('Checklist'!$E$4:$E$503,_calc!$E$165))=0,"",INDEX('Checklist'!$E$4:$E$503,_calc!$E$165)))=0,"","Owner: "&amp;IF(LEN(INDEX('Checklist'!$E$4:$E$503,_calc!$E$165))=0,"",INDEX('Checklist'!$E$4:$E$503,_calc!$E$165))&amp;". ")&amp;IF(LEN(IF(LEN(INDEX('Checklist'!$F$4:$F$503,_calc!$E$165))=0,"",INDEX('Checklist'!$F$4:$F$503,_calc!$E$165)))=0,"","Backup: "&amp;IF(LEN(INDEX('Checklist'!$F$4:$F$503,_calc!$E$165))=0,"",INDEX('Checklist'!$F$4:$F$503,_calc!$E$165))&amp;". ")&amp;IF(LEN(IF(LEN(INDEX('Checklist'!$J$4:$J$503,_calc!$E$165))=0,"",INDEX('Checklist'!$J$4:$J$503,_calc!$E$165)))=0,"","Evidence: "&amp;IF(LEN(INDEX('Checklist'!$J$4:$J$503,_calc!$E$165))=0,"",INDEX('Checklist'!$J$4:$J$503,_calc!$E$165))&amp;". ")&amp;IF(LEN(IF(LEN(INDEX('Checklist'!$D$4:$D$503,_calc!$E$165))=0,"",INDEX('Checklist'!$D$4:$D$503,_calc!$E$165)))=0,"","Rule example: "&amp;IF(LEN(INDEX('Checklist'!$D$4:$D$503,_calc!$E$165))=0,"",INDEX('Checklist'!$D$4:$D$503,_calc!$E$165))&amp;". ")&amp;IF(LEN(IF(LEN(INDEX('Checklist'!$P$4:$P$503,_calc!$E$165))=0,"",INDEX('Checklist'!$P$4:$P$503,_calc!$E$165)))=0,"",IF(LEN(INDEX('Checklist'!$P$4:$P$503,_calc!$E$165))=0,"",INDEX('Checklist'!$P$4:$P$503,_calc!$E$165)))))</f>
        <v/>
      </c>
      <c r="K163" s="44">
        <f>IF(_calc!$E$165="","",IF(LEN(INDEX('Checklist'!$G$4:$G$503,_calc!$E$165))=0,"",INDEX('Checklist'!$G$4:$G$503,_calc!$E$165)))</f>
        <v/>
      </c>
    </row>
    <row r="164">
      <c r="A164" s="44">
        <f>IF(_calc!$E$166="","","Survey check – "&amp;IF(LEN(INDEX('Checklist'!$C$4:$C$503,_calc!$E$166))=0,"",INDEX('Checklist'!$C$4:$C$503,_calc!$E$166)))</f>
        <v/>
      </c>
      <c r="B164" s="44">
        <f>IF(_calc!$E$166="","",IF(ISNUMBER(INDEX('Checklist'!$L$4:$L$503,_calc!$E$166)),TEXT(INDEX('Checklist'!$L$4:$L$503,_calc!$E$166),"yyyy-mm-dd"),""))</f>
        <v/>
      </c>
      <c r="C164" s="44">
        <f>IF(_calc!$E$166="","","Survey readiness")</f>
        <v/>
      </c>
      <c r="D164" s="44">
        <f>IF(_calc!$E$166="","",IF(ISNUMBER(INDEX('Checklist'!$H$4:$H$503,_calc!$E$166)),TEXT(INDEX('Checklist'!$H$4:$H$503,_calc!$E$166),"yyyy-mm-dd"),""))</f>
        <v/>
      </c>
      <c r="F164" s="44">
        <f>IF(_calc!$E$166="","",TRIM(IF(LEN(IF(LEN(INDEX('Checklist'!$A$4:$A$503,_calc!$E$166))=0,"",INDEX('Checklist'!$A$4:$A$503,_calc!$E$166)))=0,"","Group: "&amp;IF(LEN(INDEX('Checklist'!$A$4:$A$503,_calc!$E$166))=0,"",INDEX('Checklist'!$A$4:$A$503,_calc!$E$166))&amp;". ")&amp;IF(LEN(IF(LEN(INDEX('Checklist'!$E$4:$E$503,_calc!$E$166))=0,"",INDEX('Checklist'!$E$4:$E$503,_calc!$E$166)))=0,"","Owner: "&amp;IF(LEN(INDEX('Checklist'!$E$4:$E$503,_calc!$E$166))=0,"",INDEX('Checklist'!$E$4:$E$503,_calc!$E$166))&amp;". ")&amp;IF(LEN(IF(LEN(INDEX('Checklist'!$F$4:$F$503,_calc!$E$166))=0,"",INDEX('Checklist'!$F$4:$F$503,_calc!$E$166)))=0,"","Backup: "&amp;IF(LEN(INDEX('Checklist'!$F$4:$F$503,_calc!$E$166))=0,"",INDEX('Checklist'!$F$4:$F$503,_calc!$E$166))&amp;". ")&amp;IF(LEN(IF(LEN(INDEX('Checklist'!$J$4:$J$503,_calc!$E$166))=0,"",INDEX('Checklist'!$J$4:$J$503,_calc!$E$166)))=0,"","Evidence: "&amp;IF(LEN(INDEX('Checklist'!$J$4:$J$503,_calc!$E$166))=0,"",INDEX('Checklist'!$J$4:$J$503,_calc!$E$166))&amp;". ")&amp;IF(LEN(IF(LEN(INDEX('Checklist'!$D$4:$D$503,_calc!$E$166))=0,"",INDEX('Checklist'!$D$4:$D$503,_calc!$E$166)))=0,"","Rule example: "&amp;IF(LEN(INDEX('Checklist'!$D$4:$D$503,_calc!$E$166))=0,"",INDEX('Checklist'!$D$4:$D$503,_calc!$E$166))&amp;". ")&amp;IF(LEN(IF(LEN(INDEX('Checklist'!$P$4:$P$503,_calc!$E$166))=0,"",INDEX('Checklist'!$P$4:$P$503,_calc!$E$166)))=0,"",IF(LEN(INDEX('Checklist'!$P$4:$P$503,_calc!$E$166))=0,"",INDEX('Checklist'!$P$4:$P$503,_calc!$E$166)))))</f>
        <v/>
      </c>
      <c r="K164" s="44">
        <f>IF(_calc!$E$166="","",IF(LEN(INDEX('Checklist'!$G$4:$G$503,_calc!$E$166))=0,"",INDEX('Checklist'!$G$4:$G$503,_calc!$E$166)))</f>
        <v/>
      </c>
    </row>
    <row r="165">
      <c r="A165" s="44">
        <f>IF(_calc!$E$167="","","Survey check – "&amp;IF(LEN(INDEX('Checklist'!$C$4:$C$503,_calc!$E$167))=0,"",INDEX('Checklist'!$C$4:$C$503,_calc!$E$167)))</f>
        <v/>
      </c>
      <c r="B165" s="44">
        <f>IF(_calc!$E$167="","",IF(ISNUMBER(INDEX('Checklist'!$L$4:$L$503,_calc!$E$167)),TEXT(INDEX('Checklist'!$L$4:$L$503,_calc!$E$167),"yyyy-mm-dd"),""))</f>
        <v/>
      </c>
      <c r="C165" s="44">
        <f>IF(_calc!$E$167="","","Survey readiness")</f>
        <v/>
      </c>
      <c r="D165" s="44">
        <f>IF(_calc!$E$167="","",IF(ISNUMBER(INDEX('Checklist'!$H$4:$H$503,_calc!$E$167)),TEXT(INDEX('Checklist'!$H$4:$H$503,_calc!$E$167),"yyyy-mm-dd"),""))</f>
        <v/>
      </c>
      <c r="F165" s="44">
        <f>IF(_calc!$E$167="","",TRIM(IF(LEN(IF(LEN(INDEX('Checklist'!$A$4:$A$503,_calc!$E$167))=0,"",INDEX('Checklist'!$A$4:$A$503,_calc!$E$167)))=0,"","Group: "&amp;IF(LEN(INDEX('Checklist'!$A$4:$A$503,_calc!$E$167))=0,"",INDEX('Checklist'!$A$4:$A$503,_calc!$E$167))&amp;". ")&amp;IF(LEN(IF(LEN(INDEX('Checklist'!$E$4:$E$503,_calc!$E$167))=0,"",INDEX('Checklist'!$E$4:$E$503,_calc!$E$167)))=0,"","Owner: "&amp;IF(LEN(INDEX('Checklist'!$E$4:$E$503,_calc!$E$167))=0,"",INDEX('Checklist'!$E$4:$E$503,_calc!$E$167))&amp;". ")&amp;IF(LEN(IF(LEN(INDEX('Checklist'!$F$4:$F$503,_calc!$E$167))=0,"",INDEX('Checklist'!$F$4:$F$503,_calc!$E$167)))=0,"","Backup: "&amp;IF(LEN(INDEX('Checklist'!$F$4:$F$503,_calc!$E$167))=0,"",INDEX('Checklist'!$F$4:$F$503,_calc!$E$167))&amp;". ")&amp;IF(LEN(IF(LEN(INDEX('Checklist'!$J$4:$J$503,_calc!$E$167))=0,"",INDEX('Checklist'!$J$4:$J$503,_calc!$E$167)))=0,"","Evidence: "&amp;IF(LEN(INDEX('Checklist'!$J$4:$J$503,_calc!$E$167))=0,"",INDEX('Checklist'!$J$4:$J$503,_calc!$E$167))&amp;". ")&amp;IF(LEN(IF(LEN(INDEX('Checklist'!$D$4:$D$503,_calc!$E$167))=0,"",INDEX('Checklist'!$D$4:$D$503,_calc!$E$167)))=0,"","Rule example: "&amp;IF(LEN(INDEX('Checklist'!$D$4:$D$503,_calc!$E$167))=0,"",INDEX('Checklist'!$D$4:$D$503,_calc!$E$167))&amp;". ")&amp;IF(LEN(IF(LEN(INDEX('Checklist'!$P$4:$P$503,_calc!$E$167))=0,"",INDEX('Checklist'!$P$4:$P$503,_calc!$E$167)))=0,"",IF(LEN(INDEX('Checklist'!$P$4:$P$503,_calc!$E$167))=0,"",INDEX('Checklist'!$P$4:$P$503,_calc!$E$167)))))</f>
        <v/>
      </c>
      <c r="K165" s="44">
        <f>IF(_calc!$E$167="","",IF(LEN(INDEX('Checklist'!$G$4:$G$503,_calc!$E$167))=0,"",INDEX('Checklist'!$G$4:$G$503,_calc!$E$167)))</f>
        <v/>
      </c>
    </row>
    <row r="166">
      <c r="A166" s="44">
        <f>IF(_calc!$E$168="","","Survey check – "&amp;IF(LEN(INDEX('Checklist'!$C$4:$C$503,_calc!$E$168))=0,"",INDEX('Checklist'!$C$4:$C$503,_calc!$E$168)))</f>
        <v/>
      </c>
      <c r="B166" s="44">
        <f>IF(_calc!$E$168="","",IF(ISNUMBER(INDEX('Checklist'!$L$4:$L$503,_calc!$E$168)),TEXT(INDEX('Checklist'!$L$4:$L$503,_calc!$E$168),"yyyy-mm-dd"),""))</f>
        <v/>
      </c>
      <c r="C166" s="44">
        <f>IF(_calc!$E$168="","","Survey readiness")</f>
        <v/>
      </c>
      <c r="D166" s="44">
        <f>IF(_calc!$E$168="","",IF(ISNUMBER(INDEX('Checklist'!$H$4:$H$503,_calc!$E$168)),TEXT(INDEX('Checklist'!$H$4:$H$503,_calc!$E$168),"yyyy-mm-dd"),""))</f>
        <v/>
      </c>
      <c r="F166" s="44">
        <f>IF(_calc!$E$168="","",TRIM(IF(LEN(IF(LEN(INDEX('Checklist'!$A$4:$A$503,_calc!$E$168))=0,"",INDEX('Checklist'!$A$4:$A$503,_calc!$E$168)))=0,"","Group: "&amp;IF(LEN(INDEX('Checklist'!$A$4:$A$503,_calc!$E$168))=0,"",INDEX('Checklist'!$A$4:$A$503,_calc!$E$168))&amp;". ")&amp;IF(LEN(IF(LEN(INDEX('Checklist'!$E$4:$E$503,_calc!$E$168))=0,"",INDEX('Checklist'!$E$4:$E$503,_calc!$E$168)))=0,"","Owner: "&amp;IF(LEN(INDEX('Checklist'!$E$4:$E$503,_calc!$E$168))=0,"",INDEX('Checklist'!$E$4:$E$503,_calc!$E$168))&amp;". ")&amp;IF(LEN(IF(LEN(INDEX('Checklist'!$F$4:$F$503,_calc!$E$168))=0,"",INDEX('Checklist'!$F$4:$F$503,_calc!$E$168)))=0,"","Backup: "&amp;IF(LEN(INDEX('Checklist'!$F$4:$F$503,_calc!$E$168))=0,"",INDEX('Checklist'!$F$4:$F$503,_calc!$E$168))&amp;". ")&amp;IF(LEN(IF(LEN(INDEX('Checklist'!$J$4:$J$503,_calc!$E$168))=0,"",INDEX('Checklist'!$J$4:$J$503,_calc!$E$168)))=0,"","Evidence: "&amp;IF(LEN(INDEX('Checklist'!$J$4:$J$503,_calc!$E$168))=0,"",INDEX('Checklist'!$J$4:$J$503,_calc!$E$168))&amp;". ")&amp;IF(LEN(IF(LEN(INDEX('Checklist'!$D$4:$D$503,_calc!$E$168))=0,"",INDEX('Checklist'!$D$4:$D$503,_calc!$E$168)))=0,"","Rule example: "&amp;IF(LEN(INDEX('Checklist'!$D$4:$D$503,_calc!$E$168))=0,"",INDEX('Checklist'!$D$4:$D$503,_calc!$E$168))&amp;". ")&amp;IF(LEN(IF(LEN(INDEX('Checklist'!$P$4:$P$503,_calc!$E$168))=0,"",INDEX('Checklist'!$P$4:$P$503,_calc!$E$168)))=0,"",IF(LEN(INDEX('Checklist'!$P$4:$P$503,_calc!$E$168))=0,"",INDEX('Checklist'!$P$4:$P$503,_calc!$E$168)))))</f>
        <v/>
      </c>
      <c r="K166" s="44">
        <f>IF(_calc!$E$168="","",IF(LEN(INDEX('Checklist'!$G$4:$G$503,_calc!$E$168))=0,"",INDEX('Checklist'!$G$4:$G$503,_calc!$E$168)))</f>
        <v/>
      </c>
    </row>
    <row r="167">
      <c r="A167" s="44">
        <f>IF(_calc!$E$169="","","Survey check – "&amp;IF(LEN(INDEX('Checklist'!$C$4:$C$503,_calc!$E$169))=0,"",INDEX('Checklist'!$C$4:$C$503,_calc!$E$169)))</f>
        <v/>
      </c>
      <c r="B167" s="44">
        <f>IF(_calc!$E$169="","",IF(ISNUMBER(INDEX('Checklist'!$L$4:$L$503,_calc!$E$169)),TEXT(INDEX('Checklist'!$L$4:$L$503,_calc!$E$169),"yyyy-mm-dd"),""))</f>
        <v/>
      </c>
      <c r="C167" s="44">
        <f>IF(_calc!$E$169="","","Survey readiness")</f>
        <v/>
      </c>
      <c r="D167" s="44">
        <f>IF(_calc!$E$169="","",IF(ISNUMBER(INDEX('Checklist'!$H$4:$H$503,_calc!$E$169)),TEXT(INDEX('Checklist'!$H$4:$H$503,_calc!$E$169),"yyyy-mm-dd"),""))</f>
        <v/>
      </c>
      <c r="F167" s="44">
        <f>IF(_calc!$E$169="","",TRIM(IF(LEN(IF(LEN(INDEX('Checklist'!$A$4:$A$503,_calc!$E$169))=0,"",INDEX('Checklist'!$A$4:$A$503,_calc!$E$169)))=0,"","Group: "&amp;IF(LEN(INDEX('Checklist'!$A$4:$A$503,_calc!$E$169))=0,"",INDEX('Checklist'!$A$4:$A$503,_calc!$E$169))&amp;". ")&amp;IF(LEN(IF(LEN(INDEX('Checklist'!$E$4:$E$503,_calc!$E$169))=0,"",INDEX('Checklist'!$E$4:$E$503,_calc!$E$169)))=0,"","Owner: "&amp;IF(LEN(INDEX('Checklist'!$E$4:$E$503,_calc!$E$169))=0,"",INDEX('Checklist'!$E$4:$E$503,_calc!$E$169))&amp;". ")&amp;IF(LEN(IF(LEN(INDEX('Checklist'!$F$4:$F$503,_calc!$E$169))=0,"",INDEX('Checklist'!$F$4:$F$503,_calc!$E$169)))=0,"","Backup: "&amp;IF(LEN(INDEX('Checklist'!$F$4:$F$503,_calc!$E$169))=0,"",INDEX('Checklist'!$F$4:$F$503,_calc!$E$169))&amp;". ")&amp;IF(LEN(IF(LEN(INDEX('Checklist'!$J$4:$J$503,_calc!$E$169))=0,"",INDEX('Checklist'!$J$4:$J$503,_calc!$E$169)))=0,"","Evidence: "&amp;IF(LEN(INDEX('Checklist'!$J$4:$J$503,_calc!$E$169))=0,"",INDEX('Checklist'!$J$4:$J$503,_calc!$E$169))&amp;". ")&amp;IF(LEN(IF(LEN(INDEX('Checklist'!$D$4:$D$503,_calc!$E$169))=0,"",INDEX('Checklist'!$D$4:$D$503,_calc!$E$169)))=0,"","Rule example: "&amp;IF(LEN(INDEX('Checklist'!$D$4:$D$503,_calc!$E$169))=0,"",INDEX('Checklist'!$D$4:$D$503,_calc!$E$169))&amp;". ")&amp;IF(LEN(IF(LEN(INDEX('Checklist'!$P$4:$P$503,_calc!$E$169))=0,"",INDEX('Checklist'!$P$4:$P$503,_calc!$E$169)))=0,"",IF(LEN(INDEX('Checklist'!$P$4:$P$503,_calc!$E$169))=0,"",INDEX('Checklist'!$P$4:$P$503,_calc!$E$169)))))</f>
        <v/>
      </c>
      <c r="K167" s="44">
        <f>IF(_calc!$E$169="","",IF(LEN(INDEX('Checklist'!$G$4:$G$503,_calc!$E$169))=0,"",INDEX('Checklist'!$G$4:$G$503,_calc!$E$169)))</f>
        <v/>
      </c>
    </row>
    <row r="168">
      <c r="A168" s="44">
        <f>IF(_calc!$E$170="","","Survey check – "&amp;IF(LEN(INDEX('Checklist'!$C$4:$C$503,_calc!$E$170))=0,"",INDEX('Checklist'!$C$4:$C$503,_calc!$E$170)))</f>
        <v/>
      </c>
      <c r="B168" s="44">
        <f>IF(_calc!$E$170="","",IF(ISNUMBER(INDEX('Checklist'!$L$4:$L$503,_calc!$E$170)),TEXT(INDEX('Checklist'!$L$4:$L$503,_calc!$E$170),"yyyy-mm-dd"),""))</f>
        <v/>
      </c>
      <c r="C168" s="44">
        <f>IF(_calc!$E$170="","","Survey readiness")</f>
        <v/>
      </c>
      <c r="D168" s="44">
        <f>IF(_calc!$E$170="","",IF(ISNUMBER(INDEX('Checklist'!$H$4:$H$503,_calc!$E$170)),TEXT(INDEX('Checklist'!$H$4:$H$503,_calc!$E$170),"yyyy-mm-dd"),""))</f>
        <v/>
      </c>
      <c r="F168" s="44">
        <f>IF(_calc!$E$170="","",TRIM(IF(LEN(IF(LEN(INDEX('Checklist'!$A$4:$A$503,_calc!$E$170))=0,"",INDEX('Checklist'!$A$4:$A$503,_calc!$E$170)))=0,"","Group: "&amp;IF(LEN(INDEX('Checklist'!$A$4:$A$503,_calc!$E$170))=0,"",INDEX('Checklist'!$A$4:$A$503,_calc!$E$170))&amp;". ")&amp;IF(LEN(IF(LEN(INDEX('Checklist'!$E$4:$E$503,_calc!$E$170))=0,"",INDEX('Checklist'!$E$4:$E$503,_calc!$E$170)))=0,"","Owner: "&amp;IF(LEN(INDEX('Checklist'!$E$4:$E$503,_calc!$E$170))=0,"",INDEX('Checklist'!$E$4:$E$503,_calc!$E$170))&amp;". ")&amp;IF(LEN(IF(LEN(INDEX('Checklist'!$F$4:$F$503,_calc!$E$170))=0,"",INDEX('Checklist'!$F$4:$F$503,_calc!$E$170)))=0,"","Backup: "&amp;IF(LEN(INDEX('Checklist'!$F$4:$F$503,_calc!$E$170))=0,"",INDEX('Checklist'!$F$4:$F$503,_calc!$E$170))&amp;". ")&amp;IF(LEN(IF(LEN(INDEX('Checklist'!$J$4:$J$503,_calc!$E$170))=0,"",INDEX('Checklist'!$J$4:$J$503,_calc!$E$170)))=0,"","Evidence: "&amp;IF(LEN(INDEX('Checklist'!$J$4:$J$503,_calc!$E$170))=0,"",INDEX('Checklist'!$J$4:$J$503,_calc!$E$170))&amp;". ")&amp;IF(LEN(IF(LEN(INDEX('Checklist'!$D$4:$D$503,_calc!$E$170))=0,"",INDEX('Checklist'!$D$4:$D$503,_calc!$E$170)))=0,"","Rule example: "&amp;IF(LEN(INDEX('Checklist'!$D$4:$D$503,_calc!$E$170))=0,"",INDEX('Checklist'!$D$4:$D$503,_calc!$E$170))&amp;". ")&amp;IF(LEN(IF(LEN(INDEX('Checklist'!$P$4:$P$503,_calc!$E$170))=0,"",INDEX('Checklist'!$P$4:$P$503,_calc!$E$170)))=0,"",IF(LEN(INDEX('Checklist'!$P$4:$P$503,_calc!$E$170))=0,"",INDEX('Checklist'!$P$4:$P$503,_calc!$E$170)))))</f>
        <v/>
      </c>
      <c r="K168" s="44">
        <f>IF(_calc!$E$170="","",IF(LEN(INDEX('Checklist'!$G$4:$G$503,_calc!$E$170))=0,"",INDEX('Checklist'!$G$4:$G$503,_calc!$E$170)))</f>
        <v/>
      </c>
    </row>
    <row r="169">
      <c r="A169" s="44">
        <f>IF(_calc!$E$171="","","Survey check – "&amp;IF(LEN(INDEX('Checklist'!$C$4:$C$503,_calc!$E$171))=0,"",INDEX('Checklist'!$C$4:$C$503,_calc!$E$171)))</f>
        <v/>
      </c>
      <c r="B169" s="44">
        <f>IF(_calc!$E$171="","",IF(ISNUMBER(INDEX('Checklist'!$L$4:$L$503,_calc!$E$171)),TEXT(INDEX('Checklist'!$L$4:$L$503,_calc!$E$171),"yyyy-mm-dd"),""))</f>
        <v/>
      </c>
      <c r="C169" s="44">
        <f>IF(_calc!$E$171="","","Survey readiness")</f>
        <v/>
      </c>
      <c r="D169" s="44">
        <f>IF(_calc!$E$171="","",IF(ISNUMBER(INDEX('Checklist'!$H$4:$H$503,_calc!$E$171)),TEXT(INDEX('Checklist'!$H$4:$H$503,_calc!$E$171),"yyyy-mm-dd"),""))</f>
        <v/>
      </c>
      <c r="F169" s="44">
        <f>IF(_calc!$E$171="","",TRIM(IF(LEN(IF(LEN(INDEX('Checklist'!$A$4:$A$503,_calc!$E$171))=0,"",INDEX('Checklist'!$A$4:$A$503,_calc!$E$171)))=0,"","Group: "&amp;IF(LEN(INDEX('Checklist'!$A$4:$A$503,_calc!$E$171))=0,"",INDEX('Checklist'!$A$4:$A$503,_calc!$E$171))&amp;". ")&amp;IF(LEN(IF(LEN(INDEX('Checklist'!$E$4:$E$503,_calc!$E$171))=0,"",INDEX('Checklist'!$E$4:$E$503,_calc!$E$171)))=0,"","Owner: "&amp;IF(LEN(INDEX('Checklist'!$E$4:$E$503,_calc!$E$171))=0,"",INDEX('Checklist'!$E$4:$E$503,_calc!$E$171))&amp;". ")&amp;IF(LEN(IF(LEN(INDEX('Checklist'!$F$4:$F$503,_calc!$E$171))=0,"",INDEX('Checklist'!$F$4:$F$503,_calc!$E$171)))=0,"","Backup: "&amp;IF(LEN(INDEX('Checklist'!$F$4:$F$503,_calc!$E$171))=0,"",INDEX('Checklist'!$F$4:$F$503,_calc!$E$171))&amp;". ")&amp;IF(LEN(IF(LEN(INDEX('Checklist'!$J$4:$J$503,_calc!$E$171))=0,"",INDEX('Checklist'!$J$4:$J$503,_calc!$E$171)))=0,"","Evidence: "&amp;IF(LEN(INDEX('Checklist'!$J$4:$J$503,_calc!$E$171))=0,"",INDEX('Checklist'!$J$4:$J$503,_calc!$E$171))&amp;". ")&amp;IF(LEN(IF(LEN(INDEX('Checklist'!$D$4:$D$503,_calc!$E$171))=0,"",INDEX('Checklist'!$D$4:$D$503,_calc!$E$171)))=0,"","Rule example: "&amp;IF(LEN(INDEX('Checklist'!$D$4:$D$503,_calc!$E$171))=0,"",INDEX('Checklist'!$D$4:$D$503,_calc!$E$171))&amp;". ")&amp;IF(LEN(IF(LEN(INDEX('Checklist'!$P$4:$P$503,_calc!$E$171))=0,"",INDEX('Checklist'!$P$4:$P$503,_calc!$E$171)))=0,"",IF(LEN(INDEX('Checklist'!$P$4:$P$503,_calc!$E$171))=0,"",INDEX('Checklist'!$P$4:$P$503,_calc!$E$171)))))</f>
        <v/>
      </c>
      <c r="K169" s="44">
        <f>IF(_calc!$E$171="","",IF(LEN(INDEX('Checklist'!$G$4:$G$503,_calc!$E$171))=0,"",INDEX('Checklist'!$G$4:$G$503,_calc!$E$171)))</f>
        <v/>
      </c>
    </row>
    <row r="170">
      <c r="A170" s="44">
        <f>IF(_calc!$E$172="","","Survey check – "&amp;IF(LEN(INDEX('Checklist'!$C$4:$C$503,_calc!$E$172))=0,"",INDEX('Checklist'!$C$4:$C$503,_calc!$E$172)))</f>
        <v/>
      </c>
      <c r="B170" s="44">
        <f>IF(_calc!$E$172="","",IF(ISNUMBER(INDEX('Checklist'!$L$4:$L$503,_calc!$E$172)),TEXT(INDEX('Checklist'!$L$4:$L$503,_calc!$E$172),"yyyy-mm-dd"),""))</f>
        <v/>
      </c>
      <c r="C170" s="44">
        <f>IF(_calc!$E$172="","","Survey readiness")</f>
        <v/>
      </c>
      <c r="D170" s="44">
        <f>IF(_calc!$E$172="","",IF(ISNUMBER(INDEX('Checklist'!$H$4:$H$503,_calc!$E$172)),TEXT(INDEX('Checklist'!$H$4:$H$503,_calc!$E$172),"yyyy-mm-dd"),""))</f>
        <v/>
      </c>
      <c r="F170" s="44">
        <f>IF(_calc!$E$172="","",TRIM(IF(LEN(IF(LEN(INDEX('Checklist'!$A$4:$A$503,_calc!$E$172))=0,"",INDEX('Checklist'!$A$4:$A$503,_calc!$E$172)))=0,"","Group: "&amp;IF(LEN(INDEX('Checklist'!$A$4:$A$503,_calc!$E$172))=0,"",INDEX('Checklist'!$A$4:$A$503,_calc!$E$172))&amp;". ")&amp;IF(LEN(IF(LEN(INDEX('Checklist'!$E$4:$E$503,_calc!$E$172))=0,"",INDEX('Checklist'!$E$4:$E$503,_calc!$E$172)))=0,"","Owner: "&amp;IF(LEN(INDEX('Checklist'!$E$4:$E$503,_calc!$E$172))=0,"",INDEX('Checklist'!$E$4:$E$503,_calc!$E$172))&amp;". ")&amp;IF(LEN(IF(LEN(INDEX('Checklist'!$F$4:$F$503,_calc!$E$172))=0,"",INDEX('Checklist'!$F$4:$F$503,_calc!$E$172)))=0,"","Backup: "&amp;IF(LEN(INDEX('Checklist'!$F$4:$F$503,_calc!$E$172))=0,"",INDEX('Checklist'!$F$4:$F$503,_calc!$E$172))&amp;". ")&amp;IF(LEN(IF(LEN(INDEX('Checklist'!$J$4:$J$503,_calc!$E$172))=0,"",INDEX('Checklist'!$J$4:$J$503,_calc!$E$172)))=0,"","Evidence: "&amp;IF(LEN(INDEX('Checklist'!$J$4:$J$503,_calc!$E$172))=0,"",INDEX('Checklist'!$J$4:$J$503,_calc!$E$172))&amp;". ")&amp;IF(LEN(IF(LEN(INDEX('Checklist'!$D$4:$D$503,_calc!$E$172))=0,"",INDEX('Checklist'!$D$4:$D$503,_calc!$E$172)))=0,"","Rule example: "&amp;IF(LEN(INDEX('Checklist'!$D$4:$D$503,_calc!$E$172))=0,"",INDEX('Checklist'!$D$4:$D$503,_calc!$E$172))&amp;". ")&amp;IF(LEN(IF(LEN(INDEX('Checklist'!$P$4:$P$503,_calc!$E$172))=0,"",INDEX('Checklist'!$P$4:$P$503,_calc!$E$172)))=0,"",IF(LEN(INDEX('Checklist'!$P$4:$P$503,_calc!$E$172))=0,"",INDEX('Checklist'!$P$4:$P$503,_calc!$E$172)))))</f>
        <v/>
      </c>
      <c r="K170" s="44">
        <f>IF(_calc!$E$172="","",IF(LEN(INDEX('Checklist'!$G$4:$G$503,_calc!$E$172))=0,"",INDEX('Checklist'!$G$4:$G$503,_calc!$E$172)))</f>
        <v/>
      </c>
    </row>
    <row r="171">
      <c r="A171" s="44">
        <f>IF(_calc!$E$173="","","Survey check – "&amp;IF(LEN(INDEX('Checklist'!$C$4:$C$503,_calc!$E$173))=0,"",INDEX('Checklist'!$C$4:$C$503,_calc!$E$173)))</f>
        <v/>
      </c>
      <c r="B171" s="44">
        <f>IF(_calc!$E$173="","",IF(ISNUMBER(INDEX('Checklist'!$L$4:$L$503,_calc!$E$173)),TEXT(INDEX('Checklist'!$L$4:$L$503,_calc!$E$173),"yyyy-mm-dd"),""))</f>
        <v/>
      </c>
      <c r="C171" s="44">
        <f>IF(_calc!$E$173="","","Survey readiness")</f>
        <v/>
      </c>
      <c r="D171" s="44">
        <f>IF(_calc!$E$173="","",IF(ISNUMBER(INDEX('Checklist'!$H$4:$H$503,_calc!$E$173)),TEXT(INDEX('Checklist'!$H$4:$H$503,_calc!$E$173),"yyyy-mm-dd"),""))</f>
        <v/>
      </c>
      <c r="F171" s="44">
        <f>IF(_calc!$E$173="","",TRIM(IF(LEN(IF(LEN(INDEX('Checklist'!$A$4:$A$503,_calc!$E$173))=0,"",INDEX('Checklist'!$A$4:$A$503,_calc!$E$173)))=0,"","Group: "&amp;IF(LEN(INDEX('Checklist'!$A$4:$A$503,_calc!$E$173))=0,"",INDEX('Checklist'!$A$4:$A$503,_calc!$E$173))&amp;". ")&amp;IF(LEN(IF(LEN(INDEX('Checklist'!$E$4:$E$503,_calc!$E$173))=0,"",INDEX('Checklist'!$E$4:$E$503,_calc!$E$173)))=0,"","Owner: "&amp;IF(LEN(INDEX('Checklist'!$E$4:$E$503,_calc!$E$173))=0,"",INDEX('Checklist'!$E$4:$E$503,_calc!$E$173))&amp;". ")&amp;IF(LEN(IF(LEN(INDEX('Checklist'!$F$4:$F$503,_calc!$E$173))=0,"",INDEX('Checklist'!$F$4:$F$503,_calc!$E$173)))=0,"","Backup: "&amp;IF(LEN(INDEX('Checklist'!$F$4:$F$503,_calc!$E$173))=0,"",INDEX('Checklist'!$F$4:$F$503,_calc!$E$173))&amp;". ")&amp;IF(LEN(IF(LEN(INDEX('Checklist'!$J$4:$J$503,_calc!$E$173))=0,"",INDEX('Checklist'!$J$4:$J$503,_calc!$E$173)))=0,"","Evidence: "&amp;IF(LEN(INDEX('Checklist'!$J$4:$J$503,_calc!$E$173))=0,"",INDEX('Checklist'!$J$4:$J$503,_calc!$E$173))&amp;". ")&amp;IF(LEN(IF(LEN(INDEX('Checklist'!$D$4:$D$503,_calc!$E$173))=0,"",INDEX('Checklist'!$D$4:$D$503,_calc!$E$173)))=0,"","Rule example: "&amp;IF(LEN(INDEX('Checklist'!$D$4:$D$503,_calc!$E$173))=0,"",INDEX('Checklist'!$D$4:$D$503,_calc!$E$173))&amp;". ")&amp;IF(LEN(IF(LEN(INDEX('Checklist'!$P$4:$P$503,_calc!$E$173))=0,"",INDEX('Checklist'!$P$4:$P$503,_calc!$E$173)))=0,"",IF(LEN(INDEX('Checklist'!$P$4:$P$503,_calc!$E$173))=0,"",INDEX('Checklist'!$P$4:$P$503,_calc!$E$173)))))</f>
        <v/>
      </c>
      <c r="K171" s="44">
        <f>IF(_calc!$E$173="","",IF(LEN(INDEX('Checklist'!$G$4:$G$503,_calc!$E$173))=0,"",INDEX('Checklist'!$G$4:$G$503,_calc!$E$173)))</f>
        <v/>
      </c>
    </row>
    <row r="172">
      <c r="A172" s="44">
        <f>IF(_calc!$E$174="","","Survey check – "&amp;IF(LEN(INDEX('Checklist'!$C$4:$C$503,_calc!$E$174))=0,"",INDEX('Checklist'!$C$4:$C$503,_calc!$E$174)))</f>
        <v/>
      </c>
      <c r="B172" s="44">
        <f>IF(_calc!$E$174="","",IF(ISNUMBER(INDEX('Checklist'!$L$4:$L$503,_calc!$E$174)),TEXT(INDEX('Checklist'!$L$4:$L$503,_calc!$E$174),"yyyy-mm-dd"),""))</f>
        <v/>
      </c>
      <c r="C172" s="44">
        <f>IF(_calc!$E$174="","","Survey readiness")</f>
        <v/>
      </c>
      <c r="D172" s="44">
        <f>IF(_calc!$E$174="","",IF(ISNUMBER(INDEX('Checklist'!$H$4:$H$503,_calc!$E$174)),TEXT(INDEX('Checklist'!$H$4:$H$503,_calc!$E$174),"yyyy-mm-dd"),""))</f>
        <v/>
      </c>
      <c r="F172" s="44">
        <f>IF(_calc!$E$174="","",TRIM(IF(LEN(IF(LEN(INDEX('Checklist'!$A$4:$A$503,_calc!$E$174))=0,"",INDEX('Checklist'!$A$4:$A$503,_calc!$E$174)))=0,"","Group: "&amp;IF(LEN(INDEX('Checklist'!$A$4:$A$503,_calc!$E$174))=0,"",INDEX('Checklist'!$A$4:$A$503,_calc!$E$174))&amp;". ")&amp;IF(LEN(IF(LEN(INDEX('Checklist'!$E$4:$E$503,_calc!$E$174))=0,"",INDEX('Checklist'!$E$4:$E$503,_calc!$E$174)))=0,"","Owner: "&amp;IF(LEN(INDEX('Checklist'!$E$4:$E$503,_calc!$E$174))=0,"",INDEX('Checklist'!$E$4:$E$503,_calc!$E$174))&amp;". ")&amp;IF(LEN(IF(LEN(INDEX('Checklist'!$F$4:$F$503,_calc!$E$174))=0,"",INDEX('Checklist'!$F$4:$F$503,_calc!$E$174)))=0,"","Backup: "&amp;IF(LEN(INDEX('Checklist'!$F$4:$F$503,_calc!$E$174))=0,"",INDEX('Checklist'!$F$4:$F$503,_calc!$E$174))&amp;". ")&amp;IF(LEN(IF(LEN(INDEX('Checklist'!$J$4:$J$503,_calc!$E$174))=0,"",INDEX('Checklist'!$J$4:$J$503,_calc!$E$174)))=0,"","Evidence: "&amp;IF(LEN(INDEX('Checklist'!$J$4:$J$503,_calc!$E$174))=0,"",INDEX('Checklist'!$J$4:$J$503,_calc!$E$174))&amp;". ")&amp;IF(LEN(IF(LEN(INDEX('Checklist'!$D$4:$D$503,_calc!$E$174))=0,"",INDEX('Checklist'!$D$4:$D$503,_calc!$E$174)))=0,"","Rule example: "&amp;IF(LEN(INDEX('Checklist'!$D$4:$D$503,_calc!$E$174))=0,"",INDEX('Checklist'!$D$4:$D$503,_calc!$E$174))&amp;". ")&amp;IF(LEN(IF(LEN(INDEX('Checklist'!$P$4:$P$503,_calc!$E$174))=0,"",INDEX('Checklist'!$P$4:$P$503,_calc!$E$174)))=0,"",IF(LEN(INDEX('Checklist'!$P$4:$P$503,_calc!$E$174))=0,"",INDEX('Checklist'!$P$4:$P$503,_calc!$E$174)))))</f>
        <v/>
      </c>
      <c r="K172" s="44">
        <f>IF(_calc!$E$174="","",IF(LEN(INDEX('Checklist'!$G$4:$G$503,_calc!$E$174))=0,"",INDEX('Checklist'!$G$4:$G$503,_calc!$E$174)))</f>
        <v/>
      </c>
    </row>
    <row r="173">
      <c r="A173" s="44">
        <f>IF(_calc!$E$175="","","Survey check – "&amp;IF(LEN(INDEX('Checklist'!$C$4:$C$503,_calc!$E$175))=0,"",INDEX('Checklist'!$C$4:$C$503,_calc!$E$175)))</f>
        <v/>
      </c>
      <c r="B173" s="44">
        <f>IF(_calc!$E$175="","",IF(ISNUMBER(INDEX('Checklist'!$L$4:$L$503,_calc!$E$175)),TEXT(INDEX('Checklist'!$L$4:$L$503,_calc!$E$175),"yyyy-mm-dd"),""))</f>
        <v/>
      </c>
      <c r="C173" s="44">
        <f>IF(_calc!$E$175="","","Survey readiness")</f>
        <v/>
      </c>
      <c r="D173" s="44">
        <f>IF(_calc!$E$175="","",IF(ISNUMBER(INDEX('Checklist'!$H$4:$H$503,_calc!$E$175)),TEXT(INDEX('Checklist'!$H$4:$H$503,_calc!$E$175),"yyyy-mm-dd"),""))</f>
        <v/>
      </c>
      <c r="F173" s="44">
        <f>IF(_calc!$E$175="","",TRIM(IF(LEN(IF(LEN(INDEX('Checklist'!$A$4:$A$503,_calc!$E$175))=0,"",INDEX('Checklist'!$A$4:$A$503,_calc!$E$175)))=0,"","Group: "&amp;IF(LEN(INDEX('Checklist'!$A$4:$A$503,_calc!$E$175))=0,"",INDEX('Checklist'!$A$4:$A$503,_calc!$E$175))&amp;". ")&amp;IF(LEN(IF(LEN(INDEX('Checklist'!$E$4:$E$503,_calc!$E$175))=0,"",INDEX('Checklist'!$E$4:$E$503,_calc!$E$175)))=0,"","Owner: "&amp;IF(LEN(INDEX('Checklist'!$E$4:$E$503,_calc!$E$175))=0,"",INDEX('Checklist'!$E$4:$E$503,_calc!$E$175))&amp;". ")&amp;IF(LEN(IF(LEN(INDEX('Checklist'!$F$4:$F$503,_calc!$E$175))=0,"",INDEX('Checklist'!$F$4:$F$503,_calc!$E$175)))=0,"","Backup: "&amp;IF(LEN(INDEX('Checklist'!$F$4:$F$503,_calc!$E$175))=0,"",INDEX('Checklist'!$F$4:$F$503,_calc!$E$175))&amp;". ")&amp;IF(LEN(IF(LEN(INDEX('Checklist'!$J$4:$J$503,_calc!$E$175))=0,"",INDEX('Checklist'!$J$4:$J$503,_calc!$E$175)))=0,"","Evidence: "&amp;IF(LEN(INDEX('Checklist'!$J$4:$J$503,_calc!$E$175))=0,"",INDEX('Checklist'!$J$4:$J$503,_calc!$E$175))&amp;". ")&amp;IF(LEN(IF(LEN(INDEX('Checklist'!$D$4:$D$503,_calc!$E$175))=0,"",INDEX('Checklist'!$D$4:$D$503,_calc!$E$175)))=0,"","Rule example: "&amp;IF(LEN(INDEX('Checklist'!$D$4:$D$503,_calc!$E$175))=0,"",INDEX('Checklist'!$D$4:$D$503,_calc!$E$175))&amp;". ")&amp;IF(LEN(IF(LEN(INDEX('Checklist'!$P$4:$P$503,_calc!$E$175))=0,"",INDEX('Checklist'!$P$4:$P$503,_calc!$E$175)))=0,"",IF(LEN(INDEX('Checklist'!$P$4:$P$503,_calc!$E$175))=0,"",INDEX('Checklist'!$P$4:$P$503,_calc!$E$175)))))</f>
        <v/>
      </c>
      <c r="K173" s="44">
        <f>IF(_calc!$E$175="","",IF(LEN(INDEX('Checklist'!$G$4:$G$503,_calc!$E$175))=0,"",INDEX('Checklist'!$G$4:$G$503,_calc!$E$175)))</f>
        <v/>
      </c>
    </row>
    <row r="174">
      <c r="A174" s="44">
        <f>IF(_calc!$E$176="","","Survey check – "&amp;IF(LEN(INDEX('Checklist'!$C$4:$C$503,_calc!$E$176))=0,"",INDEX('Checklist'!$C$4:$C$503,_calc!$E$176)))</f>
        <v/>
      </c>
      <c r="B174" s="44">
        <f>IF(_calc!$E$176="","",IF(ISNUMBER(INDEX('Checklist'!$L$4:$L$503,_calc!$E$176)),TEXT(INDEX('Checklist'!$L$4:$L$503,_calc!$E$176),"yyyy-mm-dd"),""))</f>
        <v/>
      </c>
      <c r="C174" s="44">
        <f>IF(_calc!$E$176="","","Survey readiness")</f>
        <v/>
      </c>
      <c r="D174" s="44">
        <f>IF(_calc!$E$176="","",IF(ISNUMBER(INDEX('Checklist'!$H$4:$H$503,_calc!$E$176)),TEXT(INDEX('Checklist'!$H$4:$H$503,_calc!$E$176),"yyyy-mm-dd"),""))</f>
        <v/>
      </c>
      <c r="F174" s="44">
        <f>IF(_calc!$E$176="","",TRIM(IF(LEN(IF(LEN(INDEX('Checklist'!$A$4:$A$503,_calc!$E$176))=0,"",INDEX('Checklist'!$A$4:$A$503,_calc!$E$176)))=0,"","Group: "&amp;IF(LEN(INDEX('Checklist'!$A$4:$A$503,_calc!$E$176))=0,"",INDEX('Checklist'!$A$4:$A$503,_calc!$E$176))&amp;". ")&amp;IF(LEN(IF(LEN(INDEX('Checklist'!$E$4:$E$503,_calc!$E$176))=0,"",INDEX('Checklist'!$E$4:$E$503,_calc!$E$176)))=0,"","Owner: "&amp;IF(LEN(INDEX('Checklist'!$E$4:$E$503,_calc!$E$176))=0,"",INDEX('Checklist'!$E$4:$E$503,_calc!$E$176))&amp;". ")&amp;IF(LEN(IF(LEN(INDEX('Checklist'!$F$4:$F$503,_calc!$E$176))=0,"",INDEX('Checklist'!$F$4:$F$503,_calc!$E$176)))=0,"","Backup: "&amp;IF(LEN(INDEX('Checklist'!$F$4:$F$503,_calc!$E$176))=0,"",INDEX('Checklist'!$F$4:$F$503,_calc!$E$176))&amp;". ")&amp;IF(LEN(IF(LEN(INDEX('Checklist'!$J$4:$J$503,_calc!$E$176))=0,"",INDEX('Checklist'!$J$4:$J$503,_calc!$E$176)))=0,"","Evidence: "&amp;IF(LEN(INDEX('Checklist'!$J$4:$J$503,_calc!$E$176))=0,"",INDEX('Checklist'!$J$4:$J$503,_calc!$E$176))&amp;". ")&amp;IF(LEN(IF(LEN(INDEX('Checklist'!$D$4:$D$503,_calc!$E$176))=0,"",INDEX('Checklist'!$D$4:$D$503,_calc!$E$176)))=0,"","Rule example: "&amp;IF(LEN(INDEX('Checklist'!$D$4:$D$503,_calc!$E$176))=0,"",INDEX('Checklist'!$D$4:$D$503,_calc!$E$176))&amp;". ")&amp;IF(LEN(IF(LEN(INDEX('Checklist'!$P$4:$P$503,_calc!$E$176))=0,"",INDEX('Checklist'!$P$4:$P$503,_calc!$E$176)))=0,"",IF(LEN(INDEX('Checklist'!$P$4:$P$503,_calc!$E$176))=0,"",INDEX('Checklist'!$P$4:$P$503,_calc!$E$176)))))</f>
        <v/>
      </c>
      <c r="K174" s="44">
        <f>IF(_calc!$E$176="","",IF(LEN(INDEX('Checklist'!$G$4:$G$503,_calc!$E$176))=0,"",INDEX('Checklist'!$G$4:$G$503,_calc!$E$176)))</f>
        <v/>
      </c>
    </row>
    <row r="175">
      <c r="A175" s="44">
        <f>IF(_calc!$E$177="","","Survey check – "&amp;IF(LEN(INDEX('Checklist'!$C$4:$C$503,_calc!$E$177))=0,"",INDEX('Checklist'!$C$4:$C$503,_calc!$E$177)))</f>
        <v/>
      </c>
      <c r="B175" s="44">
        <f>IF(_calc!$E$177="","",IF(ISNUMBER(INDEX('Checklist'!$L$4:$L$503,_calc!$E$177)),TEXT(INDEX('Checklist'!$L$4:$L$503,_calc!$E$177),"yyyy-mm-dd"),""))</f>
        <v/>
      </c>
      <c r="C175" s="44">
        <f>IF(_calc!$E$177="","","Survey readiness")</f>
        <v/>
      </c>
      <c r="D175" s="44">
        <f>IF(_calc!$E$177="","",IF(ISNUMBER(INDEX('Checklist'!$H$4:$H$503,_calc!$E$177)),TEXT(INDEX('Checklist'!$H$4:$H$503,_calc!$E$177),"yyyy-mm-dd"),""))</f>
        <v/>
      </c>
      <c r="F175" s="44">
        <f>IF(_calc!$E$177="","",TRIM(IF(LEN(IF(LEN(INDEX('Checklist'!$A$4:$A$503,_calc!$E$177))=0,"",INDEX('Checklist'!$A$4:$A$503,_calc!$E$177)))=0,"","Group: "&amp;IF(LEN(INDEX('Checklist'!$A$4:$A$503,_calc!$E$177))=0,"",INDEX('Checklist'!$A$4:$A$503,_calc!$E$177))&amp;". ")&amp;IF(LEN(IF(LEN(INDEX('Checklist'!$E$4:$E$503,_calc!$E$177))=0,"",INDEX('Checklist'!$E$4:$E$503,_calc!$E$177)))=0,"","Owner: "&amp;IF(LEN(INDEX('Checklist'!$E$4:$E$503,_calc!$E$177))=0,"",INDEX('Checklist'!$E$4:$E$503,_calc!$E$177))&amp;". ")&amp;IF(LEN(IF(LEN(INDEX('Checklist'!$F$4:$F$503,_calc!$E$177))=0,"",INDEX('Checklist'!$F$4:$F$503,_calc!$E$177)))=0,"","Backup: "&amp;IF(LEN(INDEX('Checklist'!$F$4:$F$503,_calc!$E$177))=0,"",INDEX('Checklist'!$F$4:$F$503,_calc!$E$177))&amp;". ")&amp;IF(LEN(IF(LEN(INDEX('Checklist'!$J$4:$J$503,_calc!$E$177))=0,"",INDEX('Checklist'!$J$4:$J$503,_calc!$E$177)))=0,"","Evidence: "&amp;IF(LEN(INDEX('Checklist'!$J$4:$J$503,_calc!$E$177))=0,"",INDEX('Checklist'!$J$4:$J$503,_calc!$E$177))&amp;". ")&amp;IF(LEN(IF(LEN(INDEX('Checklist'!$D$4:$D$503,_calc!$E$177))=0,"",INDEX('Checklist'!$D$4:$D$503,_calc!$E$177)))=0,"","Rule example: "&amp;IF(LEN(INDEX('Checklist'!$D$4:$D$503,_calc!$E$177))=0,"",INDEX('Checklist'!$D$4:$D$503,_calc!$E$177))&amp;". ")&amp;IF(LEN(IF(LEN(INDEX('Checklist'!$P$4:$P$503,_calc!$E$177))=0,"",INDEX('Checklist'!$P$4:$P$503,_calc!$E$177)))=0,"",IF(LEN(INDEX('Checklist'!$P$4:$P$503,_calc!$E$177))=0,"",INDEX('Checklist'!$P$4:$P$503,_calc!$E$177)))))</f>
        <v/>
      </c>
      <c r="K175" s="44">
        <f>IF(_calc!$E$177="","",IF(LEN(INDEX('Checklist'!$G$4:$G$503,_calc!$E$177))=0,"",INDEX('Checklist'!$G$4:$G$503,_calc!$E$177)))</f>
        <v/>
      </c>
    </row>
    <row r="176">
      <c r="A176" s="44">
        <f>IF(_calc!$E$178="","","Survey check – "&amp;IF(LEN(INDEX('Checklist'!$C$4:$C$503,_calc!$E$178))=0,"",INDEX('Checklist'!$C$4:$C$503,_calc!$E$178)))</f>
        <v/>
      </c>
      <c r="B176" s="44">
        <f>IF(_calc!$E$178="","",IF(ISNUMBER(INDEX('Checklist'!$L$4:$L$503,_calc!$E$178)),TEXT(INDEX('Checklist'!$L$4:$L$503,_calc!$E$178),"yyyy-mm-dd"),""))</f>
        <v/>
      </c>
      <c r="C176" s="44">
        <f>IF(_calc!$E$178="","","Survey readiness")</f>
        <v/>
      </c>
      <c r="D176" s="44">
        <f>IF(_calc!$E$178="","",IF(ISNUMBER(INDEX('Checklist'!$H$4:$H$503,_calc!$E$178)),TEXT(INDEX('Checklist'!$H$4:$H$503,_calc!$E$178),"yyyy-mm-dd"),""))</f>
        <v/>
      </c>
      <c r="F176" s="44">
        <f>IF(_calc!$E$178="","",TRIM(IF(LEN(IF(LEN(INDEX('Checklist'!$A$4:$A$503,_calc!$E$178))=0,"",INDEX('Checklist'!$A$4:$A$503,_calc!$E$178)))=0,"","Group: "&amp;IF(LEN(INDEX('Checklist'!$A$4:$A$503,_calc!$E$178))=0,"",INDEX('Checklist'!$A$4:$A$503,_calc!$E$178))&amp;". ")&amp;IF(LEN(IF(LEN(INDEX('Checklist'!$E$4:$E$503,_calc!$E$178))=0,"",INDEX('Checklist'!$E$4:$E$503,_calc!$E$178)))=0,"","Owner: "&amp;IF(LEN(INDEX('Checklist'!$E$4:$E$503,_calc!$E$178))=0,"",INDEX('Checklist'!$E$4:$E$503,_calc!$E$178))&amp;". ")&amp;IF(LEN(IF(LEN(INDEX('Checklist'!$F$4:$F$503,_calc!$E$178))=0,"",INDEX('Checklist'!$F$4:$F$503,_calc!$E$178)))=0,"","Backup: "&amp;IF(LEN(INDEX('Checklist'!$F$4:$F$503,_calc!$E$178))=0,"",INDEX('Checklist'!$F$4:$F$503,_calc!$E$178))&amp;". ")&amp;IF(LEN(IF(LEN(INDEX('Checklist'!$J$4:$J$503,_calc!$E$178))=0,"",INDEX('Checklist'!$J$4:$J$503,_calc!$E$178)))=0,"","Evidence: "&amp;IF(LEN(INDEX('Checklist'!$J$4:$J$503,_calc!$E$178))=0,"",INDEX('Checklist'!$J$4:$J$503,_calc!$E$178))&amp;". ")&amp;IF(LEN(IF(LEN(INDEX('Checklist'!$D$4:$D$503,_calc!$E$178))=0,"",INDEX('Checklist'!$D$4:$D$503,_calc!$E$178)))=0,"","Rule example: "&amp;IF(LEN(INDEX('Checklist'!$D$4:$D$503,_calc!$E$178))=0,"",INDEX('Checklist'!$D$4:$D$503,_calc!$E$178))&amp;". ")&amp;IF(LEN(IF(LEN(INDEX('Checklist'!$P$4:$P$503,_calc!$E$178))=0,"",INDEX('Checklist'!$P$4:$P$503,_calc!$E$178)))=0,"",IF(LEN(INDEX('Checklist'!$P$4:$P$503,_calc!$E$178))=0,"",INDEX('Checklist'!$P$4:$P$503,_calc!$E$178)))))</f>
        <v/>
      </c>
      <c r="K176" s="44">
        <f>IF(_calc!$E$178="","",IF(LEN(INDEX('Checklist'!$G$4:$G$503,_calc!$E$178))=0,"",INDEX('Checklist'!$G$4:$G$503,_calc!$E$178)))</f>
        <v/>
      </c>
    </row>
    <row r="177">
      <c r="A177" s="44">
        <f>IF(_calc!$E$179="","","Survey check – "&amp;IF(LEN(INDEX('Checklist'!$C$4:$C$503,_calc!$E$179))=0,"",INDEX('Checklist'!$C$4:$C$503,_calc!$E$179)))</f>
        <v/>
      </c>
      <c r="B177" s="44">
        <f>IF(_calc!$E$179="","",IF(ISNUMBER(INDEX('Checklist'!$L$4:$L$503,_calc!$E$179)),TEXT(INDEX('Checklist'!$L$4:$L$503,_calc!$E$179),"yyyy-mm-dd"),""))</f>
        <v/>
      </c>
      <c r="C177" s="44">
        <f>IF(_calc!$E$179="","","Survey readiness")</f>
        <v/>
      </c>
      <c r="D177" s="44">
        <f>IF(_calc!$E$179="","",IF(ISNUMBER(INDEX('Checklist'!$H$4:$H$503,_calc!$E$179)),TEXT(INDEX('Checklist'!$H$4:$H$503,_calc!$E$179),"yyyy-mm-dd"),""))</f>
        <v/>
      </c>
      <c r="F177" s="44">
        <f>IF(_calc!$E$179="","",TRIM(IF(LEN(IF(LEN(INDEX('Checklist'!$A$4:$A$503,_calc!$E$179))=0,"",INDEX('Checklist'!$A$4:$A$503,_calc!$E$179)))=0,"","Group: "&amp;IF(LEN(INDEX('Checklist'!$A$4:$A$503,_calc!$E$179))=0,"",INDEX('Checklist'!$A$4:$A$503,_calc!$E$179))&amp;". ")&amp;IF(LEN(IF(LEN(INDEX('Checklist'!$E$4:$E$503,_calc!$E$179))=0,"",INDEX('Checklist'!$E$4:$E$503,_calc!$E$179)))=0,"","Owner: "&amp;IF(LEN(INDEX('Checklist'!$E$4:$E$503,_calc!$E$179))=0,"",INDEX('Checklist'!$E$4:$E$503,_calc!$E$179))&amp;". ")&amp;IF(LEN(IF(LEN(INDEX('Checklist'!$F$4:$F$503,_calc!$E$179))=0,"",INDEX('Checklist'!$F$4:$F$503,_calc!$E$179)))=0,"","Backup: "&amp;IF(LEN(INDEX('Checklist'!$F$4:$F$503,_calc!$E$179))=0,"",INDEX('Checklist'!$F$4:$F$503,_calc!$E$179))&amp;". ")&amp;IF(LEN(IF(LEN(INDEX('Checklist'!$J$4:$J$503,_calc!$E$179))=0,"",INDEX('Checklist'!$J$4:$J$503,_calc!$E$179)))=0,"","Evidence: "&amp;IF(LEN(INDEX('Checklist'!$J$4:$J$503,_calc!$E$179))=0,"",INDEX('Checklist'!$J$4:$J$503,_calc!$E$179))&amp;". ")&amp;IF(LEN(IF(LEN(INDEX('Checklist'!$D$4:$D$503,_calc!$E$179))=0,"",INDEX('Checklist'!$D$4:$D$503,_calc!$E$179)))=0,"","Rule example: "&amp;IF(LEN(INDEX('Checklist'!$D$4:$D$503,_calc!$E$179))=0,"",INDEX('Checklist'!$D$4:$D$503,_calc!$E$179))&amp;". ")&amp;IF(LEN(IF(LEN(INDEX('Checklist'!$P$4:$P$503,_calc!$E$179))=0,"",INDEX('Checklist'!$P$4:$P$503,_calc!$E$179)))=0,"",IF(LEN(INDEX('Checklist'!$P$4:$P$503,_calc!$E$179))=0,"",INDEX('Checklist'!$P$4:$P$503,_calc!$E$179)))))</f>
        <v/>
      </c>
      <c r="K177" s="44">
        <f>IF(_calc!$E$179="","",IF(LEN(INDEX('Checklist'!$G$4:$G$503,_calc!$E$179))=0,"",INDEX('Checklist'!$G$4:$G$503,_calc!$E$179)))</f>
        <v/>
      </c>
    </row>
    <row r="178">
      <c r="A178" s="44">
        <f>IF(_calc!$E$180="","","Survey check – "&amp;IF(LEN(INDEX('Checklist'!$C$4:$C$503,_calc!$E$180))=0,"",INDEX('Checklist'!$C$4:$C$503,_calc!$E$180)))</f>
        <v/>
      </c>
      <c r="B178" s="44">
        <f>IF(_calc!$E$180="","",IF(ISNUMBER(INDEX('Checklist'!$L$4:$L$503,_calc!$E$180)),TEXT(INDEX('Checklist'!$L$4:$L$503,_calc!$E$180),"yyyy-mm-dd"),""))</f>
        <v/>
      </c>
      <c r="C178" s="44">
        <f>IF(_calc!$E$180="","","Survey readiness")</f>
        <v/>
      </c>
      <c r="D178" s="44">
        <f>IF(_calc!$E$180="","",IF(ISNUMBER(INDEX('Checklist'!$H$4:$H$503,_calc!$E$180)),TEXT(INDEX('Checklist'!$H$4:$H$503,_calc!$E$180),"yyyy-mm-dd"),""))</f>
        <v/>
      </c>
      <c r="F178" s="44">
        <f>IF(_calc!$E$180="","",TRIM(IF(LEN(IF(LEN(INDEX('Checklist'!$A$4:$A$503,_calc!$E$180))=0,"",INDEX('Checklist'!$A$4:$A$503,_calc!$E$180)))=0,"","Group: "&amp;IF(LEN(INDEX('Checklist'!$A$4:$A$503,_calc!$E$180))=0,"",INDEX('Checklist'!$A$4:$A$503,_calc!$E$180))&amp;". ")&amp;IF(LEN(IF(LEN(INDEX('Checklist'!$E$4:$E$503,_calc!$E$180))=0,"",INDEX('Checklist'!$E$4:$E$503,_calc!$E$180)))=0,"","Owner: "&amp;IF(LEN(INDEX('Checklist'!$E$4:$E$503,_calc!$E$180))=0,"",INDEX('Checklist'!$E$4:$E$503,_calc!$E$180))&amp;". ")&amp;IF(LEN(IF(LEN(INDEX('Checklist'!$F$4:$F$503,_calc!$E$180))=0,"",INDEX('Checklist'!$F$4:$F$503,_calc!$E$180)))=0,"","Backup: "&amp;IF(LEN(INDEX('Checklist'!$F$4:$F$503,_calc!$E$180))=0,"",INDEX('Checklist'!$F$4:$F$503,_calc!$E$180))&amp;". ")&amp;IF(LEN(IF(LEN(INDEX('Checklist'!$J$4:$J$503,_calc!$E$180))=0,"",INDEX('Checklist'!$J$4:$J$503,_calc!$E$180)))=0,"","Evidence: "&amp;IF(LEN(INDEX('Checklist'!$J$4:$J$503,_calc!$E$180))=0,"",INDEX('Checklist'!$J$4:$J$503,_calc!$E$180))&amp;". ")&amp;IF(LEN(IF(LEN(INDEX('Checklist'!$D$4:$D$503,_calc!$E$180))=0,"",INDEX('Checklist'!$D$4:$D$503,_calc!$E$180)))=0,"","Rule example: "&amp;IF(LEN(INDEX('Checklist'!$D$4:$D$503,_calc!$E$180))=0,"",INDEX('Checklist'!$D$4:$D$503,_calc!$E$180))&amp;". ")&amp;IF(LEN(IF(LEN(INDEX('Checklist'!$P$4:$P$503,_calc!$E$180))=0,"",INDEX('Checklist'!$P$4:$P$503,_calc!$E$180)))=0,"",IF(LEN(INDEX('Checklist'!$P$4:$P$503,_calc!$E$180))=0,"",INDEX('Checklist'!$P$4:$P$503,_calc!$E$180)))))</f>
        <v/>
      </c>
      <c r="K178" s="44">
        <f>IF(_calc!$E$180="","",IF(LEN(INDEX('Checklist'!$G$4:$G$503,_calc!$E$180))=0,"",INDEX('Checklist'!$G$4:$G$503,_calc!$E$180)))</f>
        <v/>
      </c>
    </row>
    <row r="179">
      <c r="A179" s="44">
        <f>IF(_calc!$E$181="","","Survey check – "&amp;IF(LEN(INDEX('Checklist'!$C$4:$C$503,_calc!$E$181))=0,"",INDEX('Checklist'!$C$4:$C$503,_calc!$E$181)))</f>
        <v/>
      </c>
      <c r="B179" s="44">
        <f>IF(_calc!$E$181="","",IF(ISNUMBER(INDEX('Checklist'!$L$4:$L$503,_calc!$E$181)),TEXT(INDEX('Checklist'!$L$4:$L$503,_calc!$E$181),"yyyy-mm-dd"),""))</f>
        <v/>
      </c>
      <c r="C179" s="44">
        <f>IF(_calc!$E$181="","","Survey readiness")</f>
        <v/>
      </c>
      <c r="D179" s="44">
        <f>IF(_calc!$E$181="","",IF(ISNUMBER(INDEX('Checklist'!$H$4:$H$503,_calc!$E$181)),TEXT(INDEX('Checklist'!$H$4:$H$503,_calc!$E$181),"yyyy-mm-dd"),""))</f>
        <v/>
      </c>
      <c r="F179" s="44">
        <f>IF(_calc!$E$181="","",TRIM(IF(LEN(IF(LEN(INDEX('Checklist'!$A$4:$A$503,_calc!$E$181))=0,"",INDEX('Checklist'!$A$4:$A$503,_calc!$E$181)))=0,"","Group: "&amp;IF(LEN(INDEX('Checklist'!$A$4:$A$503,_calc!$E$181))=0,"",INDEX('Checklist'!$A$4:$A$503,_calc!$E$181))&amp;". ")&amp;IF(LEN(IF(LEN(INDEX('Checklist'!$E$4:$E$503,_calc!$E$181))=0,"",INDEX('Checklist'!$E$4:$E$503,_calc!$E$181)))=0,"","Owner: "&amp;IF(LEN(INDEX('Checklist'!$E$4:$E$503,_calc!$E$181))=0,"",INDEX('Checklist'!$E$4:$E$503,_calc!$E$181))&amp;". ")&amp;IF(LEN(IF(LEN(INDEX('Checklist'!$F$4:$F$503,_calc!$E$181))=0,"",INDEX('Checklist'!$F$4:$F$503,_calc!$E$181)))=0,"","Backup: "&amp;IF(LEN(INDEX('Checklist'!$F$4:$F$503,_calc!$E$181))=0,"",INDEX('Checklist'!$F$4:$F$503,_calc!$E$181))&amp;". ")&amp;IF(LEN(IF(LEN(INDEX('Checklist'!$J$4:$J$503,_calc!$E$181))=0,"",INDEX('Checklist'!$J$4:$J$503,_calc!$E$181)))=0,"","Evidence: "&amp;IF(LEN(INDEX('Checklist'!$J$4:$J$503,_calc!$E$181))=0,"",INDEX('Checklist'!$J$4:$J$503,_calc!$E$181))&amp;". ")&amp;IF(LEN(IF(LEN(INDEX('Checklist'!$D$4:$D$503,_calc!$E$181))=0,"",INDEX('Checklist'!$D$4:$D$503,_calc!$E$181)))=0,"","Rule example: "&amp;IF(LEN(INDEX('Checklist'!$D$4:$D$503,_calc!$E$181))=0,"",INDEX('Checklist'!$D$4:$D$503,_calc!$E$181))&amp;". ")&amp;IF(LEN(IF(LEN(INDEX('Checklist'!$P$4:$P$503,_calc!$E$181))=0,"",INDEX('Checklist'!$P$4:$P$503,_calc!$E$181)))=0,"",IF(LEN(INDEX('Checklist'!$P$4:$P$503,_calc!$E$181))=0,"",INDEX('Checklist'!$P$4:$P$503,_calc!$E$181)))))</f>
        <v/>
      </c>
      <c r="K179" s="44">
        <f>IF(_calc!$E$181="","",IF(LEN(INDEX('Checklist'!$G$4:$G$503,_calc!$E$181))=0,"",INDEX('Checklist'!$G$4:$G$503,_calc!$E$181)))</f>
        <v/>
      </c>
    </row>
    <row r="180">
      <c r="A180" s="44">
        <f>IF(_calc!$E$182="","","Survey check – "&amp;IF(LEN(INDEX('Checklist'!$C$4:$C$503,_calc!$E$182))=0,"",INDEX('Checklist'!$C$4:$C$503,_calc!$E$182)))</f>
        <v/>
      </c>
      <c r="B180" s="44">
        <f>IF(_calc!$E$182="","",IF(ISNUMBER(INDEX('Checklist'!$L$4:$L$503,_calc!$E$182)),TEXT(INDEX('Checklist'!$L$4:$L$503,_calc!$E$182),"yyyy-mm-dd"),""))</f>
        <v/>
      </c>
      <c r="C180" s="44">
        <f>IF(_calc!$E$182="","","Survey readiness")</f>
        <v/>
      </c>
      <c r="D180" s="44">
        <f>IF(_calc!$E$182="","",IF(ISNUMBER(INDEX('Checklist'!$H$4:$H$503,_calc!$E$182)),TEXT(INDEX('Checklist'!$H$4:$H$503,_calc!$E$182),"yyyy-mm-dd"),""))</f>
        <v/>
      </c>
      <c r="F180" s="44">
        <f>IF(_calc!$E$182="","",TRIM(IF(LEN(IF(LEN(INDEX('Checklist'!$A$4:$A$503,_calc!$E$182))=0,"",INDEX('Checklist'!$A$4:$A$503,_calc!$E$182)))=0,"","Group: "&amp;IF(LEN(INDEX('Checklist'!$A$4:$A$503,_calc!$E$182))=0,"",INDEX('Checklist'!$A$4:$A$503,_calc!$E$182))&amp;". ")&amp;IF(LEN(IF(LEN(INDEX('Checklist'!$E$4:$E$503,_calc!$E$182))=0,"",INDEX('Checklist'!$E$4:$E$503,_calc!$E$182)))=0,"","Owner: "&amp;IF(LEN(INDEX('Checklist'!$E$4:$E$503,_calc!$E$182))=0,"",INDEX('Checklist'!$E$4:$E$503,_calc!$E$182))&amp;". ")&amp;IF(LEN(IF(LEN(INDEX('Checklist'!$F$4:$F$503,_calc!$E$182))=0,"",INDEX('Checklist'!$F$4:$F$503,_calc!$E$182)))=0,"","Backup: "&amp;IF(LEN(INDEX('Checklist'!$F$4:$F$503,_calc!$E$182))=0,"",INDEX('Checklist'!$F$4:$F$503,_calc!$E$182))&amp;". ")&amp;IF(LEN(IF(LEN(INDEX('Checklist'!$J$4:$J$503,_calc!$E$182))=0,"",INDEX('Checklist'!$J$4:$J$503,_calc!$E$182)))=0,"","Evidence: "&amp;IF(LEN(INDEX('Checklist'!$J$4:$J$503,_calc!$E$182))=0,"",INDEX('Checklist'!$J$4:$J$503,_calc!$E$182))&amp;". ")&amp;IF(LEN(IF(LEN(INDEX('Checklist'!$D$4:$D$503,_calc!$E$182))=0,"",INDEX('Checklist'!$D$4:$D$503,_calc!$E$182)))=0,"","Rule example: "&amp;IF(LEN(INDEX('Checklist'!$D$4:$D$503,_calc!$E$182))=0,"",INDEX('Checklist'!$D$4:$D$503,_calc!$E$182))&amp;". ")&amp;IF(LEN(IF(LEN(INDEX('Checklist'!$P$4:$P$503,_calc!$E$182))=0,"",INDEX('Checklist'!$P$4:$P$503,_calc!$E$182)))=0,"",IF(LEN(INDEX('Checklist'!$P$4:$P$503,_calc!$E$182))=0,"",INDEX('Checklist'!$P$4:$P$503,_calc!$E$182)))))</f>
        <v/>
      </c>
      <c r="K180" s="44">
        <f>IF(_calc!$E$182="","",IF(LEN(INDEX('Checklist'!$G$4:$G$503,_calc!$E$182))=0,"",INDEX('Checklist'!$G$4:$G$503,_calc!$E$182)))</f>
        <v/>
      </c>
    </row>
    <row r="181">
      <c r="A181" s="44">
        <f>IF(_calc!$E$183="","","Survey check – "&amp;IF(LEN(INDEX('Checklist'!$C$4:$C$503,_calc!$E$183))=0,"",INDEX('Checklist'!$C$4:$C$503,_calc!$E$183)))</f>
        <v/>
      </c>
      <c r="B181" s="44">
        <f>IF(_calc!$E$183="","",IF(ISNUMBER(INDEX('Checklist'!$L$4:$L$503,_calc!$E$183)),TEXT(INDEX('Checklist'!$L$4:$L$503,_calc!$E$183),"yyyy-mm-dd"),""))</f>
        <v/>
      </c>
      <c r="C181" s="44">
        <f>IF(_calc!$E$183="","","Survey readiness")</f>
        <v/>
      </c>
      <c r="D181" s="44">
        <f>IF(_calc!$E$183="","",IF(ISNUMBER(INDEX('Checklist'!$H$4:$H$503,_calc!$E$183)),TEXT(INDEX('Checklist'!$H$4:$H$503,_calc!$E$183),"yyyy-mm-dd"),""))</f>
        <v/>
      </c>
      <c r="F181" s="44">
        <f>IF(_calc!$E$183="","",TRIM(IF(LEN(IF(LEN(INDEX('Checklist'!$A$4:$A$503,_calc!$E$183))=0,"",INDEX('Checklist'!$A$4:$A$503,_calc!$E$183)))=0,"","Group: "&amp;IF(LEN(INDEX('Checklist'!$A$4:$A$503,_calc!$E$183))=0,"",INDEX('Checklist'!$A$4:$A$503,_calc!$E$183))&amp;". ")&amp;IF(LEN(IF(LEN(INDEX('Checklist'!$E$4:$E$503,_calc!$E$183))=0,"",INDEX('Checklist'!$E$4:$E$503,_calc!$E$183)))=0,"","Owner: "&amp;IF(LEN(INDEX('Checklist'!$E$4:$E$503,_calc!$E$183))=0,"",INDEX('Checklist'!$E$4:$E$503,_calc!$E$183))&amp;". ")&amp;IF(LEN(IF(LEN(INDEX('Checklist'!$F$4:$F$503,_calc!$E$183))=0,"",INDEX('Checklist'!$F$4:$F$503,_calc!$E$183)))=0,"","Backup: "&amp;IF(LEN(INDEX('Checklist'!$F$4:$F$503,_calc!$E$183))=0,"",INDEX('Checklist'!$F$4:$F$503,_calc!$E$183))&amp;". ")&amp;IF(LEN(IF(LEN(INDEX('Checklist'!$J$4:$J$503,_calc!$E$183))=0,"",INDEX('Checklist'!$J$4:$J$503,_calc!$E$183)))=0,"","Evidence: "&amp;IF(LEN(INDEX('Checklist'!$J$4:$J$503,_calc!$E$183))=0,"",INDEX('Checklist'!$J$4:$J$503,_calc!$E$183))&amp;". ")&amp;IF(LEN(IF(LEN(INDEX('Checklist'!$D$4:$D$503,_calc!$E$183))=0,"",INDEX('Checklist'!$D$4:$D$503,_calc!$E$183)))=0,"","Rule example: "&amp;IF(LEN(INDEX('Checklist'!$D$4:$D$503,_calc!$E$183))=0,"",INDEX('Checklist'!$D$4:$D$503,_calc!$E$183))&amp;". ")&amp;IF(LEN(IF(LEN(INDEX('Checklist'!$P$4:$P$503,_calc!$E$183))=0,"",INDEX('Checklist'!$P$4:$P$503,_calc!$E$183)))=0,"",IF(LEN(INDEX('Checklist'!$P$4:$P$503,_calc!$E$183))=0,"",INDEX('Checklist'!$P$4:$P$503,_calc!$E$183)))))</f>
        <v/>
      </c>
      <c r="K181" s="44">
        <f>IF(_calc!$E$183="","",IF(LEN(INDEX('Checklist'!$G$4:$G$503,_calc!$E$183))=0,"",INDEX('Checklist'!$G$4:$G$503,_calc!$E$183)))</f>
        <v/>
      </c>
    </row>
    <row r="182">
      <c r="A182" s="44">
        <f>IF(_calc!$E$184="","","Survey check – "&amp;IF(LEN(INDEX('Checklist'!$C$4:$C$503,_calc!$E$184))=0,"",INDEX('Checklist'!$C$4:$C$503,_calc!$E$184)))</f>
        <v/>
      </c>
      <c r="B182" s="44">
        <f>IF(_calc!$E$184="","",IF(ISNUMBER(INDEX('Checklist'!$L$4:$L$503,_calc!$E$184)),TEXT(INDEX('Checklist'!$L$4:$L$503,_calc!$E$184),"yyyy-mm-dd"),""))</f>
        <v/>
      </c>
      <c r="C182" s="44">
        <f>IF(_calc!$E$184="","","Survey readiness")</f>
        <v/>
      </c>
      <c r="D182" s="44">
        <f>IF(_calc!$E$184="","",IF(ISNUMBER(INDEX('Checklist'!$H$4:$H$503,_calc!$E$184)),TEXT(INDEX('Checklist'!$H$4:$H$503,_calc!$E$184),"yyyy-mm-dd"),""))</f>
        <v/>
      </c>
      <c r="F182" s="44">
        <f>IF(_calc!$E$184="","",TRIM(IF(LEN(IF(LEN(INDEX('Checklist'!$A$4:$A$503,_calc!$E$184))=0,"",INDEX('Checklist'!$A$4:$A$503,_calc!$E$184)))=0,"","Group: "&amp;IF(LEN(INDEX('Checklist'!$A$4:$A$503,_calc!$E$184))=0,"",INDEX('Checklist'!$A$4:$A$503,_calc!$E$184))&amp;". ")&amp;IF(LEN(IF(LEN(INDEX('Checklist'!$E$4:$E$503,_calc!$E$184))=0,"",INDEX('Checklist'!$E$4:$E$503,_calc!$E$184)))=0,"","Owner: "&amp;IF(LEN(INDEX('Checklist'!$E$4:$E$503,_calc!$E$184))=0,"",INDEX('Checklist'!$E$4:$E$503,_calc!$E$184))&amp;". ")&amp;IF(LEN(IF(LEN(INDEX('Checklist'!$F$4:$F$503,_calc!$E$184))=0,"",INDEX('Checklist'!$F$4:$F$503,_calc!$E$184)))=0,"","Backup: "&amp;IF(LEN(INDEX('Checklist'!$F$4:$F$503,_calc!$E$184))=0,"",INDEX('Checklist'!$F$4:$F$503,_calc!$E$184))&amp;". ")&amp;IF(LEN(IF(LEN(INDEX('Checklist'!$J$4:$J$503,_calc!$E$184))=0,"",INDEX('Checklist'!$J$4:$J$503,_calc!$E$184)))=0,"","Evidence: "&amp;IF(LEN(INDEX('Checklist'!$J$4:$J$503,_calc!$E$184))=0,"",INDEX('Checklist'!$J$4:$J$503,_calc!$E$184))&amp;". ")&amp;IF(LEN(IF(LEN(INDEX('Checklist'!$D$4:$D$503,_calc!$E$184))=0,"",INDEX('Checklist'!$D$4:$D$503,_calc!$E$184)))=0,"","Rule example: "&amp;IF(LEN(INDEX('Checklist'!$D$4:$D$503,_calc!$E$184))=0,"",INDEX('Checklist'!$D$4:$D$503,_calc!$E$184))&amp;". ")&amp;IF(LEN(IF(LEN(INDEX('Checklist'!$P$4:$P$503,_calc!$E$184))=0,"",INDEX('Checklist'!$P$4:$P$503,_calc!$E$184)))=0,"",IF(LEN(INDEX('Checklist'!$P$4:$P$503,_calc!$E$184))=0,"",INDEX('Checklist'!$P$4:$P$503,_calc!$E$184)))))</f>
        <v/>
      </c>
      <c r="K182" s="44">
        <f>IF(_calc!$E$184="","",IF(LEN(INDEX('Checklist'!$G$4:$G$503,_calc!$E$184))=0,"",INDEX('Checklist'!$G$4:$G$503,_calc!$E$184)))</f>
        <v/>
      </c>
    </row>
    <row r="183">
      <c r="A183" s="44">
        <f>IF(_calc!$E$185="","","Survey check – "&amp;IF(LEN(INDEX('Checklist'!$C$4:$C$503,_calc!$E$185))=0,"",INDEX('Checklist'!$C$4:$C$503,_calc!$E$185)))</f>
        <v/>
      </c>
      <c r="B183" s="44">
        <f>IF(_calc!$E$185="","",IF(ISNUMBER(INDEX('Checklist'!$L$4:$L$503,_calc!$E$185)),TEXT(INDEX('Checklist'!$L$4:$L$503,_calc!$E$185),"yyyy-mm-dd"),""))</f>
        <v/>
      </c>
      <c r="C183" s="44">
        <f>IF(_calc!$E$185="","","Survey readiness")</f>
        <v/>
      </c>
      <c r="D183" s="44">
        <f>IF(_calc!$E$185="","",IF(ISNUMBER(INDEX('Checklist'!$H$4:$H$503,_calc!$E$185)),TEXT(INDEX('Checklist'!$H$4:$H$503,_calc!$E$185),"yyyy-mm-dd"),""))</f>
        <v/>
      </c>
      <c r="F183" s="44">
        <f>IF(_calc!$E$185="","",TRIM(IF(LEN(IF(LEN(INDEX('Checklist'!$A$4:$A$503,_calc!$E$185))=0,"",INDEX('Checklist'!$A$4:$A$503,_calc!$E$185)))=0,"","Group: "&amp;IF(LEN(INDEX('Checklist'!$A$4:$A$503,_calc!$E$185))=0,"",INDEX('Checklist'!$A$4:$A$503,_calc!$E$185))&amp;". ")&amp;IF(LEN(IF(LEN(INDEX('Checklist'!$E$4:$E$503,_calc!$E$185))=0,"",INDEX('Checklist'!$E$4:$E$503,_calc!$E$185)))=0,"","Owner: "&amp;IF(LEN(INDEX('Checklist'!$E$4:$E$503,_calc!$E$185))=0,"",INDEX('Checklist'!$E$4:$E$503,_calc!$E$185))&amp;". ")&amp;IF(LEN(IF(LEN(INDEX('Checklist'!$F$4:$F$503,_calc!$E$185))=0,"",INDEX('Checklist'!$F$4:$F$503,_calc!$E$185)))=0,"","Backup: "&amp;IF(LEN(INDEX('Checklist'!$F$4:$F$503,_calc!$E$185))=0,"",INDEX('Checklist'!$F$4:$F$503,_calc!$E$185))&amp;". ")&amp;IF(LEN(IF(LEN(INDEX('Checklist'!$J$4:$J$503,_calc!$E$185))=0,"",INDEX('Checklist'!$J$4:$J$503,_calc!$E$185)))=0,"","Evidence: "&amp;IF(LEN(INDEX('Checklist'!$J$4:$J$503,_calc!$E$185))=0,"",INDEX('Checklist'!$J$4:$J$503,_calc!$E$185))&amp;". ")&amp;IF(LEN(IF(LEN(INDEX('Checklist'!$D$4:$D$503,_calc!$E$185))=0,"",INDEX('Checklist'!$D$4:$D$503,_calc!$E$185)))=0,"","Rule example: "&amp;IF(LEN(INDEX('Checklist'!$D$4:$D$503,_calc!$E$185))=0,"",INDEX('Checklist'!$D$4:$D$503,_calc!$E$185))&amp;". ")&amp;IF(LEN(IF(LEN(INDEX('Checklist'!$P$4:$P$503,_calc!$E$185))=0,"",INDEX('Checklist'!$P$4:$P$503,_calc!$E$185)))=0,"",IF(LEN(INDEX('Checklist'!$P$4:$P$503,_calc!$E$185))=0,"",INDEX('Checklist'!$P$4:$P$503,_calc!$E$185)))))</f>
        <v/>
      </c>
      <c r="K183" s="44">
        <f>IF(_calc!$E$185="","",IF(LEN(INDEX('Checklist'!$G$4:$G$503,_calc!$E$185))=0,"",INDEX('Checklist'!$G$4:$G$503,_calc!$E$185)))</f>
        <v/>
      </c>
    </row>
    <row r="184">
      <c r="A184" s="44">
        <f>IF(_calc!$E$186="","","Survey check – "&amp;IF(LEN(INDEX('Checklist'!$C$4:$C$503,_calc!$E$186))=0,"",INDEX('Checklist'!$C$4:$C$503,_calc!$E$186)))</f>
        <v/>
      </c>
      <c r="B184" s="44">
        <f>IF(_calc!$E$186="","",IF(ISNUMBER(INDEX('Checklist'!$L$4:$L$503,_calc!$E$186)),TEXT(INDEX('Checklist'!$L$4:$L$503,_calc!$E$186),"yyyy-mm-dd"),""))</f>
        <v/>
      </c>
      <c r="C184" s="44">
        <f>IF(_calc!$E$186="","","Survey readiness")</f>
        <v/>
      </c>
      <c r="D184" s="44">
        <f>IF(_calc!$E$186="","",IF(ISNUMBER(INDEX('Checklist'!$H$4:$H$503,_calc!$E$186)),TEXT(INDEX('Checklist'!$H$4:$H$503,_calc!$E$186),"yyyy-mm-dd"),""))</f>
        <v/>
      </c>
      <c r="F184" s="44">
        <f>IF(_calc!$E$186="","",TRIM(IF(LEN(IF(LEN(INDEX('Checklist'!$A$4:$A$503,_calc!$E$186))=0,"",INDEX('Checklist'!$A$4:$A$503,_calc!$E$186)))=0,"","Group: "&amp;IF(LEN(INDEX('Checklist'!$A$4:$A$503,_calc!$E$186))=0,"",INDEX('Checklist'!$A$4:$A$503,_calc!$E$186))&amp;". ")&amp;IF(LEN(IF(LEN(INDEX('Checklist'!$E$4:$E$503,_calc!$E$186))=0,"",INDEX('Checklist'!$E$4:$E$503,_calc!$E$186)))=0,"","Owner: "&amp;IF(LEN(INDEX('Checklist'!$E$4:$E$503,_calc!$E$186))=0,"",INDEX('Checklist'!$E$4:$E$503,_calc!$E$186))&amp;". ")&amp;IF(LEN(IF(LEN(INDEX('Checklist'!$F$4:$F$503,_calc!$E$186))=0,"",INDEX('Checklist'!$F$4:$F$503,_calc!$E$186)))=0,"","Backup: "&amp;IF(LEN(INDEX('Checklist'!$F$4:$F$503,_calc!$E$186))=0,"",INDEX('Checklist'!$F$4:$F$503,_calc!$E$186))&amp;". ")&amp;IF(LEN(IF(LEN(INDEX('Checklist'!$J$4:$J$503,_calc!$E$186))=0,"",INDEX('Checklist'!$J$4:$J$503,_calc!$E$186)))=0,"","Evidence: "&amp;IF(LEN(INDEX('Checklist'!$J$4:$J$503,_calc!$E$186))=0,"",INDEX('Checklist'!$J$4:$J$503,_calc!$E$186))&amp;". ")&amp;IF(LEN(IF(LEN(INDEX('Checklist'!$D$4:$D$503,_calc!$E$186))=0,"",INDEX('Checklist'!$D$4:$D$503,_calc!$E$186)))=0,"","Rule example: "&amp;IF(LEN(INDEX('Checklist'!$D$4:$D$503,_calc!$E$186))=0,"",INDEX('Checklist'!$D$4:$D$503,_calc!$E$186))&amp;". ")&amp;IF(LEN(IF(LEN(INDEX('Checklist'!$P$4:$P$503,_calc!$E$186))=0,"",INDEX('Checklist'!$P$4:$P$503,_calc!$E$186)))=0,"",IF(LEN(INDEX('Checklist'!$P$4:$P$503,_calc!$E$186))=0,"",INDEX('Checklist'!$P$4:$P$503,_calc!$E$186)))))</f>
        <v/>
      </c>
      <c r="K184" s="44">
        <f>IF(_calc!$E$186="","",IF(LEN(INDEX('Checklist'!$G$4:$G$503,_calc!$E$186))=0,"",INDEX('Checklist'!$G$4:$G$503,_calc!$E$186)))</f>
        <v/>
      </c>
    </row>
    <row r="185">
      <c r="A185" s="44">
        <f>IF(_calc!$E$187="","","Survey check – "&amp;IF(LEN(INDEX('Checklist'!$C$4:$C$503,_calc!$E$187))=0,"",INDEX('Checklist'!$C$4:$C$503,_calc!$E$187)))</f>
        <v/>
      </c>
      <c r="B185" s="44">
        <f>IF(_calc!$E$187="","",IF(ISNUMBER(INDEX('Checklist'!$L$4:$L$503,_calc!$E$187)),TEXT(INDEX('Checklist'!$L$4:$L$503,_calc!$E$187),"yyyy-mm-dd"),""))</f>
        <v/>
      </c>
      <c r="C185" s="44">
        <f>IF(_calc!$E$187="","","Survey readiness")</f>
        <v/>
      </c>
      <c r="D185" s="44">
        <f>IF(_calc!$E$187="","",IF(ISNUMBER(INDEX('Checklist'!$H$4:$H$503,_calc!$E$187)),TEXT(INDEX('Checklist'!$H$4:$H$503,_calc!$E$187),"yyyy-mm-dd"),""))</f>
        <v/>
      </c>
      <c r="F185" s="44">
        <f>IF(_calc!$E$187="","",TRIM(IF(LEN(IF(LEN(INDEX('Checklist'!$A$4:$A$503,_calc!$E$187))=0,"",INDEX('Checklist'!$A$4:$A$503,_calc!$E$187)))=0,"","Group: "&amp;IF(LEN(INDEX('Checklist'!$A$4:$A$503,_calc!$E$187))=0,"",INDEX('Checklist'!$A$4:$A$503,_calc!$E$187))&amp;". ")&amp;IF(LEN(IF(LEN(INDEX('Checklist'!$E$4:$E$503,_calc!$E$187))=0,"",INDEX('Checklist'!$E$4:$E$503,_calc!$E$187)))=0,"","Owner: "&amp;IF(LEN(INDEX('Checklist'!$E$4:$E$503,_calc!$E$187))=0,"",INDEX('Checklist'!$E$4:$E$503,_calc!$E$187))&amp;". ")&amp;IF(LEN(IF(LEN(INDEX('Checklist'!$F$4:$F$503,_calc!$E$187))=0,"",INDEX('Checklist'!$F$4:$F$503,_calc!$E$187)))=0,"","Backup: "&amp;IF(LEN(INDEX('Checklist'!$F$4:$F$503,_calc!$E$187))=0,"",INDEX('Checklist'!$F$4:$F$503,_calc!$E$187))&amp;". ")&amp;IF(LEN(IF(LEN(INDEX('Checklist'!$J$4:$J$503,_calc!$E$187))=0,"",INDEX('Checklist'!$J$4:$J$503,_calc!$E$187)))=0,"","Evidence: "&amp;IF(LEN(INDEX('Checklist'!$J$4:$J$503,_calc!$E$187))=0,"",INDEX('Checklist'!$J$4:$J$503,_calc!$E$187))&amp;". ")&amp;IF(LEN(IF(LEN(INDEX('Checklist'!$D$4:$D$503,_calc!$E$187))=0,"",INDEX('Checklist'!$D$4:$D$503,_calc!$E$187)))=0,"","Rule example: "&amp;IF(LEN(INDEX('Checklist'!$D$4:$D$503,_calc!$E$187))=0,"",INDEX('Checklist'!$D$4:$D$503,_calc!$E$187))&amp;". ")&amp;IF(LEN(IF(LEN(INDEX('Checklist'!$P$4:$P$503,_calc!$E$187))=0,"",INDEX('Checklist'!$P$4:$P$503,_calc!$E$187)))=0,"",IF(LEN(INDEX('Checklist'!$P$4:$P$503,_calc!$E$187))=0,"",INDEX('Checklist'!$P$4:$P$503,_calc!$E$187)))))</f>
        <v/>
      </c>
      <c r="K185" s="44">
        <f>IF(_calc!$E$187="","",IF(LEN(INDEX('Checklist'!$G$4:$G$503,_calc!$E$187))=0,"",INDEX('Checklist'!$G$4:$G$503,_calc!$E$187)))</f>
        <v/>
      </c>
    </row>
    <row r="186">
      <c r="A186" s="44">
        <f>IF(_calc!$E$188="","","Survey check – "&amp;IF(LEN(INDEX('Checklist'!$C$4:$C$503,_calc!$E$188))=0,"",INDEX('Checklist'!$C$4:$C$503,_calc!$E$188)))</f>
        <v/>
      </c>
      <c r="B186" s="44">
        <f>IF(_calc!$E$188="","",IF(ISNUMBER(INDEX('Checklist'!$L$4:$L$503,_calc!$E$188)),TEXT(INDEX('Checklist'!$L$4:$L$503,_calc!$E$188),"yyyy-mm-dd"),""))</f>
        <v/>
      </c>
      <c r="C186" s="44">
        <f>IF(_calc!$E$188="","","Survey readiness")</f>
        <v/>
      </c>
      <c r="D186" s="44">
        <f>IF(_calc!$E$188="","",IF(ISNUMBER(INDEX('Checklist'!$H$4:$H$503,_calc!$E$188)),TEXT(INDEX('Checklist'!$H$4:$H$503,_calc!$E$188),"yyyy-mm-dd"),""))</f>
        <v/>
      </c>
      <c r="F186" s="44">
        <f>IF(_calc!$E$188="","",TRIM(IF(LEN(IF(LEN(INDEX('Checklist'!$A$4:$A$503,_calc!$E$188))=0,"",INDEX('Checklist'!$A$4:$A$503,_calc!$E$188)))=0,"","Group: "&amp;IF(LEN(INDEX('Checklist'!$A$4:$A$503,_calc!$E$188))=0,"",INDEX('Checklist'!$A$4:$A$503,_calc!$E$188))&amp;". ")&amp;IF(LEN(IF(LEN(INDEX('Checklist'!$E$4:$E$503,_calc!$E$188))=0,"",INDEX('Checklist'!$E$4:$E$503,_calc!$E$188)))=0,"","Owner: "&amp;IF(LEN(INDEX('Checklist'!$E$4:$E$503,_calc!$E$188))=0,"",INDEX('Checklist'!$E$4:$E$503,_calc!$E$188))&amp;". ")&amp;IF(LEN(IF(LEN(INDEX('Checklist'!$F$4:$F$503,_calc!$E$188))=0,"",INDEX('Checklist'!$F$4:$F$503,_calc!$E$188)))=0,"","Backup: "&amp;IF(LEN(INDEX('Checklist'!$F$4:$F$503,_calc!$E$188))=0,"",INDEX('Checklist'!$F$4:$F$503,_calc!$E$188))&amp;". ")&amp;IF(LEN(IF(LEN(INDEX('Checklist'!$J$4:$J$503,_calc!$E$188))=0,"",INDEX('Checklist'!$J$4:$J$503,_calc!$E$188)))=0,"","Evidence: "&amp;IF(LEN(INDEX('Checklist'!$J$4:$J$503,_calc!$E$188))=0,"",INDEX('Checklist'!$J$4:$J$503,_calc!$E$188))&amp;". ")&amp;IF(LEN(IF(LEN(INDEX('Checklist'!$D$4:$D$503,_calc!$E$188))=0,"",INDEX('Checklist'!$D$4:$D$503,_calc!$E$188)))=0,"","Rule example: "&amp;IF(LEN(INDEX('Checklist'!$D$4:$D$503,_calc!$E$188))=0,"",INDEX('Checklist'!$D$4:$D$503,_calc!$E$188))&amp;". ")&amp;IF(LEN(IF(LEN(INDEX('Checklist'!$P$4:$P$503,_calc!$E$188))=0,"",INDEX('Checklist'!$P$4:$P$503,_calc!$E$188)))=0,"",IF(LEN(INDEX('Checklist'!$P$4:$P$503,_calc!$E$188))=0,"",INDEX('Checklist'!$P$4:$P$503,_calc!$E$188)))))</f>
        <v/>
      </c>
      <c r="K186" s="44">
        <f>IF(_calc!$E$188="","",IF(LEN(INDEX('Checklist'!$G$4:$G$503,_calc!$E$188))=0,"",INDEX('Checklist'!$G$4:$G$503,_calc!$E$188)))</f>
        <v/>
      </c>
    </row>
    <row r="187">
      <c r="A187" s="44">
        <f>IF(_calc!$E$189="","","Survey check – "&amp;IF(LEN(INDEX('Checklist'!$C$4:$C$503,_calc!$E$189))=0,"",INDEX('Checklist'!$C$4:$C$503,_calc!$E$189)))</f>
        <v/>
      </c>
      <c r="B187" s="44">
        <f>IF(_calc!$E$189="","",IF(ISNUMBER(INDEX('Checklist'!$L$4:$L$503,_calc!$E$189)),TEXT(INDEX('Checklist'!$L$4:$L$503,_calc!$E$189),"yyyy-mm-dd"),""))</f>
        <v/>
      </c>
      <c r="C187" s="44">
        <f>IF(_calc!$E$189="","","Survey readiness")</f>
        <v/>
      </c>
      <c r="D187" s="44">
        <f>IF(_calc!$E$189="","",IF(ISNUMBER(INDEX('Checklist'!$H$4:$H$503,_calc!$E$189)),TEXT(INDEX('Checklist'!$H$4:$H$503,_calc!$E$189),"yyyy-mm-dd"),""))</f>
        <v/>
      </c>
      <c r="F187" s="44">
        <f>IF(_calc!$E$189="","",TRIM(IF(LEN(IF(LEN(INDEX('Checklist'!$A$4:$A$503,_calc!$E$189))=0,"",INDEX('Checklist'!$A$4:$A$503,_calc!$E$189)))=0,"","Group: "&amp;IF(LEN(INDEX('Checklist'!$A$4:$A$503,_calc!$E$189))=0,"",INDEX('Checklist'!$A$4:$A$503,_calc!$E$189))&amp;". ")&amp;IF(LEN(IF(LEN(INDEX('Checklist'!$E$4:$E$503,_calc!$E$189))=0,"",INDEX('Checklist'!$E$4:$E$503,_calc!$E$189)))=0,"","Owner: "&amp;IF(LEN(INDEX('Checklist'!$E$4:$E$503,_calc!$E$189))=0,"",INDEX('Checklist'!$E$4:$E$503,_calc!$E$189))&amp;". ")&amp;IF(LEN(IF(LEN(INDEX('Checklist'!$F$4:$F$503,_calc!$E$189))=0,"",INDEX('Checklist'!$F$4:$F$503,_calc!$E$189)))=0,"","Backup: "&amp;IF(LEN(INDEX('Checklist'!$F$4:$F$503,_calc!$E$189))=0,"",INDEX('Checklist'!$F$4:$F$503,_calc!$E$189))&amp;". ")&amp;IF(LEN(IF(LEN(INDEX('Checklist'!$J$4:$J$503,_calc!$E$189))=0,"",INDEX('Checklist'!$J$4:$J$503,_calc!$E$189)))=0,"","Evidence: "&amp;IF(LEN(INDEX('Checklist'!$J$4:$J$503,_calc!$E$189))=0,"",INDEX('Checklist'!$J$4:$J$503,_calc!$E$189))&amp;". ")&amp;IF(LEN(IF(LEN(INDEX('Checklist'!$D$4:$D$503,_calc!$E$189))=0,"",INDEX('Checklist'!$D$4:$D$503,_calc!$E$189)))=0,"","Rule example: "&amp;IF(LEN(INDEX('Checklist'!$D$4:$D$503,_calc!$E$189))=0,"",INDEX('Checklist'!$D$4:$D$503,_calc!$E$189))&amp;". ")&amp;IF(LEN(IF(LEN(INDEX('Checklist'!$P$4:$P$503,_calc!$E$189))=0,"",INDEX('Checklist'!$P$4:$P$503,_calc!$E$189)))=0,"",IF(LEN(INDEX('Checklist'!$P$4:$P$503,_calc!$E$189))=0,"",INDEX('Checklist'!$P$4:$P$503,_calc!$E$189)))))</f>
        <v/>
      </c>
      <c r="K187" s="44">
        <f>IF(_calc!$E$189="","",IF(LEN(INDEX('Checklist'!$G$4:$G$503,_calc!$E$189))=0,"",INDEX('Checklist'!$G$4:$G$503,_calc!$E$189)))</f>
        <v/>
      </c>
    </row>
    <row r="188">
      <c r="A188" s="44">
        <f>IF(_calc!$E$190="","","Survey check – "&amp;IF(LEN(INDEX('Checklist'!$C$4:$C$503,_calc!$E$190))=0,"",INDEX('Checklist'!$C$4:$C$503,_calc!$E$190)))</f>
        <v/>
      </c>
      <c r="B188" s="44">
        <f>IF(_calc!$E$190="","",IF(ISNUMBER(INDEX('Checklist'!$L$4:$L$503,_calc!$E$190)),TEXT(INDEX('Checklist'!$L$4:$L$503,_calc!$E$190),"yyyy-mm-dd"),""))</f>
        <v/>
      </c>
      <c r="C188" s="44">
        <f>IF(_calc!$E$190="","","Survey readiness")</f>
        <v/>
      </c>
      <c r="D188" s="44">
        <f>IF(_calc!$E$190="","",IF(ISNUMBER(INDEX('Checklist'!$H$4:$H$503,_calc!$E$190)),TEXT(INDEX('Checklist'!$H$4:$H$503,_calc!$E$190),"yyyy-mm-dd"),""))</f>
        <v/>
      </c>
      <c r="F188" s="44">
        <f>IF(_calc!$E$190="","",TRIM(IF(LEN(IF(LEN(INDEX('Checklist'!$A$4:$A$503,_calc!$E$190))=0,"",INDEX('Checklist'!$A$4:$A$503,_calc!$E$190)))=0,"","Group: "&amp;IF(LEN(INDEX('Checklist'!$A$4:$A$503,_calc!$E$190))=0,"",INDEX('Checklist'!$A$4:$A$503,_calc!$E$190))&amp;". ")&amp;IF(LEN(IF(LEN(INDEX('Checklist'!$E$4:$E$503,_calc!$E$190))=0,"",INDEX('Checklist'!$E$4:$E$503,_calc!$E$190)))=0,"","Owner: "&amp;IF(LEN(INDEX('Checklist'!$E$4:$E$503,_calc!$E$190))=0,"",INDEX('Checklist'!$E$4:$E$503,_calc!$E$190))&amp;". ")&amp;IF(LEN(IF(LEN(INDEX('Checklist'!$F$4:$F$503,_calc!$E$190))=0,"",INDEX('Checklist'!$F$4:$F$503,_calc!$E$190)))=0,"","Backup: "&amp;IF(LEN(INDEX('Checklist'!$F$4:$F$503,_calc!$E$190))=0,"",INDEX('Checklist'!$F$4:$F$503,_calc!$E$190))&amp;". ")&amp;IF(LEN(IF(LEN(INDEX('Checklist'!$J$4:$J$503,_calc!$E$190))=0,"",INDEX('Checklist'!$J$4:$J$503,_calc!$E$190)))=0,"","Evidence: "&amp;IF(LEN(INDEX('Checklist'!$J$4:$J$503,_calc!$E$190))=0,"",INDEX('Checklist'!$J$4:$J$503,_calc!$E$190))&amp;". ")&amp;IF(LEN(IF(LEN(INDEX('Checklist'!$D$4:$D$503,_calc!$E$190))=0,"",INDEX('Checklist'!$D$4:$D$503,_calc!$E$190)))=0,"","Rule example: "&amp;IF(LEN(INDEX('Checklist'!$D$4:$D$503,_calc!$E$190))=0,"",INDEX('Checklist'!$D$4:$D$503,_calc!$E$190))&amp;". ")&amp;IF(LEN(IF(LEN(INDEX('Checklist'!$P$4:$P$503,_calc!$E$190))=0,"",INDEX('Checklist'!$P$4:$P$503,_calc!$E$190)))=0,"",IF(LEN(INDEX('Checklist'!$P$4:$P$503,_calc!$E$190))=0,"",INDEX('Checklist'!$P$4:$P$503,_calc!$E$190)))))</f>
        <v/>
      </c>
      <c r="K188" s="44">
        <f>IF(_calc!$E$190="","",IF(LEN(INDEX('Checklist'!$G$4:$G$503,_calc!$E$190))=0,"",INDEX('Checklist'!$G$4:$G$503,_calc!$E$190)))</f>
        <v/>
      </c>
    </row>
    <row r="189">
      <c r="A189" s="44">
        <f>IF(_calc!$E$191="","","Survey check – "&amp;IF(LEN(INDEX('Checklist'!$C$4:$C$503,_calc!$E$191))=0,"",INDEX('Checklist'!$C$4:$C$503,_calc!$E$191)))</f>
        <v/>
      </c>
      <c r="B189" s="44">
        <f>IF(_calc!$E$191="","",IF(ISNUMBER(INDEX('Checklist'!$L$4:$L$503,_calc!$E$191)),TEXT(INDEX('Checklist'!$L$4:$L$503,_calc!$E$191),"yyyy-mm-dd"),""))</f>
        <v/>
      </c>
      <c r="C189" s="44">
        <f>IF(_calc!$E$191="","","Survey readiness")</f>
        <v/>
      </c>
      <c r="D189" s="44">
        <f>IF(_calc!$E$191="","",IF(ISNUMBER(INDEX('Checklist'!$H$4:$H$503,_calc!$E$191)),TEXT(INDEX('Checklist'!$H$4:$H$503,_calc!$E$191),"yyyy-mm-dd"),""))</f>
        <v/>
      </c>
      <c r="F189" s="44">
        <f>IF(_calc!$E$191="","",TRIM(IF(LEN(IF(LEN(INDEX('Checklist'!$A$4:$A$503,_calc!$E$191))=0,"",INDEX('Checklist'!$A$4:$A$503,_calc!$E$191)))=0,"","Group: "&amp;IF(LEN(INDEX('Checklist'!$A$4:$A$503,_calc!$E$191))=0,"",INDEX('Checklist'!$A$4:$A$503,_calc!$E$191))&amp;". ")&amp;IF(LEN(IF(LEN(INDEX('Checklist'!$E$4:$E$503,_calc!$E$191))=0,"",INDEX('Checklist'!$E$4:$E$503,_calc!$E$191)))=0,"","Owner: "&amp;IF(LEN(INDEX('Checklist'!$E$4:$E$503,_calc!$E$191))=0,"",INDEX('Checklist'!$E$4:$E$503,_calc!$E$191))&amp;". ")&amp;IF(LEN(IF(LEN(INDEX('Checklist'!$F$4:$F$503,_calc!$E$191))=0,"",INDEX('Checklist'!$F$4:$F$503,_calc!$E$191)))=0,"","Backup: "&amp;IF(LEN(INDEX('Checklist'!$F$4:$F$503,_calc!$E$191))=0,"",INDEX('Checklist'!$F$4:$F$503,_calc!$E$191))&amp;". ")&amp;IF(LEN(IF(LEN(INDEX('Checklist'!$J$4:$J$503,_calc!$E$191))=0,"",INDEX('Checklist'!$J$4:$J$503,_calc!$E$191)))=0,"","Evidence: "&amp;IF(LEN(INDEX('Checklist'!$J$4:$J$503,_calc!$E$191))=0,"",INDEX('Checklist'!$J$4:$J$503,_calc!$E$191))&amp;". ")&amp;IF(LEN(IF(LEN(INDEX('Checklist'!$D$4:$D$503,_calc!$E$191))=0,"",INDEX('Checklist'!$D$4:$D$503,_calc!$E$191)))=0,"","Rule example: "&amp;IF(LEN(INDEX('Checklist'!$D$4:$D$503,_calc!$E$191))=0,"",INDEX('Checklist'!$D$4:$D$503,_calc!$E$191))&amp;". ")&amp;IF(LEN(IF(LEN(INDEX('Checklist'!$P$4:$P$503,_calc!$E$191))=0,"",INDEX('Checklist'!$P$4:$P$503,_calc!$E$191)))=0,"",IF(LEN(INDEX('Checklist'!$P$4:$P$503,_calc!$E$191))=0,"",INDEX('Checklist'!$P$4:$P$503,_calc!$E$191)))))</f>
        <v/>
      </c>
      <c r="K189" s="44">
        <f>IF(_calc!$E$191="","",IF(LEN(INDEX('Checklist'!$G$4:$G$503,_calc!$E$191))=0,"",INDEX('Checklist'!$G$4:$G$503,_calc!$E$191)))</f>
        <v/>
      </c>
    </row>
    <row r="190">
      <c r="A190" s="44">
        <f>IF(_calc!$E$192="","","Survey check – "&amp;IF(LEN(INDEX('Checklist'!$C$4:$C$503,_calc!$E$192))=0,"",INDEX('Checklist'!$C$4:$C$503,_calc!$E$192)))</f>
        <v/>
      </c>
      <c r="B190" s="44">
        <f>IF(_calc!$E$192="","",IF(ISNUMBER(INDEX('Checklist'!$L$4:$L$503,_calc!$E$192)),TEXT(INDEX('Checklist'!$L$4:$L$503,_calc!$E$192),"yyyy-mm-dd"),""))</f>
        <v/>
      </c>
      <c r="C190" s="44">
        <f>IF(_calc!$E$192="","","Survey readiness")</f>
        <v/>
      </c>
      <c r="D190" s="44">
        <f>IF(_calc!$E$192="","",IF(ISNUMBER(INDEX('Checklist'!$H$4:$H$503,_calc!$E$192)),TEXT(INDEX('Checklist'!$H$4:$H$503,_calc!$E$192),"yyyy-mm-dd"),""))</f>
        <v/>
      </c>
      <c r="F190" s="44">
        <f>IF(_calc!$E$192="","",TRIM(IF(LEN(IF(LEN(INDEX('Checklist'!$A$4:$A$503,_calc!$E$192))=0,"",INDEX('Checklist'!$A$4:$A$503,_calc!$E$192)))=0,"","Group: "&amp;IF(LEN(INDEX('Checklist'!$A$4:$A$503,_calc!$E$192))=0,"",INDEX('Checklist'!$A$4:$A$503,_calc!$E$192))&amp;". ")&amp;IF(LEN(IF(LEN(INDEX('Checklist'!$E$4:$E$503,_calc!$E$192))=0,"",INDEX('Checklist'!$E$4:$E$503,_calc!$E$192)))=0,"","Owner: "&amp;IF(LEN(INDEX('Checklist'!$E$4:$E$503,_calc!$E$192))=0,"",INDEX('Checklist'!$E$4:$E$503,_calc!$E$192))&amp;". ")&amp;IF(LEN(IF(LEN(INDEX('Checklist'!$F$4:$F$503,_calc!$E$192))=0,"",INDEX('Checklist'!$F$4:$F$503,_calc!$E$192)))=0,"","Backup: "&amp;IF(LEN(INDEX('Checklist'!$F$4:$F$503,_calc!$E$192))=0,"",INDEX('Checklist'!$F$4:$F$503,_calc!$E$192))&amp;". ")&amp;IF(LEN(IF(LEN(INDEX('Checklist'!$J$4:$J$503,_calc!$E$192))=0,"",INDEX('Checklist'!$J$4:$J$503,_calc!$E$192)))=0,"","Evidence: "&amp;IF(LEN(INDEX('Checklist'!$J$4:$J$503,_calc!$E$192))=0,"",INDEX('Checklist'!$J$4:$J$503,_calc!$E$192))&amp;". ")&amp;IF(LEN(IF(LEN(INDEX('Checklist'!$D$4:$D$503,_calc!$E$192))=0,"",INDEX('Checklist'!$D$4:$D$503,_calc!$E$192)))=0,"","Rule example: "&amp;IF(LEN(INDEX('Checklist'!$D$4:$D$503,_calc!$E$192))=0,"",INDEX('Checklist'!$D$4:$D$503,_calc!$E$192))&amp;". ")&amp;IF(LEN(IF(LEN(INDEX('Checklist'!$P$4:$P$503,_calc!$E$192))=0,"",INDEX('Checklist'!$P$4:$P$503,_calc!$E$192)))=0,"",IF(LEN(INDEX('Checklist'!$P$4:$P$503,_calc!$E$192))=0,"",INDEX('Checklist'!$P$4:$P$503,_calc!$E$192)))))</f>
        <v/>
      </c>
      <c r="K190" s="44">
        <f>IF(_calc!$E$192="","",IF(LEN(INDEX('Checklist'!$G$4:$G$503,_calc!$E$192))=0,"",INDEX('Checklist'!$G$4:$G$503,_calc!$E$192)))</f>
        <v/>
      </c>
    </row>
    <row r="191">
      <c r="A191" s="44">
        <f>IF(_calc!$E$193="","","Survey check – "&amp;IF(LEN(INDEX('Checklist'!$C$4:$C$503,_calc!$E$193))=0,"",INDEX('Checklist'!$C$4:$C$503,_calc!$E$193)))</f>
        <v/>
      </c>
      <c r="B191" s="44">
        <f>IF(_calc!$E$193="","",IF(ISNUMBER(INDEX('Checklist'!$L$4:$L$503,_calc!$E$193)),TEXT(INDEX('Checklist'!$L$4:$L$503,_calc!$E$193),"yyyy-mm-dd"),""))</f>
        <v/>
      </c>
      <c r="C191" s="44">
        <f>IF(_calc!$E$193="","","Survey readiness")</f>
        <v/>
      </c>
      <c r="D191" s="44">
        <f>IF(_calc!$E$193="","",IF(ISNUMBER(INDEX('Checklist'!$H$4:$H$503,_calc!$E$193)),TEXT(INDEX('Checklist'!$H$4:$H$503,_calc!$E$193),"yyyy-mm-dd"),""))</f>
        <v/>
      </c>
      <c r="F191" s="44">
        <f>IF(_calc!$E$193="","",TRIM(IF(LEN(IF(LEN(INDEX('Checklist'!$A$4:$A$503,_calc!$E$193))=0,"",INDEX('Checklist'!$A$4:$A$503,_calc!$E$193)))=0,"","Group: "&amp;IF(LEN(INDEX('Checklist'!$A$4:$A$503,_calc!$E$193))=0,"",INDEX('Checklist'!$A$4:$A$503,_calc!$E$193))&amp;". ")&amp;IF(LEN(IF(LEN(INDEX('Checklist'!$E$4:$E$503,_calc!$E$193))=0,"",INDEX('Checklist'!$E$4:$E$503,_calc!$E$193)))=0,"","Owner: "&amp;IF(LEN(INDEX('Checklist'!$E$4:$E$503,_calc!$E$193))=0,"",INDEX('Checklist'!$E$4:$E$503,_calc!$E$193))&amp;". ")&amp;IF(LEN(IF(LEN(INDEX('Checklist'!$F$4:$F$503,_calc!$E$193))=0,"",INDEX('Checklist'!$F$4:$F$503,_calc!$E$193)))=0,"","Backup: "&amp;IF(LEN(INDEX('Checklist'!$F$4:$F$503,_calc!$E$193))=0,"",INDEX('Checklist'!$F$4:$F$503,_calc!$E$193))&amp;". ")&amp;IF(LEN(IF(LEN(INDEX('Checklist'!$J$4:$J$503,_calc!$E$193))=0,"",INDEX('Checklist'!$J$4:$J$503,_calc!$E$193)))=0,"","Evidence: "&amp;IF(LEN(INDEX('Checklist'!$J$4:$J$503,_calc!$E$193))=0,"",INDEX('Checklist'!$J$4:$J$503,_calc!$E$193))&amp;". ")&amp;IF(LEN(IF(LEN(INDEX('Checklist'!$D$4:$D$503,_calc!$E$193))=0,"",INDEX('Checklist'!$D$4:$D$503,_calc!$E$193)))=0,"","Rule example: "&amp;IF(LEN(INDEX('Checklist'!$D$4:$D$503,_calc!$E$193))=0,"",INDEX('Checklist'!$D$4:$D$503,_calc!$E$193))&amp;". ")&amp;IF(LEN(IF(LEN(INDEX('Checklist'!$P$4:$P$503,_calc!$E$193))=0,"",INDEX('Checklist'!$P$4:$P$503,_calc!$E$193)))=0,"",IF(LEN(INDEX('Checklist'!$P$4:$P$503,_calc!$E$193))=0,"",INDEX('Checklist'!$P$4:$P$503,_calc!$E$193)))))</f>
        <v/>
      </c>
      <c r="K191" s="44">
        <f>IF(_calc!$E$193="","",IF(LEN(INDEX('Checklist'!$G$4:$G$503,_calc!$E$193))=0,"",INDEX('Checklist'!$G$4:$G$503,_calc!$E$193)))</f>
        <v/>
      </c>
    </row>
    <row r="192">
      <c r="A192" s="44">
        <f>IF(_calc!$E$194="","","Survey check – "&amp;IF(LEN(INDEX('Checklist'!$C$4:$C$503,_calc!$E$194))=0,"",INDEX('Checklist'!$C$4:$C$503,_calc!$E$194)))</f>
        <v/>
      </c>
      <c r="B192" s="44">
        <f>IF(_calc!$E$194="","",IF(ISNUMBER(INDEX('Checklist'!$L$4:$L$503,_calc!$E$194)),TEXT(INDEX('Checklist'!$L$4:$L$503,_calc!$E$194),"yyyy-mm-dd"),""))</f>
        <v/>
      </c>
      <c r="C192" s="44">
        <f>IF(_calc!$E$194="","","Survey readiness")</f>
        <v/>
      </c>
      <c r="D192" s="44">
        <f>IF(_calc!$E$194="","",IF(ISNUMBER(INDEX('Checklist'!$H$4:$H$503,_calc!$E$194)),TEXT(INDEX('Checklist'!$H$4:$H$503,_calc!$E$194),"yyyy-mm-dd"),""))</f>
        <v/>
      </c>
      <c r="F192" s="44">
        <f>IF(_calc!$E$194="","",TRIM(IF(LEN(IF(LEN(INDEX('Checklist'!$A$4:$A$503,_calc!$E$194))=0,"",INDEX('Checklist'!$A$4:$A$503,_calc!$E$194)))=0,"","Group: "&amp;IF(LEN(INDEX('Checklist'!$A$4:$A$503,_calc!$E$194))=0,"",INDEX('Checklist'!$A$4:$A$503,_calc!$E$194))&amp;". ")&amp;IF(LEN(IF(LEN(INDEX('Checklist'!$E$4:$E$503,_calc!$E$194))=0,"",INDEX('Checklist'!$E$4:$E$503,_calc!$E$194)))=0,"","Owner: "&amp;IF(LEN(INDEX('Checklist'!$E$4:$E$503,_calc!$E$194))=0,"",INDEX('Checklist'!$E$4:$E$503,_calc!$E$194))&amp;". ")&amp;IF(LEN(IF(LEN(INDEX('Checklist'!$F$4:$F$503,_calc!$E$194))=0,"",INDEX('Checklist'!$F$4:$F$503,_calc!$E$194)))=0,"","Backup: "&amp;IF(LEN(INDEX('Checklist'!$F$4:$F$503,_calc!$E$194))=0,"",INDEX('Checklist'!$F$4:$F$503,_calc!$E$194))&amp;". ")&amp;IF(LEN(IF(LEN(INDEX('Checklist'!$J$4:$J$503,_calc!$E$194))=0,"",INDEX('Checklist'!$J$4:$J$503,_calc!$E$194)))=0,"","Evidence: "&amp;IF(LEN(INDEX('Checklist'!$J$4:$J$503,_calc!$E$194))=0,"",INDEX('Checklist'!$J$4:$J$503,_calc!$E$194))&amp;". ")&amp;IF(LEN(IF(LEN(INDEX('Checklist'!$D$4:$D$503,_calc!$E$194))=0,"",INDEX('Checklist'!$D$4:$D$503,_calc!$E$194)))=0,"","Rule example: "&amp;IF(LEN(INDEX('Checklist'!$D$4:$D$503,_calc!$E$194))=0,"",INDEX('Checklist'!$D$4:$D$503,_calc!$E$194))&amp;". ")&amp;IF(LEN(IF(LEN(INDEX('Checklist'!$P$4:$P$503,_calc!$E$194))=0,"",INDEX('Checklist'!$P$4:$P$503,_calc!$E$194)))=0,"",IF(LEN(INDEX('Checklist'!$P$4:$P$503,_calc!$E$194))=0,"",INDEX('Checklist'!$P$4:$P$503,_calc!$E$194)))))</f>
        <v/>
      </c>
      <c r="K192" s="44">
        <f>IF(_calc!$E$194="","",IF(LEN(INDEX('Checklist'!$G$4:$G$503,_calc!$E$194))=0,"",INDEX('Checklist'!$G$4:$G$503,_calc!$E$194)))</f>
        <v/>
      </c>
    </row>
    <row r="193">
      <c r="A193" s="44">
        <f>IF(_calc!$E$195="","","Survey check – "&amp;IF(LEN(INDEX('Checklist'!$C$4:$C$503,_calc!$E$195))=0,"",INDEX('Checklist'!$C$4:$C$503,_calc!$E$195)))</f>
        <v/>
      </c>
      <c r="B193" s="44">
        <f>IF(_calc!$E$195="","",IF(ISNUMBER(INDEX('Checklist'!$L$4:$L$503,_calc!$E$195)),TEXT(INDEX('Checklist'!$L$4:$L$503,_calc!$E$195),"yyyy-mm-dd"),""))</f>
        <v/>
      </c>
      <c r="C193" s="44">
        <f>IF(_calc!$E$195="","","Survey readiness")</f>
        <v/>
      </c>
      <c r="D193" s="44">
        <f>IF(_calc!$E$195="","",IF(ISNUMBER(INDEX('Checklist'!$H$4:$H$503,_calc!$E$195)),TEXT(INDEX('Checklist'!$H$4:$H$503,_calc!$E$195),"yyyy-mm-dd"),""))</f>
        <v/>
      </c>
      <c r="F193" s="44">
        <f>IF(_calc!$E$195="","",TRIM(IF(LEN(IF(LEN(INDEX('Checklist'!$A$4:$A$503,_calc!$E$195))=0,"",INDEX('Checklist'!$A$4:$A$503,_calc!$E$195)))=0,"","Group: "&amp;IF(LEN(INDEX('Checklist'!$A$4:$A$503,_calc!$E$195))=0,"",INDEX('Checklist'!$A$4:$A$503,_calc!$E$195))&amp;". ")&amp;IF(LEN(IF(LEN(INDEX('Checklist'!$E$4:$E$503,_calc!$E$195))=0,"",INDEX('Checklist'!$E$4:$E$503,_calc!$E$195)))=0,"","Owner: "&amp;IF(LEN(INDEX('Checklist'!$E$4:$E$503,_calc!$E$195))=0,"",INDEX('Checklist'!$E$4:$E$503,_calc!$E$195))&amp;". ")&amp;IF(LEN(IF(LEN(INDEX('Checklist'!$F$4:$F$503,_calc!$E$195))=0,"",INDEX('Checklist'!$F$4:$F$503,_calc!$E$195)))=0,"","Backup: "&amp;IF(LEN(INDEX('Checklist'!$F$4:$F$503,_calc!$E$195))=0,"",INDEX('Checklist'!$F$4:$F$503,_calc!$E$195))&amp;". ")&amp;IF(LEN(IF(LEN(INDEX('Checklist'!$J$4:$J$503,_calc!$E$195))=0,"",INDEX('Checklist'!$J$4:$J$503,_calc!$E$195)))=0,"","Evidence: "&amp;IF(LEN(INDEX('Checklist'!$J$4:$J$503,_calc!$E$195))=0,"",INDEX('Checklist'!$J$4:$J$503,_calc!$E$195))&amp;". ")&amp;IF(LEN(IF(LEN(INDEX('Checklist'!$D$4:$D$503,_calc!$E$195))=0,"",INDEX('Checklist'!$D$4:$D$503,_calc!$E$195)))=0,"","Rule example: "&amp;IF(LEN(INDEX('Checklist'!$D$4:$D$503,_calc!$E$195))=0,"",INDEX('Checklist'!$D$4:$D$503,_calc!$E$195))&amp;". ")&amp;IF(LEN(IF(LEN(INDEX('Checklist'!$P$4:$P$503,_calc!$E$195))=0,"",INDEX('Checklist'!$P$4:$P$503,_calc!$E$195)))=0,"",IF(LEN(INDEX('Checklist'!$P$4:$P$503,_calc!$E$195))=0,"",INDEX('Checklist'!$P$4:$P$503,_calc!$E$195)))))</f>
        <v/>
      </c>
      <c r="K193" s="44">
        <f>IF(_calc!$E$195="","",IF(LEN(INDEX('Checklist'!$G$4:$G$503,_calc!$E$195))=0,"",INDEX('Checklist'!$G$4:$G$503,_calc!$E$195)))</f>
        <v/>
      </c>
    </row>
    <row r="194">
      <c r="A194" s="44">
        <f>IF(_calc!$E$196="","","Survey check – "&amp;IF(LEN(INDEX('Checklist'!$C$4:$C$503,_calc!$E$196))=0,"",INDEX('Checklist'!$C$4:$C$503,_calc!$E$196)))</f>
        <v/>
      </c>
      <c r="B194" s="44">
        <f>IF(_calc!$E$196="","",IF(ISNUMBER(INDEX('Checklist'!$L$4:$L$503,_calc!$E$196)),TEXT(INDEX('Checklist'!$L$4:$L$503,_calc!$E$196),"yyyy-mm-dd"),""))</f>
        <v/>
      </c>
      <c r="C194" s="44">
        <f>IF(_calc!$E$196="","","Survey readiness")</f>
        <v/>
      </c>
      <c r="D194" s="44">
        <f>IF(_calc!$E$196="","",IF(ISNUMBER(INDEX('Checklist'!$H$4:$H$503,_calc!$E$196)),TEXT(INDEX('Checklist'!$H$4:$H$503,_calc!$E$196),"yyyy-mm-dd"),""))</f>
        <v/>
      </c>
      <c r="F194" s="44">
        <f>IF(_calc!$E$196="","",TRIM(IF(LEN(IF(LEN(INDEX('Checklist'!$A$4:$A$503,_calc!$E$196))=0,"",INDEX('Checklist'!$A$4:$A$503,_calc!$E$196)))=0,"","Group: "&amp;IF(LEN(INDEX('Checklist'!$A$4:$A$503,_calc!$E$196))=0,"",INDEX('Checklist'!$A$4:$A$503,_calc!$E$196))&amp;". ")&amp;IF(LEN(IF(LEN(INDEX('Checklist'!$E$4:$E$503,_calc!$E$196))=0,"",INDEX('Checklist'!$E$4:$E$503,_calc!$E$196)))=0,"","Owner: "&amp;IF(LEN(INDEX('Checklist'!$E$4:$E$503,_calc!$E$196))=0,"",INDEX('Checklist'!$E$4:$E$503,_calc!$E$196))&amp;". ")&amp;IF(LEN(IF(LEN(INDEX('Checklist'!$F$4:$F$503,_calc!$E$196))=0,"",INDEX('Checklist'!$F$4:$F$503,_calc!$E$196)))=0,"","Backup: "&amp;IF(LEN(INDEX('Checklist'!$F$4:$F$503,_calc!$E$196))=0,"",INDEX('Checklist'!$F$4:$F$503,_calc!$E$196))&amp;". ")&amp;IF(LEN(IF(LEN(INDEX('Checklist'!$J$4:$J$503,_calc!$E$196))=0,"",INDEX('Checklist'!$J$4:$J$503,_calc!$E$196)))=0,"","Evidence: "&amp;IF(LEN(INDEX('Checklist'!$J$4:$J$503,_calc!$E$196))=0,"",INDEX('Checklist'!$J$4:$J$503,_calc!$E$196))&amp;". ")&amp;IF(LEN(IF(LEN(INDEX('Checklist'!$D$4:$D$503,_calc!$E$196))=0,"",INDEX('Checklist'!$D$4:$D$503,_calc!$E$196)))=0,"","Rule example: "&amp;IF(LEN(INDEX('Checklist'!$D$4:$D$503,_calc!$E$196))=0,"",INDEX('Checklist'!$D$4:$D$503,_calc!$E$196))&amp;". ")&amp;IF(LEN(IF(LEN(INDEX('Checklist'!$P$4:$P$503,_calc!$E$196))=0,"",INDEX('Checklist'!$P$4:$P$503,_calc!$E$196)))=0,"",IF(LEN(INDEX('Checklist'!$P$4:$P$503,_calc!$E$196))=0,"",INDEX('Checklist'!$P$4:$P$503,_calc!$E$196)))))</f>
        <v/>
      </c>
      <c r="K194" s="44">
        <f>IF(_calc!$E$196="","",IF(LEN(INDEX('Checklist'!$G$4:$G$503,_calc!$E$196))=0,"",INDEX('Checklist'!$G$4:$G$503,_calc!$E$196)))</f>
        <v/>
      </c>
    </row>
    <row r="195">
      <c r="A195" s="44">
        <f>IF(_calc!$E$197="","","Survey check – "&amp;IF(LEN(INDEX('Checklist'!$C$4:$C$503,_calc!$E$197))=0,"",INDEX('Checklist'!$C$4:$C$503,_calc!$E$197)))</f>
        <v/>
      </c>
      <c r="B195" s="44">
        <f>IF(_calc!$E$197="","",IF(ISNUMBER(INDEX('Checklist'!$L$4:$L$503,_calc!$E$197)),TEXT(INDEX('Checklist'!$L$4:$L$503,_calc!$E$197),"yyyy-mm-dd"),""))</f>
        <v/>
      </c>
      <c r="C195" s="44">
        <f>IF(_calc!$E$197="","","Survey readiness")</f>
        <v/>
      </c>
      <c r="D195" s="44">
        <f>IF(_calc!$E$197="","",IF(ISNUMBER(INDEX('Checklist'!$H$4:$H$503,_calc!$E$197)),TEXT(INDEX('Checklist'!$H$4:$H$503,_calc!$E$197),"yyyy-mm-dd"),""))</f>
        <v/>
      </c>
      <c r="F195" s="44">
        <f>IF(_calc!$E$197="","",TRIM(IF(LEN(IF(LEN(INDEX('Checklist'!$A$4:$A$503,_calc!$E$197))=0,"",INDEX('Checklist'!$A$4:$A$503,_calc!$E$197)))=0,"","Group: "&amp;IF(LEN(INDEX('Checklist'!$A$4:$A$503,_calc!$E$197))=0,"",INDEX('Checklist'!$A$4:$A$503,_calc!$E$197))&amp;". ")&amp;IF(LEN(IF(LEN(INDEX('Checklist'!$E$4:$E$503,_calc!$E$197))=0,"",INDEX('Checklist'!$E$4:$E$503,_calc!$E$197)))=0,"","Owner: "&amp;IF(LEN(INDEX('Checklist'!$E$4:$E$503,_calc!$E$197))=0,"",INDEX('Checklist'!$E$4:$E$503,_calc!$E$197))&amp;". ")&amp;IF(LEN(IF(LEN(INDEX('Checklist'!$F$4:$F$503,_calc!$E$197))=0,"",INDEX('Checklist'!$F$4:$F$503,_calc!$E$197)))=0,"","Backup: "&amp;IF(LEN(INDEX('Checklist'!$F$4:$F$503,_calc!$E$197))=0,"",INDEX('Checklist'!$F$4:$F$503,_calc!$E$197))&amp;". ")&amp;IF(LEN(IF(LEN(INDEX('Checklist'!$J$4:$J$503,_calc!$E$197))=0,"",INDEX('Checklist'!$J$4:$J$503,_calc!$E$197)))=0,"","Evidence: "&amp;IF(LEN(INDEX('Checklist'!$J$4:$J$503,_calc!$E$197))=0,"",INDEX('Checklist'!$J$4:$J$503,_calc!$E$197))&amp;". ")&amp;IF(LEN(IF(LEN(INDEX('Checklist'!$D$4:$D$503,_calc!$E$197))=0,"",INDEX('Checklist'!$D$4:$D$503,_calc!$E$197)))=0,"","Rule example: "&amp;IF(LEN(INDEX('Checklist'!$D$4:$D$503,_calc!$E$197))=0,"",INDEX('Checklist'!$D$4:$D$503,_calc!$E$197))&amp;". ")&amp;IF(LEN(IF(LEN(INDEX('Checklist'!$P$4:$P$503,_calc!$E$197))=0,"",INDEX('Checklist'!$P$4:$P$503,_calc!$E$197)))=0,"",IF(LEN(INDEX('Checklist'!$P$4:$P$503,_calc!$E$197))=0,"",INDEX('Checklist'!$P$4:$P$503,_calc!$E$197)))))</f>
        <v/>
      </c>
      <c r="K195" s="44">
        <f>IF(_calc!$E$197="","",IF(LEN(INDEX('Checklist'!$G$4:$G$503,_calc!$E$197))=0,"",INDEX('Checklist'!$G$4:$G$503,_calc!$E$197)))</f>
        <v/>
      </c>
    </row>
    <row r="196">
      <c r="A196" s="44">
        <f>IF(_calc!$E$198="","","Survey check – "&amp;IF(LEN(INDEX('Checklist'!$C$4:$C$503,_calc!$E$198))=0,"",INDEX('Checklist'!$C$4:$C$503,_calc!$E$198)))</f>
        <v/>
      </c>
      <c r="B196" s="44">
        <f>IF(_calc!$E$198="","",IF(ISNUMBER(INDEX('Checklist'!$L$4:$L$503,_calc!$E$198)),TEXT(INDEX('Checklist'!$L$4:$L$503,_calc!$E$198),"yyyy-mm-dd"),""))</f>
        <v/>
      </c>
      <c r="C196" s="44">
        <f>IF(_calc!$E$198="","","Survey readiness")</f>
        <v/>
      </c>
      <c r="D196" s="44">
        <f>IF(_calc!$E$198="","",IF(ISNUMBER(INDEX('Checklist'!$H$4:$H$503,_calc!$E$198)),TEXT(INDEX('Checklist'!$H$4:$H$503,_calc!$E$198),"yyyy-mm-dd"),""))</f>
        <v/>
      </c>
      <c r="F196" s="44">
        <f>IF(_calc!$E$198="","",TRIM(IF(LEN(IF(LEN(INDEX('Checklist'!$A$4:$A$503,_calc!$E$198))=0,"",INDEX('Checklist'!$A$4:$A$503,_calc!$E$198)))=0,"","Group: "&amp;IF(LEN(INDEX('Checklist'!$A$4:$A$503,_calc!$E$198))=0,"",INDEX('Checklist'!$A$4:$A$503,_calc!$E$198))&amp;". ")&amp;IF(LEN(IF(LEN(INDEX('Checklist'!$E$4:$E$503,_calc!$E$198))=0,"",INDEX('Checklist'!$E$4:$E$503,_calc!$E$198)))=0,"","Owner: "&amp;IF(LEN(INDEX('Checklist'!$E$4:$E$503,_calc!$E$198))=0,"",INDEX('Checklist'!$E$4:$E$503,_calc!$E$198))&amp;". ")&amp;IF(LEN(IF(LEN(INDEX('Checklist'!$F$4:$F$503,_calc!$E$198))=0,"",INDEX('Checklist'!$F$4:$F$503,_calc!$E$198)))=0,"","Backup: "&amp;IF(LEN(INDEX('Checklist'!$F$4:$F$503,_calc!$E$198))=0,"",INDEX('Checklist'!$F$4:$F$503,_calc!$E$198))&amp;". ")&amp;IF(LEN(IF(LEN(INDEX('Checklist'!$J$4:$J$503,_calc!$E$198))=0,"",INDEX('Checklist'!$J$4:$J$503,_calc!$E$198)))=0,"","Evidence: "&amp;IF(LEN(INDEX('Checklist'!$J$4:$J$503,_calc!$E$198))=0,"",INDEX('Checklist'!$J$4:$J$503,_calc!$E$198))&amp;". ")&amp;IF(LEN(IF(LEN(INDEX('Checklist'!$D$4:$D$503,_calc!$E$198))=0,"",INDEX('Checklist'!$D$4:$D$503,_calc!$E$198)))=0,"","Rule example: "&amp;IF(LEN(INDEX('Checklist'!$D$4:$D$503,_calc!$E$198))=0,"",INDEX('Checklist'!$D$4:$D$503,_calc!$E$198))&amp;". ")&amp;IF(LEN(IF(LEN(INDEX('Checklist'!$P$4:$P$503,_calc!$E$198))=0,"",INDEX('Checklist'!$P$4:$P$503,_calc!$E$198)))=0,"",IF(LEN(INDEX('Checklist'!$P$4:$P$503,_calc!$E$198))=0,"",INDEX('Checklist'!$P$4:$P$503,_calc!$E$198)))))</f>
        <v/>
      </c>
      <c r="K196" s="44">
        <f>IF(_calc!$E$198="","",IF(LEN(INDEX('Checklist'!$G$4:$G$503,_calc!$E$198))=0,"",INDEX('Checklist'!$G$4:$G$503,_calc!$E$198)))</f>
        <v/>
      </c>
    </row>
    <row r="197">
      <c r="A197" s="44">
        <f>IF(_calc!$E$199="","","Survey check – "&amp;IF(LEN(INDEX('Checklist'!$C$4:$C$503,_calc!$E$199))=0,"",INDEX('Checklist'!$C$4:$C$503,_calc!$E$199)))</f>
        <v/>
      </c>
      <c r="B197" s="44">
        <f>IF(_calc!$E$199="","",IF(ISNUMBER(INDEX('Checklist'!$L$4:$L$503,_calc!$E$199)),TEXT(INDEX('Checklist'!$L$4:$L$503,_calc!$E$199),"yyyy-mm-dd"),""))</f>
        <v/>
      </c>
      <c r="C197" s="44">
        <f>IF(_calc!$E$199="","","Survey readiness")</f>
        <v/>
      </c>
      <c r="D197" s="44">
        <f>IF(_calc!$E$199="","",IF(ISNUMBER(INDEX('Checklist'!$H$4:$H$503,_calc!$E$199)),TEXT(INDEX('Checklist'!$H$4:$H$503,_calc!$E$199),"yyyy-mm-dd"),""))</f>
        <v/>
      </c>
      <c r="F197" s="44">
        <f>IF(_calc!$E$199="","",TRIM(IF(LEN(IF(LEN(INDEX('Checklist'!$A$4:$A$503,_calc!$E$199))=0,"",INDEX('Checklist'!$A$4:$A$503,_calc!$E$199)))=0,"","Group: "&amp;IF(LEN(INDEX('Checklist'!$A$4:$A$503,_calc!$E$199))=0,"",INDEX('Checklist'!$A$4:$A$503,_calc!$E$199))&amp;". ")&amp;IF(LEN(IF(LEN(INDEX('Checklist'!$E$4:$E$503,_calc!$E$199))=0,"",INDEX('Checklist'!$E$4:$E$503,_calc!$E$199)))=0,"","Owner: "&amp;IF(LEN(INDEX('Checklist'!$E$4:$E$503,_calc!$E$199))=0,"",INDEX('Checklist'!$E$4:$E$503,_calc!$E$199))&amp;". ")&amp;IF(LEN(IF(LEN(INDEX('Checklist'!$F$4:$F$503,_calc!$E$199))=0,"",INDEX('Checklist'!$F$4:$F$503,_calc!$E$199)))=0,"","Backup: "&amp;IF(LEN(INDEX('Checklist'!$F$4:$F$503,_calc!$E$199))=0,"",INDEX('Checklist'!$F$4:$F$503,_calc!$E$199))&amp;". ")&amp;IF(LEN(IF(LEN(INDEX('Checklist'!$J$4:$J$503,_calc!$E$199))=0,"",INDEX('Checklist'!$J$4:$J$503,_calc!$E$199)))=0,"","Evidence: "&amp;IF(LEN(INDEX('Checklist'!$J$4:$J$503,_calc!$E$199))=0,"",INDEX('Checklist'!$J$4:$J$503,_calc!$E$199))&amp;". ")&amp;IF(LEN(IF(LEN(INDEX('Checklist'!$D$4:$D$503,_calc!$E$199))=0,"",INDEX('Checklist'!$D$4:$D$503,_calc!$E$199)))=0,"","Rule example: "&amp;IF(LEN(INDEX('Checklist'!$D$4:$D$503,_calc!$E$199))=0,"",INDEX('Checklist'!$D$4:$D$503,_calc!$E$199))&amp;". ")&amp;IF(LEN(IF(LEN(INDEX('Checklist'!$P$4:$P$503,_calc!$E$199))=0,"",INDEX('Checklist'!$P$4:$P$503,_calc!$E$199)))=0,"",IF(LEN(INDEX('Checklist'!$P$4:$P$503,_calc!$E$199))=0,"",INDEX('Checklist'!$P$4:$P$503,_calc!$E$199)))))</f>
        <v/>
      </c>
      <c r="K197" s="44">
        <f>IF(_calc!$E$199="","",IF(LEN(INDEX('Checklist'!$G$4:$G$503,_calc!$E$199))=0,"",INDEX('Checklist'!$G$4:$G$503,_calc!$E$199)))</f>
        <v/>
      </c>
    </row>
    <row r="198">
      <c r="A198" s="44">
        <f>IF(_calc!$E$200="","","Survey check – "&amp;IF(LEN(INDEX('Checklist'!$C$4:$C$503,_calc!$E$200))=0,"",INDEX('Checklist'!$C$4:$C$503,_calc!$E$200)))</f>
        <v/>
      </c>
      <c r="B198" s="44">
        <f>IF(_calc!$E$200="","",IF(ISNUMBER(INDEX('Checklist'!$L$4:$L$503,_calc!$E$200)),TEXT(INDEX('Checklist'!$L$4:$L$503,_calc!$E$200),"yyyy-mm-dd"),""))</f>
        <v/>
      </c>
      <c r="C198" s="44">
        <f>IF(_calc!$E$200="","","Survey readiness")</f>
        <v/>
      </c>
      <c r="D198" s="44">
        <f>IF(_calc!$E$200="","",IF(ISNUMBER(INDEX('Checklist'!$H$4:$H$503,_calc!$E$200)),TEXT(INDEX('Checklist'!$H$4:$H$503,_calc!$E$200),"yyyy-mm-dd"),""))</f>
        <v/>
      </c>
      <c r="F198" s="44">
        <f>IF(_calc!$E$200="","",TRIM(IF(LEN(IF(LEN(INDEX('Checklist'!$A$4:$A$503,_calc!$E$200))=0,"",INDEX('Checklist'!$A$4:$A$503,_calc!$E$200)))=0,"","Group: "&amp;IF(LEN(INDEX('Checklist'!$A$4:$A$503,_calc!$E$200))=0,"",INDEX('Checklist'!$A$4:$A$503,_calc!$E$200))&amp;". ")&amp;IF(LEN(IF(LEN(INDEX('Checklist'!$E$4:$E$503,_calc!$E$200))=0,"",INDEX('Checklist'!$E$4:$E$503,_calc!$E$200)))=0,"","Owner: "&amp;IF(LEN(INDEX('Checklist'!$E$4:$E$503,_calc!$E$200))=0,"",INDEX('Checklist'!$E$4:$E$503,_calc!$E$200))&amp;". ")&amp;IF(LEN(IF(LEN(INDEX('Checklist'!$F$4:$F$503,_calc!$E$200))=0,"",INDEX('Checklist'!$F$4:$F$503,_calc!$E$200)))=0,"","Backup: "&amp;IF(LEN(INDEX('Checklist'!$F$4:$F$503,_calc!$E$200))=0,"",INDEX('Checklist'!$F$4:$F$503,_calc!$E$200))&amp;". ")&amp;IF(LEN(IF(LEN(INDEX('Checklist'!$J$4:$J$503,_calc!$E$200))=0,"",INDEX('Checklist'!$J$4:$J$503,_calc!$E$200)))=0,"","Evidence: "&amp;IF(LEN(INDEX('Checklist'!$J$4:$J$503,_calc!$E$200))=0,"",INDEX('Checklist'!$J$4:$J$503,_calc!$E$200))&amp;". ")&amp;IF(LEN(IF(LEN(INDEX('Checklist'!$D$4:$D$503,_calc!$E$200))=0,"",INDEX('Checklist'!$D$4:$D$503,_calc!$E$200)))=0,"","Rule example: "&amp;IF(LEN(INDEX('Checklist'!$D$4:$D$503,_calc!$E$200))=0,"",INDEX('Checklist'!$D$4:$D$503,_calc!$E$200))&amp;". ")&amp;IF(LEN(IF(LEN(INDEX('Checklist'!$P$4:$P$503,_calc!$E$200))=0,"",INDEX('Checklist'!$P$4:$P$503,_calc!$E$200)))=0,"",IF(LEN(INDEX('Checklist'!$P$4:$P$503,_calc!$E$200))=0,"",INDEX('Checklist'!$P$4:$P$503,_calc!$E$200)))))</f>
        <v/>
      </c>
      <c r="K198" s="44">
        <f>IF(_calc!$E$200="","",IF(LEN(INDEX('Checklist'!$G$4:$G$503,_calc!$E$200))=0,"",INDEX('Checklist'!$G$4:$G$503,_calc!$E$200)))</f>
        <v/>
      </c>
    </row>
    <row r="199">
      <c r="A199" s="44">
        <f>IF(_calc!$E$201="","","Survey check – "&amp;IF(LEN(INDEX('Checklist'!$C$4:$C$503,_calc!$E$201))=0,"",INDEX('Checklist'!$C$4:$C$503,_calc!$E$201)))</f>
        <v/>
      </c>
      <c r="B199" s="44">
        <f>IF(_calc!$E$201="","",IF(ISNUMBER(INDEX('Checklist'!$L$4:$L$503,_calc!$E$201)),TEXT(INDEX('Checklist'!$L$4:$L$503,_calc!$E$201),"yyyy-mm-dd"),""))</f>
        <v/>
      </c>
      <c r="C199" s="44">
        <f>IF(_calc!$E$201="","","Survey readiness")</f>
        <v/>
      </c>
      <c r="D199" s="44">
        <f>IF(_calc!$E$201="","",IF(ISNUMBER(INDEX('Checklist'!$H$4:$H$503,_calc!$E$201)),TEXT(INDEX('Checklist'!$H$4:$H$503,_calc!$E$201),"yyyy-mm-dd"),""))</f>
        <v/>
      </c>
      <c r="F199" s="44">
        <f>IF(_calc!$E$201="","",TRIM(IF(LEN(IF(LEN(INDEX('Checklist'!$A$4:$A$503,_calc!$E$201))=0,"",INDEX('Checklist'!$A$4:$A$503,_calc!$E$201)))=0,"","Group: "&amp;IF(LEN(INDEX('Checklist'!$A$4:$A$503,_calc!$E$201))=0,"",INDEX('Checklist'!$A$4:$A$503,_calc!$E$201))&amp;". ")&amp;IF(LEN(IF(LEN(INDEX('Checklist'!$E$4:$E$503,_calc!$E$201))=0,"",INDEX('Checklist'!$E$4:$E$503,_calc!$E$201)))=0,"","Owner: "&amp;IF(LEN(INDEX('Checklist'!$E$4:$E$503,_calc!$E$201))=0,"",INDEX('Checklist'!$E$4:$E$503,_calc!$E$201))&amp;". ")&amp;IF(LEN(IF(LEN(INDEX('Checklist'!$F$4:$F$503,_calc!$E$201))=0,"",INDEX('Checklist'!$F$4:$F$503,_calc!$E$201)))=0,"","Backup: "&amp;IF(LEN(INDEX('Checklist'!$F$4:$F$503,_calc!$E$201))=0,"",INDEX('Checklist'!$F$4:$F$503,_calc!$E$201))&amp;". ")&amp;IF(LEN(IF(LEN(INDEX('Checklist'!$J$4:$J$503,_calc!$E$201))=0,"",INDEX('Checklist'!$J$4:$J$503,_calc!$E$201)))=0,"","Evidence: "&amp;IF(LEN(INDEX('Checklist'!$J$4:$J$503,_calc!$E$201))=0,"",INDEX('Checklist'!$J$4:$J$503,_calc!$E$201))&amp;". ")&amp;IF(LEN(IF(LEN(INDEX('Checklist'!$D$4:$D$503,_calc!$E$201))=0,"",INDEX('Checklist'!$D$4:$D$503,_calc!$E$201)))=0,"","Rule example: "&amp;IF(LEN(INDEX('Checklist'!$D$4:$D$503,_calc!$E$201))=0,"",INDEX('Checklist'!$D$4:$D$503,_calc!$E$201))&amp;". ")&amp;IF(LEN(IF(LEN(INDEX('Checklist'!$P$4:$P$503,_calc!$E$201))=0,"",INDEX('Checklist'!$P$4:$P$503,_calc!$E$201)))=0,"",IF(LEN(INDEX('Checklist'!$P$4:$P$503,_calc!$E$201))=0,"",INDEX('Checklist'!$P$4:$P$503,_calc!$E$201)))))</f>
        <v/>
      </c>
      <c r="K199" s="44">
        <f>IF(_calc!$E$201="","",IF(LEN(INDEX('Checklist'!$G$4:$G$503,_calc!$E$201))=0,"",INDEX('Checklist'!$G$4:$G$503,_calc!$E$201)))</f>
        <v/>
      </c>
    </row>
    <row r="200">
      <c r="A200" s="44">
        <f>IF(_calc!$E$202="","","Survey check – "&amp;IF(LEN(INDEX('Checklist'!$C$4:$C$503,_calc!$E$202))=0,"",INDEX('Checklist'!$C$4:$C$503,_calc!$E$202)))</f>
        <v/>
      </c>
      <c r="B200" s="44">
        <f>IF(_calc!$E$202="","",IF(ISNUMBER(INDEX('Checklist'!$L$4:$L$503,_calc!$E$202)),TEXT(INDEX('Checklist'!$L$4:$L$503,_calc!$E$202),"yyyy-mm-dd"),""))</f>
        <v/>
      </c>
      <c r="C200" s="44">
        <f>IF(_calc!$E$202="","","Survey readiness")</f>
        <v/>
      </c>
      <c r="D200" s="44">
        <f>IF(_calc!$E$202="","",IF(ISNUMBER(INDEX('Checklist'!$H$4:$H$503,_calc!$E$202)),TEXT(INDEX('Checklist'!$H$4:$H$503,_calc!$E$202),"yyyy-mm-dd"),""))</f>
        <v/>
      </c>
      <c r="F200" s="44">
        <f>IF(_calc!$E$202="","",TRIM(IF(LEN(IF(LEN(INDEX('Checklist'!$A$4:$A$503,_calc!$E$202))=0,"",INDEX('Checklist'!$A$4:$A$503,_calc!$E$202)))=0,"","Group: "&amp;IF(LEN(INDEX('Checklist'!$A$4:$A$503,_calc!$E$202))=0,"",INDEX('Checklist'!$A$4:$A$503,_calc!$E$202))&amp;". ")&amp;IF(LEN(IF(LEN(INDEX('Checklist'!$E$4:$E$503,_calc!$E$202))=0,"",INDEX('Checklist'!$E$4:$E$503,_calc!$E$202)))=0,"","Owner: "&amp;IF(LEN(INDEX('Checklist'!$E$4:$E$503,_calc!$E$202))=0,"",INDEX('Checklist'!$E$4:$E$503,_calc!$E$202))&amp;". ")&amp;IF(LEN(IF(LEN(INDEX('Checklist'!$F$4:$F$503,_calc!$E$202))=0,"",INDEX('Checklist'!$F$4:$F$503,_calc!$E$202)))=0,"","Backup: "&amp;IF(LEN(INDEX('Checklist'!$F$4:$F$503,_calc!$E$202))=0,"",INDEX('Checklist'!$F$4:$F$503,_calc!$E$202))&amp;". ")&amp;IF(LEN(IF(LEN(INDEX('Checklist'!$J$4:$J$503,_calc!$E$202))=0,"",INDEX('Checklist'!$J$4:$J$503,_calc!$E$202)))=0,"","Evidence: "&amp;IF(LEN(INDEX('Checklist'!$J$4:$J$503,_calc!$E$202))=0,"",INDEX('Checklist'!$J$4:$J$503,_calc!$E$202))&amp;". ")&amp;IF(LEN(IF(LEN(INDEX('Checklist'!$D$4:$D$503,_calc!$E$202))=0,"",INDEX('Checklist'!$D$4:$D$503,_calc!$E$202)))=0,"","Rule example: "&amp;IF(LEN(INDEX('Checklist'!$D$4:$D$503,_calc!$E$202))=0,"",INDEX('Checklist'!$D$4:$D$503,_calc!$E$202))&amp;". ")&amp;IF(LEN(IF(LEN(INDEX('Checklist'!$P$4:$P$503,_calc!$E$202))=0,"",INDEX('Checklist'!$P$4:$P$503,_calc!$E$202)))=0,"",IF(LEN(INDEX('Checklist'!$P$4:$P$503,_calc!$E$202))=0,"",INDEX('Checklist'!$P$4:$P$503,_calc!$E$202)))))</f>
        <v/>
      </c>
      <c r="K200" s="44">
        <f>IF(_calc!$E$202="","",IF(LEN(INDEX('Checklist'!$G$4:$G$503,_calc!$E$202))=0,"",INDEX('Checklist'!$G$4:$G$503,_calc!$E$202)))</f>
        <v/>
      </c>
    </row>
    <row r="201">
      <c r="A201" s="44">
        <f>IF(_calc!$E$203="","","Survey check – "&amp;IF(LEN(INDEX('Checklist'!$C$4:$C$503,_calc!$E$203))=0,"",INDEX('Checklist'!$C$4:$C$503,_calc!$E$203)))</f>
        <v/>
      </c>
      <c r="B201" s="44">
        <f>IF(_calc!$E$203="","",IF(ISNUMBER(INDEX('Checklist'!$L$4:$L$503,_calc!$E$203)),TEXT(INDEX('Checklist'!$L$4:$L$503,_calc!$E$203),"yyyy-mm-dd"),""))</f>
        <v/>
      </c>
      <c r="C201" s="44">
        <f>IF(_calc!$E$203="","","Survey readiness")</f>
        <v/>
      </c>
      <c r="D201" s="44">
        <f>IF(_calc!$E$203="","",IF(ISNUMBER(INDEX('Checklist'!$H$4:$H$503,_calc!$E$203)),TEXT(INDEX('Checklist'!$H$4:$H$503,_calc!$E$203),"yyyy-mm-dd"),""))</f>
        <v/>
      </c>
      <c r="F201" s="44">
        <f>IF(_calc!$E$203="","",TRIM(IF(LEN(IF(LEN(INDEX('Checklist'!$A$4:$A$503,_calc!$E$203))=0,"",INDEX('Checklist'!$A$4:$A$503,_calc!$E$203)))=0,"","Group: "&amp;IF(LEN(INDEX('Checklist'!$A$4:$A$503,_calc!$E$203))=0,"",INDEX('Checklist'!$A$4:$A$503,_calc!$E$203))&amp;". ")&amp;IF(LEN(IF(LEN(INDEX('Checklist'!$E$4:$E$503,_calc!$E$203))=0,"",INDEX('Checklist'!$E$4:$E$503,_calc!$E$203)))=0,"","Owner: "&amp;IF(LEN(INDEX('Checklist'!$E$4:$E$503,_calc!$E$203))=0,"",INDEX('Checklist'!$E$4:$E$503,_calc!$E$203))&amp;". ")&amp;IF(LEN(IF(LEN(INDEX('Checklist'!$F$4:$F$503,_calc!$E$203))=0,"",INDEX('Checklist'!$F$4:$F$503,_calc!$E$203)))=0,"","Backup: "&amp;IF(LEN(INDEX('Checklist'!$F$4:$F$503,_calc!$E$203))=0,"",INDEX('Checklist'!$F$4:$F$503,_calc!$E$203))&amp;". ")&amp;IF(LEN(IF(LEN(INDEX('Checklist'!$J$4:$J$503,_calc!$E$203))=0,"",INDEX('Checklist'!$J$4:$J$503,_calc!$E$203)))=0,"","Evidence: "&amp;IF(LEN(INDEX('Checklist'!$J$4:$J$503,_calc!$E$203))=0,"",INDEX('Checklist'!$J$4:$J$503,_calc!$E$203))&amp;". ")&amp;IF(LEN(IF(LEN(INDEX('Checklist'!$D$4:$D$503,_calc!$E$203))=0,"",INDEX('Checklist'!$D$4:$D$503,_calc!$E$203)))=0,"","Rule example: "&amp;IF(LEN(INDEX('Checklist'!$D$4:$D$503,_calc!$E$203))=0,"",INDEX('Checklist'!$D$4:$D$503,_calc!$E$203))&amp;". ")&amp;IF(LEN(IF(LEN(INDEX('Checklist'!$P$4:$P$503,_calc!$E$203))=0,"",INDEX('Checklist'!$P$4:$P$503,_calc!$E$203)))=0,"",IF(LEN(INDEX('Checklist'!$P$4:$P$503,_calc!$E$203))=0,"",INDEX('Checklist'!$P$4:$P$503,_calc!$E$203)))))</f>
        <v/>
      </c>
      <c r="K201" s="44">
        <f>IF(_calc!$E$203="","",IF(LEN(INDEX('Checklist'!$G$4:$G$503,_calc!$E$203))=0,"",INDEX('Checklist'!$G$4:$G$503,_calc!$E$203)))</f>
        <v/>
      </c>
    </row>
    <row r="202">
      <c r="A202" s="44">
        <f>IF(_calc!$E$204="","","Survey check – "&amp;IF(LEN(INDEX('Checklist'!$C$4:$C$503,_calc!$E$204))=0,"",INDEX('Checklist'!$C$4:$C$503,_calc!$E$204)))</f>
        <v/>
      </c>
      <c r="B202" s="44">
        <f>IF(_calc!$E$204="","",IF(ISNUMBER(INDEX('Checklist'!$L$4:$L$503,_calc!$E$204)),TEXT(INDEX('Checklist'!$L$4:$L$503,_calc!$E$204),"yyyy-mm-dd"),""))</f>
        <v/>
      </c>
      <c r="C202" s="44">
        <f>IF(_calc!$E$204="","","Survey readiness")</f>
        <v/>
      </c>
      <c r="D202" s="44">
        <f>IF(_calc!$E$204="","",IF(ISNUMBER(INDEX('Checklist'!$H$4:$H$503,_calc!$E$204)),TEXT(INDEX('Checklist'!$H$4:$H$503,_calc!$E$204),"yyyy-mm-dd"),""))</f>
        <v/>
      </c>
      <c r="F202" s="44">
        <f>IF(_calc!$E$204="","",TRIM(IF(LEN(IF(LEN(INDEX('Checklist'!$A$4:$A$503,_calc!$E$204))=0,"",INDEX('Checklist'!$A$4:$A$503,_calc!$E$204)))=0,"","Group: "&amp;IF(LEN(INDEX('Checklist'!$A$4:$A$503,_calc!$E$204))=0,"",INDEX('Checklist'!$A$4:$A$503,_calc!$E$204))&amp;". ")&amp;IF(LEN(IF(LEN(INDEX('Checklist'!$E$4:$E$503,_calc!$E$204))=0,"",INDEX('Checklist'!$E$4:$E$503,_calc!$E$204)))=0,"","Owner: "&amp;IF(LEN(INDEX('Checklist'!$E$4:$E$503,_calc!$E$204))=0,"",INDEX('Checklist'!$E$4:$E$503,_calc!$E$204))&amp;". ")&amp;IF(LEN(IF(LEN(INDEX('Checklist'!$F$4:$F$503,_calc!$E$204))=0,"",INDEX('Checklist'!$F$4:$F$503,_calc!$E$204)))=0,"","Backup: "&amp;IF(LEN(INDEX('Checklist'!$F$4:$F$503,_calc!$E$204))=0,"",INDEX('Checklist'!$F$4:$F$503,_calc!$E$204))&amp;". ")&amp;IF(LEN(IF(LEN(INDEX('Checklist'!$J$4:$J$503,_calc!$E$204))=0,"",INDEX('Checklist'!$J$4:$J$503,_calc!$E$204)))=0,"","Evidence: "&amp;IF(LEN(INDEX('Checklist'!$J$4:$J$503,_calc!$E$204))=0,"",INDEX('Checklist'!$J$4:$J$503,_calc!$E$204))&amp;". ")&amp;IF(LEN(IF(LEN(INDEX('Checklist'!$D$4:$D$503,_calc!$E$204))=0,"",INDEX('Checklist'!$D$4:$D$503,_calc!$E$204)))=0,"","Rule example: "&amp;IF(LEN(INDEX('Checklist'!$D$4:$D$503,_calc!$E$204))=0,"",INDEX('Checklist'!$D$4:$D$503,_calc!$E$204))&amp;". ")&amp;IF(LEN(IF(LEN(INDEX('Checklist'!$P$4:$P$503,_calc!$E$204))=0,"",INDEX('Checklist'!$P$4:$P$503,_calc!$E$204)))=0,"",IF(LEN(INDEX('Checklist'!$P$4:$P$503,_calc!$E$204))=0,"",INDEX('Checklist'!$P$4:$P$503,_calc!$E$204)))))</f>
        <v/>
      </c>
      <c r="K202" s="44">
        <f>IF(_calc!$E$204="","",IF(LEN(INDEX('Checklist'!$G$4:$G$503,_calc!$E$204))=0,"",INDEX('Checklist'!$G$4:$G$503,_calc!$E$204)))</f>
        <v/>
      </c>
    </row>
    <row r="203">
      <c r="A203" s="44">
        <f>IF(_calc!$E$205="","","Survey check – "&amp;IF(LEN(INDEX('Checklist'!$C$4:$C$503,_calc!$E$205))=0,"",INDEX('Checklist'!$C$4:$C$503,_calc!$E$205)))</f>
        <v/>
      </c>
      <c r="B203" s="44">
        <f>IF(_calc!$E$205="","",IF(ISNUMBER(INDEX('Checklist'!$L$4:$L$503,_calc!$E$205)),TEXT(INDEX('Checklist'!$L$4:$L$503,_calc!$E$205),"yyyy-mm-dd"),""))</f>
        <v/>
      </c>
      <c r="C203" s="44">
        <f>IF(_calc!$E$205="","","Survey readiness")</f>
        <v/>
      </c>
      <c r="D203" s="44">
        <f>IF(_calc!$E$205="","",IF(ISNUMBER(INDEX('Checklist'!$H$4:$H$503,_calc!$E$205)),TEXT(INDEX('Checklist'!$H$4:$H$503,_calc!$E$205),"yyyy-mm-dd"),""))</f>
        <v/>
      </c>
      <c r="F203" s="44">
        <f>IF(_calc!$E$205="","",TRIM(IF(LEN(IF(LEN(INDEX('Checklist'!$A$4:$A$503,_calc!$E$205))=0,"",INDEX('Checklist'!$A$4:$A$503,_calc!$E$205)))=0,"","Group: "&amp;IF(LEN(INDEX('Checklist'!$A$4:$A$503,_calc!$E$205))=0,"",INDEX('Checklist'!$A$4:$A$503,_calc!$E$205))&amp;". ")&amp;IF(LEN(IF(LEN(INDEX('Checklist'!$E$4:$E$503,_calc!$E$205))=0,"",INDEX('Checklist'!$E$4:$E$503,_calc!$E$205)))=0,"","Owner: "&amp;IF(LEN(INDEX('Checklist'!$E$4:$E$503,_calc!$E$205))=0,"",INDEX('Checklist'!$E$4:$E$503,_calc!$E$205))&amp;". ")&amp;IF(LEN(IF(LEN(INDEX('Checklist'!$F$4:$F$503,_calc!$E$205))=0,"",INDEX('Checklist'!$F$4:$F$503,_calc!$E$205)))=0,"","Backup: "&amp;IF(LEN(INDEX('Checklist'!$F$4:$F$503,_calc!$E$205))=0,"",INDEX('Checklist'!$F$4:$F$503,_calc!$E$205))&amp;". ")&amp;IF(LEN(IF(LEN(INDEX('Checklist'!$J$4:$J$503,_calc!$E$205))=0,"",INDEX('Checklist'!$J$4:$J$503,_calc!$E$205)))=0,"","Evidence: "&amp;IF(LEN(INDEX('Checklist'!$J$4:$J$503,_calc!$E$205))=0,"",INDEX('Checklist'!$J$4:$J$503,_calc!$E$205))&amp;". ")&amp;IF(LEN(IF(LEN(INDEX('Checklist'!$D$4:$D$503,_calc!$E$205))=0,"",INDEX('Checklist'!$D$4:$D$503,_calc!$E$205)))=0,"","Rule example: "&amp;IF(LEN(INDEX('Checklist'!$D$4:$D$503,_calc!$E$205))=0,"",INDEX('Checklist'!$D$4:$D$503,_calc!$E$205))&amp;". ")&amp;IF(LEN(IF(LEN(INDEX('Checklist'!$P$4:$P$503,_calc!$E$205))=0,"",INDEX('Checklist'!$P$4:$P$503,_calc!$E$205)))=0,"",IF(LEN(INDEX('Checklist'!$P$4:$P$503,_calc!$E$205))=0,"",INDEX('Checklist'!$P$4:$P$503,_calc!$E$205)))))</f>
        <v/>
      </c>
      <c r="K203" s="44">
        <f>IF(_calc!$E$205="","",IF(LEN(INDEX('Checklist'!$G$4:$G$503,_calc!$E$205))=0,"",INDEX('Checklist'!$G$4:$G$503,_calc!$E$205)))</f>
        <v/>
      </c>
    </row>
    <row r="204">
      <c r="A204" s="44">
        <f>IF(_calc!$E$206="","","Survey check – "&amp;IF(LEN(INDEX('Checklist'!$C$4:$C$503,_calc!$E$206))=0,"",INDEX('Checklist'!$C$4:$C$503,_calc!$E$206)))</f>
        <v/>
      </c>
      <c r="B204" s="44">
        <f>IF(_calc!$E$206="","",IF(ISNUMBER(INDEX('Checklist'!$L$4:$L$503,_calc!$E$206)),TEXT(INDEX('Checklist'!$L$4:$L$503,_calc!$E$206),"yyyy-mm-dd"),""))</f>
        <v/>
      </c>
      <c r="C204" s="44">
        <f>IF(_calc!$E$206="","","Survey readiness")</f>
        <v/>
      </c>
      <c r="D204" s="44">
        <f>IF(_calc!$E$206="","",IF(ISNUMBER(INDEX('Checklist'!$H$4:$H$503,_calc!$E$206)),TEXT(INDEX('Checklist'!$H$4:$H$503,_calc!$E$206),"yyyy-mm-dd"),""))</f>
        <v/>
      </c>
      <c r="F204" s="44">
        <f>IF(_calc!$E$206="","",TRIM(IF(LEN(IF(LEN(INDEX('Checklist'!$A$4:$A$503,_calc!$E$206))=0,"",INDEX('Checklist'!$A$4:$A$503,_calc!$E$206)))=0,"","Group: "&amp;IF(LEN(INDEX('Checklist'!$A$4:$A$503,_calc!$E$206))=0,"",INDEX('Checklist'!$A$4:$A$503,_calc!$E$206))&amp;". ")&amp;IF(LEN(IF(LEN(INDEX('Checklist'!$E$4:$E$503,_calc!$E$206))=0,"",INDEX('Checklist'!$E$4:$E$503,_calc!$E$206)))=0,"","Owner: "&amp;IF(LEN(INDEX('Checklist'!$E$4:$E$503,_calc!$E$206))=0,"",INDEX('Checklist'!$E$4:$E$503,_calc!$E$206))&amp;". ")&amp;IF(LEN(IF(LEN(INDEX('Checklist'!$F$4:$F$503,_calc!$E$206))=0,"",INDEX('Checklist'!$F$4:$F$503,_calc!$E$206)))=0,"","Backup: "&amp;IF(LEN(INDEX('Checklist'!$F$4:$F$503,_calc!$E$206))=0,"",INDEX('Checklist'!$F$4:$F$503,_calc!$E$206))&amp;". ")&amp;IF(LEN(IF(LEN(INDEX('Checklist'!$J$4:$J$503,_calc!$E$206))=0,"",INDEX('Checklist'!$J$4:$J$503,_calc!$E$206)))=0,"","Evidence: "&amp;IF(LEN(INDEX('Checklist'!$J$4:$J$503,_calc!$E$206))=0,"",INDEX('Checklist'!$J$4:$J$503,_calc!$E$206))&amp;". ")&amp;IF(LEN(IF(LEN(INDEX('Checklist'!$D$4:$D$503,_calc!$E$206))=0,"",INDEX('Checklist'!$D$4:$D$503,_calc!$E$206)))=0,"","Rule example: "&amp;IF(LEN(INDEX('Checklist'!$D$4:$D$503,_calc!$E$206))=0,"",INDEX('Checklist'!$D$4:$D$503,_calc!$E$206))&amp;". ")&amp;IF(LEN(IF(LEN(INDEX('Checklist'!$P$4:$P$503,_calc!$E$206))=0,"",INDEX('Checklist'!$P$4:$P$503,_calc!$E$206)))=0,"",IF(LEN(INDEX('Checklist'!$P$4:$P$503,_calc!$E$206))=0,"",INDEX('Checklist'!$P$4:$P$503,_calc!$E$206)))))</f>
        <v/>
      </c>
      <c r="K204" s="44">
        <f>IF(_calc!$E$206="","",IF(LEN(INDEX('Checklist'!$G$4:$G$503,_calc!$E$206))=0,"",INDEX('Checklist'!$G$4:$G$503,_calc!$E$206)))</f>
        <v/>
      </c>
    </row>
    <row r="205">
      <c r="A205" s="44">
        <f>IF(_calc!$E$207="","","Survey check – "&amp;IF(LEN(INDEX('Checklist'!$C$4:$C$503,_calc!$E$207))=0,"",INDEX('Checklist'!$C$4:$C$503,_calc!$E$207)))</f>
        <v/>
      </c>
      <c r="B205" s="44">
        <f>IF(_calc!$E$207="","",IF(ISNUMBER(INDEX('Checklist'!$L$4:$L$503,_calc!$E$207)),TEXT(INDEX('Checklist'!$L$4:$L$503,_calc!$E$207),"yyyy-mm-dd"),""))</f>
        <v/>
      </c>
      <c r="C205" s="44">
        <f>IF(_calc!$E$207="","","Survey readiness")</f>
        <v/>
      </c>
      <c r="D205" s="44">
        <f>IF(_calc!$E$207="","",IF(ISNUMBER(INDEX('Checklist'!$H$4:$H$503,_calc!$E$207)),TEXT(INDEX('Checklist'!$H$4:$H$503,_calc!$E$207),"yyyy-mm-dd"),""))</f>
        <v/>
      </c>
      <c r="F205" s="44">
        <f>IF(_calc!$E$207="","",TRIM(IF(LEN(IF(LEN(INDEX('Checklist'!$A$4:$A$503,_calc!$E$207))=0,"",INDEX('Checklist'!$A$4:$A$503,_calc!$E$207)))=0,"","Group: "&amp;IF(LEN(INDEX('Checklist'!$A$4:$A$503,_calc!$E$207))=0,"",INDEX('Checklist'!$A$4:$A$503,_calc!$E$207))&amp;". ")&amp;IF(LEN(IF(LEN(INDEX('Checklist'!$E$4:$E$503,_calc!$E$207))=0,"",INDEX('Checklist'!$E$4:$E$503,_calc!$E$207)))=0,"","Owner: "&amp;IF(LEN(INDEX('Checklist'!$E$4:$E$503,_calc!$E$207))=0,"",INDEX('Checklist'!$E$4:$E$503,_calc!$E$207))&amp;". ")&amp;IF(LEN(IF(LEN(INDEX('Checklist'!$F$4:$F$503,_calc!$E$207))=0,"",INDEX('Checklist'!$F$4:$F$503,_calc!$E$207)))=0,"","Backup: "&amp;IF(LEN(INDEX('Checklist'!$F$4:$F$503,_calc!$E$207))=0,"",INDEX('Checklist'!$F$4:$F$503,_calc!$E$207))&amp;". ")&amp;IF(LEN(IF(LEN(INDEX('Checklist'!$J$4:$J$503,_calc!$E$207))=0,"",INDEX('Checklist'!$J$4:$J$503,_calc!$E$207)))=0,"","Evidence: "&amp;IF(LEN(INDEX('Checklist'!$J$4:$J$503,_calc!$E$207))=0,"",INDEX('Checklist'!$J$4:$J$503,_calc!$E$207))&amp;". ")&amp;IF(LEN(IF(LEN(INDEX('Checklist'!$D$4:$D$503,_calc!$E$207))=0,"",INDEX('Checklist'!$D$4:$D$503,_calc!$E$207)))=0,"","Rule example: "&amp;IF(LEN(INDEX('Checklist'!$D$4:$D$503,_calc!$E$207))=0,"",INDEX('Checklist'!$D$4:$D$503,_calc!$E$207))&amp;". ")&amp;IF(LEN(IF(LEN(INDEX('Checklist'!$P$4:$P$503,_calc!$E$207))=0,"",INDEX('Checklist'!$P$4:$P$503,_calc!$E$207)))=0,"",IF(LEN(INDEX('Checklist'!$P$4:$P$503,_calc!$E$207))=0,"",INDEX('Checklist'!$P$4:$P$503,_calc!$E$207)))))</f>
        <v/>
      </c>
      <c r="K205" s="44">
        <f>IF(_calc!$E$207="","",IF(LEN(INDEX('Checklist'!$G$4:$G$503,_calc!$E$207))=0,"",INDEX('Checklist'!$G$4:$G$503,_calc!$E$207)))</f>
        <v/>
      </c>
    </row>
    <row r="206">
      <c r="A206" s="44">
        <f>IF(_calc!$E$208="","","Survey check – "&amp;IF(LEN(INDEX('Checklist'!$C$4:$C$503,_calc!$E$208))=0,"",INDEX('Checklist'!$C$4:$C$503,_calc!$E$208)))</f>
        <v/>
      </c>
      <c r="B206" s="44">
        <f>IF(_calc!$E$208="","",IF(ISNUMBER(INDEX('Checklist'!$L$4:$L$503,_calc!$E$208)),TEXT(INDEX('Checklist'!$L$4:$L$503,_calc!$E$208),"yyyy-mm-dd"),""))</f>
        <v/>
      </c>
      <c r="C206" s="44">
        <f>IF(_calc!$E$208="","","Survey readiness")</f>
        <v/>
      </c>
      <c r="D206" s="44">
        <f>IF(_calc!$E$208="","",IF(ISNUMBER(INDEX('Checklist'!$H$4:$H$503,_calc!$E$208)),TEXT(INDEX('Checklist'!$H$4:$H$503,_calc!$E$208),"yyyy-mm-dd"),""))</f>
        <v/>
      </c>
      <c r="F206" s="44">
        <f>IF(_calc!$E$208="","",TRIM(IF(LEN(IF(LEN(INDEX('Checklist'!$A$4:$A$503,_calc!$E$208))=0,"",INDEX('Checklist'!$A$4:$A$503,_calc!$E$208)))=0,"","Group: "&amp;IF(LEN(INDEX('Checklist'!$A$4:$A$503,_calc!$E$208))=0,"",INDEX('Checklist'!$A$4:$A$503,_calc!$E$208))&amp;". ")&amp;IF(LEN(IF(LEN(INDEX('Checklist'!$E$4:$E$503,_calc!$E$208))=0,"",INDEX('Checklist'!$E$4:$E$503,_calc!$E$208)))=0,"","Owner: "&amp;IF(LEN(INDEX('Checklist'!$E$4:$E$503,_calc!$E$208))=0,"",INDEX('Checklist'!$E$4:$E$503,_calc!$E$208))&amp;". ")&amp;IF(LEN(IF(LEN(INDEX('Checklist'!$F$4:$F$503,_calc!$E$208))=0,"",INDEX('Checklist'!$F$4:$F$503,_calc!$E$208)))=0,"","Backup: "&amp;IF(LEN(INDEX('Checklist'!$F$4:$F$503,_calc!$E$208))=0,"",INDEX('Checklist'!$F$4:$F$503,_calc!$E$208))&amp;". ")&amp;IF(LEN(IF(LEN(INDEX('Checklist'!$J$4:$J$503,_calc!$E$208))=0,"",INDEX('Checklist'!$J$4:$J$503,_calc!$E$208)))=0,"","Evidence: "&amp;IF(LEN(INDEX('Checklist'!$J$4:$J$503,_calc!$E$208))=0,"",INDEX('Checklist'!$J$4:$J$503,_calc!$E$208))&amp;". ")&amp;IF(LEN(IF(LEN(INDEX('Checklist'!$D$4:$D$503,_calc!$E$208))=0,"",INDEX('Checklist'!$D$4:$D$503,_calc!$E$208)))=0,"","Rule example: "&amp;IF(LEN(INDEX('Checklist'!$D$4:$D$503,_calc!$E$208))=0,"",INDEX('Checklist'!$D$4:$D$503,_calc!$E$208))&amp;". ")&amp;IF(LEN(IF(LEN(INDEX('Checklist'!$P$4:$P$503,_calc!$E$208))=0,"",INDEX('Checklist'!$P$4:$P$503,_calc!$E$208)))=0,"",IF(LEN(INDEX('Checklist'!$P$4:$P$503,_calc!$E$208))=0,"",INDEX('Checklist'!$P$4:$P$503,_calc!$E$208)))))</f>
        <v/>
      </c>
      <c r="K206" s="44">
        <f>IF(_calc!$E$208="","",IF(LEN(INDEX('Checklist'!$G$4:$G$503,_calc!$E$208))=0,"",INDEX('Checklist'!$G$4:$G$503,_calc!$E$208)))</f>
        <v/>
      </c>
    </row>
    <row r="207">
      <c r="A207" s="44">
        <f>IF(_calc!$E$209="","","Survey check – "&amp;IF(LEN(INDEX('Checklist'!$C$4:$C$503,_calc!$E$209))=0,"",INDEX('Checklist'!$C$4:$C$503,_calc!$E$209)))</f>
        <v/>
      </c>
      <c r="B207" s="44">
        <f>IF(_calc!$E$209="","",IF(ISNUMBER(INDEX('Checklist'!$L$4:$L$503,_calc!$E$209)),TEXT(INDEX('Checklist'!$L$4:$L$503,_calc!$E$209),"yyyy-mm-dd"),""))</f>
        <v/>
      </c>
      <c r="C207" s="44">
        <f>IF(_calc!$E$209="","","Survey readiness")</f>
        <v/>
      </c>
      <c r="D207" s="44">
        <f>IF(_calc!$E$209="","",IF(ISNUMBER(INDEX('Checklist'!$H$4:$H$503,_calc!$E$209)),TEXT(INDEX('Checklist'!$H$4:$H$503,_calc!$E$209),"yyyy-mm-dd"),""))</f>
        <v/>
      </c>
      <c r="F207" s="44">
        <f>IF(_calc!$E$209="","",TRIM(IF(LEN(IF(LEN(INDEX('Checklist'!$A$4:$A$503,_calc!$E$209))=0,"",INDEX('Checklist'!$A$4:$A$503,_calc!$E$209)))=0,"","Group: "&amp;IF(LEN(INDEX('Checklist'!$A$4:$A$503,_calc!$E$209))=0,"",INDEX('Checklist'!$A$4:$A$503,_calc!$E$209))&amp;". ")&amp;IF(LEN(IF(LEN(INDEX('Checklist'!$E$4:$E$503,_calc!$E$209))=0,"",INDEX('Checklist'!$E$4:$E$503,_calc!$E$209)))=0,"","Owner: "&amp;IF(LEN(INDEX('Checklist'!$E$4:$E$503,_calc!$E$209))=0,"",INDEX('Checklist'!$E$4:$E$503,_calc!$E$209))&amp;". ")&amp;IF(LEN(IF(LEN(INDEX('Checklist'!$F$4:$F$503,_calc!$E$209))=0,"",INDEX('Checklist'!$F$4:$F$503,_calc!$E$209)))=0,"","Backup: "&amp;IF(LEN(INDEX('Checklist'!$F$4:$F$503,_calc!$E$209))=0,"",INDEX('Checklist'!$F$4:$F$503,_calc!$E$209))&amp;". ")&amp;IF(LEN(IF(LEN(INDEX('Checklist'!$J$4:$J$503,_calc!$E$209))=0,"",INDEX('Checklist'!$J$4:$J$503,_calc!$E$209)))=0,"","Evidence: "&amp;IF(LEN(INDEX('Checklist'!$J$4:$J$503,_calc!$E$209))=0,"",INDEX('Checklist'!$J$4:$J$503,_calc!$E$209))&amp;". ")&amp;IF(LEN(IF(LEN(INDEX('Checklist'!$D$4:$D$503,_calc!$E$209))=0,"",INDEX('Checklist'!$D$4:$D$503,_calc!$E$209)))=0,"","Rule example: "&amp;IF(LEN(INDEX('Checklist'!$D$4:$D$503,_calc!$E$209))=0,"",INDEX('Checklist'!$D$4:$D$503,_calc!$E$209))&amp;". ")&amp;IF(LEN(IF(LEN(INDEX('Checklist'!$P$4:$P$503,_calc!$E$209))=0,"",INDEX('Checklist'!$P$4:$P$503,_calc!$E$209)))=0,"",IF(LEN(INDEX('Checklist'!$P$4:$P$503,_calc!$E$209))=0,"",INDEX('Checklist'!$P$4:$P$503,_calc!$E$209)))))</f>
        <v/>
      </c>
      <c r="K207" s="44">
        <f>IF(_calc!$E$209="","",IF(LEN(INDEX('Checklist'!$G$4:$G$503,_calc!$E$209))=0,"",INDEX('Checklist'!$G$4:$G$503,_calc!$E$209)))</f>
        <v/>
      </c>
    </row>
    <row r="208">
      <c r="A208" s="44">
        <f>IF(_calc!$E$210="","","Survey check – "&amp;IF(LEN(INDEX('Checklist'!$C$4:$C$503,_calc!$E$210))=0,"",INDEX('Checklist'!$C$4:$C$503,_calc!$E$210)))</f>
        <v/>
      </c>
      <c r="B208" s="44">
        <f>IF(_calc!$E$210="","",IF(ISNUMBER(INDEX('Checklist'!$L$4:$L$503,_calc!$E$210)),TEXT(INDEX('Checklist'!$L$4:$L$503,_calc!$E$210),"yyyy-mm-dd"),""))</f>
        <v/>
      </c>
      <c r="C208" s="44">
        <f>IF(_calc!$E$210="","","Survey readiness")</f>
        <v/>
      </c>
      <c r="D208" s="44">
        <f>IF(_calc!$E$210="","",IF(ISNUMBER(INDEX('Checklist'!$H$4:$H$503,_calc!$E$210)),TEXT(INDEX('Checklist'!$H$4:$H$503,_calc!$E$210),"yyyy-mm-dd"),""))</f>
        <v/>
      </c>
      <c r="F208" s="44">
        <f>IF(_calc!$E$210="","",TRIM(IF(LEN(IF(LEN(INDEX('Checklist'!$A$4:$A$503,_calc!$E$210))=0,"",INDEX('Checklist'!$A$4:$A$503,_calc!$E$210)))=0,"","Group: "&amp;IF(LEN(INDEX('Checklist'!$A$4:$A$503,_calc!$E$210))=0,"",INDEX('Checklist'!$A$4:$A$503,_calc!$E$210))&amp;". ")&amp;IF(LEN(IF(LEN(INDEX('Checklist'!$E$4:$E$503,_calc!$E$210))=0,"",INDEX('Checklist'!$E$4:$E$503,_calc!$E$210)))=0,"","Owner: "&amp;IF(LEN(INDEX('Checklist'!$E$4:$E$503,_calc!$E$210))=0,"",INDEX('Checklist'!$E$4:$E$503,_calc!$E$210))&amp;". ")&amp;IF(LEN(IF(LEN(INDEX('Checklist'!$F$4:$F$503,_calc!$E$210))=0,"",INDEX('Checklist'!$F$4:$F$503,_calc!$E$210)))=0,"","Backup: "&amp;IF(LEN(INDEX('Checklist'!$F$4:$F$503,_calc!$E$210))=0,"",INDEX('Checklist'!$F$4:$F$503,_calc!$E$210))&amp;". ")&amp;IF(LEN(IF(LEN(INDEX('Checklist'!$J$4:$J$503,_calc!$E$210))=0,"",INDEX('Checklist'!$J$4:$J$503,_calc!$E$210)))=0,"","Evidence: "&amp;IF(LEN(INDEX('Checklist'!$J$4:$J$503,_calc!$E$210))=0,"",INDEX('Checklist'!$J$4:$J$503,_calc!$E$210))&amp;". ")&amp;IF(LEN(IF(LEN(INDEX('Checklist'!$D$4:$D$503,_calc!$E$210))=0,"",INDEX('Checklist'!$D$4:$D$503,_calc!$E$210)))=0,"","Rule example: "&amp;IF(LEN(INDEX('Checklist'!$D$4:$D$503,_calc!$E$210))=0,"",INDEX('Checklist'!$D$4:$D$503,_calc!$E$210))&amp;". ")&amp;IF(LEN(IF(LEN(INDEX('Checklist'!$P$4:$P$503,_calc!$E$210))=0,"",INDEX('Checklist'!$P$4:$P$503,_calc!$E$210)))=0,"",IF(LEN(INDEX('Checklist'!$P$4:$P$503,_calc!$E$210))=0,"",INDEX('Checklist'!$P$4:$P$503,_calc!$E$210)))))</f>
        <v/>
      </c>
      <c r="K208" s="44">
        <f>IF(_calc!$E$210="","",IF(LEN(INDEX('Checklist'!$G$4:$G$503,_calc!$E$210))=0,"",INDEX('Checklist'!$G$4:$G$503,_calc!$E$210)))</f>
        <v/>
      </c>
    </row>
    <row r="209">
      <c r="A209" s="44">
        <f>IF(_calc!$E$211="","","Survey check – "&amp;IF(LEN(INDEX('Checklist'!$C$4:$C$503,_calc!$E$211))=0,"",INDEX('Checklist'!$C$4:$C$503,_calc!$E$211)))</f>
        <v/>
      </c>
      <c r="B209" s="44">
        <f>IF(_calc!$E$211="","",IF(ISNUMBER(INDEX('Checklist'!$L$4:$L$503,_calc!$E$211)),TEXT(INDEX('Checklist'!$L$4:$L$503,_calc!$E$211),"yyyy-mm-dd"),""))</f>
        <v/>
      </c>
      <c r="C209" s="44">
        <f>IF(_calc!$E$211="","","Survey readiness")</f>
        <v/>
      </c>
      <c r="D209" s="44">
        <f>IF(_calc!$E$211="","",IF(ISNUMBER(INDEX('Checklist'!$H$4:$H$503,_calc!$E$211)),TEXT(INDEX('Checklist'!$H$4:$H$503,_calc!$E$211),"yyyy-mm-dd"),""))</f>
        <v/>
      </c>
      <c r="F209" s="44">
        <f>IF(_calc!$E$211="","",TRIM(IF(LEN(IF(LEN(INDEX('Checklist'!$A$4:$A$503,_calc!$E$211))=0,"",INDEX('Checklist'!$A$4:$A$503,_calc!$E$211)))=0,"","Group: "&amp;IF(LEN(INDEX('Checklist'!$A$4:$A$503,_calc!$E$211))=0,"",INDEX('Checklist'!$A$4:$A$503,_calc!$E$211))&amp;". ")&amp;IF(LEN(IF(LEN(INDEX('Checklist'!$E$4:$E$503,_calc!$E$211))=0,"",INDEX('Checklist'!$E$4:$E$503,_calc!$E$211)))=0,"","Owner: "&amp;IF(LEN(INDEX('Checklist'!$E$4:$E$503,_calc!$E$211))=0,"",INDEX('Checklist'!$E$4:$E$503,_calc!$E$211))&amp;". ")&amp;IF(LEN(IF(LEN(INDEX('Checklist'!$F$4:$F$503,_calc!$E$211))=0,"",INDEX('Checklist'!$F$4:$F$503,_calc!$E$211)))=0,"","Backup: "&amp;IF(LEN(INDEX('Checklist'!$F$4:$F$503,_calc!$E$211))=0,"",INDEX('Checklist'!$F$4:$F$503,_calc!$E$211))&amp;". ")&amp;IF(LEN(IF(LEN(INDEX('Checklist'!$J$4:$J$503,_calc!$E$211))=0,"",INDEX('Checklist'!$J$4:$J$503,_calc!$E$211)))=0,"","Evidence: "&amp;IF(LEN(INDEX('Checklist'!$J$4:$J$503,_calc!$E$211))=0,"",INDEX('Checklist'!$J$4:$J$503,_calc!$E$211))&amp;". ")&amp;IF(LEN(IF(LEN(INDEX('Checklist'!$D$4:$D$503,_calc!$E$211))=0,"",INDEX('Checklist'!$D$4:$D$503,_calc!$E$211)))=0,"","Rule example: "&amp;IF(LEN(INDEX('Checklist'!$D$4:$D$503,_calc!$E$211))=0,"",INDEX('Checklist'!$D$4:$D$503,_calc!$E$211))&amp;". ")&amp;IF(LEN(IF(LEN(INDEX('Checklist'!$P$4:$P$503,_calc!$E$211))=0,"",INDEX('Checklist'!$P$4:$P$503,_calc!$E$211)))=0,"",IF(LEN(INDEX('Checklist'!$P$4:$P$503,_calc!$E$211))=0,"",INDEX('Checklist'!$P$4:$P$503,_calc!$E$211)))))</f>
        <v/>
      </c>
      <c r="K209" s="44">
        <f>IF(_calc!$E$211="","",IF(LEN(INDEX('Checklist'!$G$4:$G$503,_calc!$E$211))=0,"",INDEX('Checklist'!$G$4:$G$503,_calc!$E$211)))</f>
        <v/>
      </c>
    </row>
    <row r="210">
      <c r="A210" s="44">
        <f>IF(_calc!$E$212="","","Survey check – "&amp;IF(LEN(INDEX('Checklist'!$C$4:$C$503,_calc!$E$212))=0,"",INDEX('Checklist'!$C$4:$C$503,_calc!$E$212)))</f>
        <v/>
      </c>
      <c r="B210" s="44">
        <f>IF(_calc!$E$212="","",IF(ISNUMBER(INDEX('Checklist'!$L$4:$L$503,_calc!$E$212)),TEXT(INDEX('Checklist'!$L$4:$L$503,_calc!$E$212),"yyyy-mm-dd"),""))</f>
        <v/>
      </c>
      <c r="C210" s="44">
        <f>IF(_calc!$E$212="","","Survey readiness")</f>
        <v/>
      </c>
      <c r="D210" s="44">
        <f>IF(_calc!$E$212="","",IF(ISNUMBER(INDEX('Checklist'!$H$4:$H$503,_calc!$E$212)),TEXT(INDEX('Checklist'!$H$4:$H$503,_calc!$E$212),"yyyy-mm-dd"),""))</f>
        <v/>
      </c>
      <c r="F210" s="44">
        <f>IF(_calc!$E$212="","",TRIM(IF(LEN(IF(LEN(INDEX('Checklist'!$A$4:$A$503,_calc!$E$212))=0,"",INDEX('Checklist'!$A$4:$A$503,_calc!$E$212)))=0,"","Group: "&amp;IF(LEN(INDEX('Checklist'!$A$4:$A$503,_calc!$E$212))=0,"",INDEX('Checklist'!$A$4:$A$503,_calc!$E$212))&amp;". ")&amp;IF(LEN(IF(LEN(INDEX('Checklist'!$E$4:$E$503,_calc!$E$212))=0,"",INDEX('Checklist'!$E$4:$E$503,_calc!$E$212)))=0,"","Owner: "&amp;IF(LEN(INDEX('Checklist'!$E$4:$E$503,_calc!$E$212))=0,"",INDEX('Checklist'!$E$4:$E$503,_calc!$E$212))&amp;". ")&amp;IF(LEN(IF(LEN(INDEX('Checklist'!$F$4:$F$503,_calc!$E$212))=0,"",INDEX('Checklist'!$F$4:$F$503,_calc!$E$212)))=0,"","Backup: "&amp;IF(LEN(INDEX('Checklist'!$F$4:$F$503,_calc!$E$212))=0,"",INDEX('Checklist'!$F$4:$F$503,_calc!$E$212))&amp;". ")&amp;IF(LEN(IF(LEN(INDEX('Checklist'!$J$4:$J$503,_calc!$E$212))=0,"",INDEX('Checklist'!$J$4:$J$503,_calc!$E$212)))=0,"","Evidence: "&amp;IF(LEN(INDEX('Checklist'!$J$4:$J$503,_calc!$E$212))=0,"",INDEX('Checklist'!$J$4:$J$503,_calc!$E$212))&amp;". ")&amp;IF(LEN(IF(LEN(INDEX('Checklist'!$D$4:$D$503,_calc!$E$212))=0,"",INDEX('Checklist'!$D$4:$D$503,_calc!$E$212)))=0,"","Rule example: "&amp;IF(LEN(INDEX('Checklist'!$D$4:$D$503,_calc!$E$212))=0,"",INDEX('Checklist'!$D$4:$D$503,_calc!$E$212))&amp;". ")&amp;IF(LEN(IF(LEN(INDEX('Checklist'!$P$4:$P$503,_calc!$E$212))=0,"",INDEX('Checklist'!$P$4:$P$503,_calc!$E$212)))=0,"",IF(LEN(INDEX('Checklist'!$P$4:$P$503,_calc!$E$212))=0,"",INDEX('Checklist'!$P$4:$P$503,_calc!$E$212)))))</f>
        <v/>
      </c>
      <c r="K210" s="44">
        <f>IF(_calc!$E$212="","",IF(LEN(INDEX('Checklist'!$G$4:$G$503,_calc!$E$212))=0,"",INDEX('Checklist'!$G$4:$G$503,_calc!$E$212)))</f>
        <v/>
      </c>
    </row>
    <row r="211">
      <c r="A211" s="44">
        <f>IF(_calc!$E$213="","","Survey check – "&amp;IF(LEN(INDEX('Checklist'!$C$4:$C$503,_calc!$E$213))=0,"",INDEX('Checklist'!$C$4:$C$503,_calc!$E$213)))</f>
        <v/>
      </c>
      <c r="B211" s="44">
        <f>IF(_calc!$E$213="","",IF(ISNUMBER(INDEX('Checklist'!$L$4:$L$503,_calc!$E$213)),TEXT(INDEX('Checklist'!$L$4:$L$503,_calc!$E$213),"yyyy-mm-dd"),""))</f>
        <v/>
      </c>
      <c r="C211" s="44">
        <f>IF(_calc!$E$213="","","Survey readiness")</f>
        <v/>
      </c>
      <c r="D211" s="44">
        <f>IF(_calc!$E$213="","",IF(ISNUMBER(INDEX('Checklist'!$H$4:$H$503,_calc!$E$213)),TEXT(INDEX('Checklist'!$H$4:$H$503,_calc!$E$213),"yyyy-mm-dd"),""))</f>
        <v/>
      </c>
      <c r="F211" s="44">
        <f>IF(_calc!$E$213="","",TRIM(IF(LEN(IF(LEN(INDEX('Checklist'!$A$4:$A$503,_calc!$E$213))=0,"",INDEX('Checklist'!$A$4:$A$503,_calc!$E$213)))=0,"","Group: "&amp;IF(LEN(INDEX('Checklist'!$A$4:$A$503,_calc!$E$213))=0,"",INDEX('Checklist'!$A$4:$A$503,_calc!$E$213))&amp;". ")&amp;IF(LEN(IF(LEN(INDEX('Checklist'!$E$4:$E$503,_calc!$E$213))=0,"",INDEX('Checklist'!$E$4:$E$503,_calc!$E$213)))=0,"","Owner: "&amp;IF(LEN(INDEX('Checklist'!$E$4:$E$503,_calc!$E$213))=0,"",INDEX('Checklist'!$E$4:$E$503,_calc!$E$213))&amp;". ")&amp;IF(LEN(IF(LEN(INDEX('Checklist'!$F$4:$F$503,_calc!$E$213))=0,"",INDEX('Checklist'!$F$4:$F$503,_calc!$E$213)))=0,"","Backup: "&amp;IF(LEN(INDEX('Checklist'!$F$4:$F$503,_calc!$E$213))=0,"",INDEX('Checklist'!$F$4:$F$503,_calc!$E$213))&amp;". ")&amp;IF(LEN(IF(LEN(INDEX('Checklist'!$J$4:$J$503,_calc!$E$213))=0,"",INDEX('Checklist'!$J$4:$J$503,_calc!$E$213)))=0,"","Evidence: "&amp;IF(LEN(INDEX('Checklist'!$J$4:$J$503,_calc!$E$213))=0,"",INDEX('Checklist'!$J$4:$J$503,_calc!$E$213))&amp;". ")&amp;IF(LEN(IF(LEN(INDEX('Checklist'!$D$4:$D$503,_calc!$E$213))=0,"",INDEX('Checklist'!$D$4:$D$503,_calc!$E$213)))=0,"","Rule example: "&amp;IF(LEN(INDEX('Checklist'!$D$4:$D$503,_calc!$E$213))=0,"",INDEX('Checklist'!$D$4:$D$503,_calc!$E$213))&amp;". ")&amp;IF(LEN(IF(LEN(INDEX('Checklist'!$P$4:$P$503,_calc!$E$213))=0,"",INDEX('Checklist'!$P$4:$P$503,_calc!$E$213)))=0,"",IF(LEN(INDEX('Checklist'!$P$4:$P$503,_calc!$E$213))=0,"",INDEX('Checklist'!$P$4:$P$503,_calc!$E$213)))))</f>
        <v/>
      </c>
      <c r="K211" s="44">
        <f>IF(_calc!$E$213="","",IF(LEN(INDEX('Checklist'!$G$4:$G$503,_calc!$E$213))=0,"",INDEX('Checklist'!$G$4:$G$503,_calc!$E$213)))</f>
        <v/>
      </c>
    </row>
    <row r="212">
      <c r="A212" s="44">
        <f>IF(_calc!$E$214="","","Survey check – "&amp;IF(LEN(INDEX('Checklist'!$C$4:$C$503,_calc!$E$214))=0,"",INDEX('Checklist'!$C$4:$C$503,_calc!$E$214)))</f>
        <v/>
      </c>
      <c r="B212" s="44">
        <f>IF(_calc!$E$214="","",IF(ISNUMBER(INDEX('Checklist'!$L$4:$L$503,_calc!$E$214)),TEXT(INDEX('Checklist'!$L$4:$L$503,_calc!$E$214),"yyyy-mm-dd"),""))</f>
        <v/>
      </c>
      <c r="C212" s="44">
        <f>IF(_calc!$E$214="","","Survey readiness")</f>
        <v/>
      </c>
      <c r="D212" s="44">
        <f>IF(_calc!$E$214="","",IF(ISNUMBER(INDEX('Checklist'!$H$4:$H$503,_calc!$E$214)),TEXT(INDEX('Checklist'!$H$4:$H$503,_calc!$E$214),"yyyy-mm-dd"),""))</f>
        <v/>
      </c>
      <c r="F212" s="44">
        <f>IF(_calc!$E$214="","",TRIM(IF(LEN(IF(LEN(INDEX('Checklist'!$A$4:$A$503,_calc!$E$214))=0,"",INDEX('Checklist'!$A$4:$A$503,_calc!$E$214)))=0,"","Group: "&amp;IF(LEN(INDEX('Checklist'!$A$4:$A$503,_calc!$E$214))=0,"",INDEX('Checklist'!$A$4:$A$503,_calc!$E$214))&amp;". ")&amp;IF(LEN(IF(LEN(INDEX('Checklist'!$E$4:$E$503,_calc!$E$214))=0,"",INDEX('Checklist'!$E$4:$E$503,_calc!$E$214)))=0,"","Owner: "&amp;IF(LEN(INDEX('Checklist'!$E$4:$E$503,_calc!$E$214))=0,"",INDEX('Checklist'!$E$4:$E$503,_calc!$E$214))&amp;". ")&amp;IF(LEN(IF(LEN(INDEX('Checklist'!$F$4:$F$503,_calc!$E$214))=0,"",INDEX('Checklist'!$F$4:$F$503,_calc!$E$214)))=0,"","Backup: "&amp;IF(LEN(INDEX('Checklist'!$F$4:$F$503,_calc!$E$214))=0,"",INDEX('Checklist'!$F$4:$F$503,_calc!$E$214))&amp;". ")&amp;IF(LEN(IF(LEN(INDEX('Checklist'!$J$4:$J$503,_calc!$E$214))=0,"",INDEX('Checklist'!$J$4:$J$503,_calc!$E$214)))=0,"","Evidence: "&amp;IF(LEN(INDEX('Checklist'!$J$4:$J$503,_calc!$E$214))=0,"",INDEX('Checklist'!$J$4:$J$503,_calc!$E$214))&amp;". ")&amp;IF(LEN(IF(LEN(INDEX('Checklist'!$D$4:$D$503,_calc!$E$214))=0,"",INDEX('Checklist'!$D$4:$D$503,_calc!$E$214)))=0,"","Rule example: "&amp;IF(LEN(INDEX('Checklist'!$D$4:$D$503,_calc!$E$214))=0,"",INDEX('Checklist'!$D$4:$D$503,_calc!$E$214))&amp;". ")&amp;IF(LEN(IF(LEN(INDEX('Checklist'!$P$4:$P$503,_calc!$E$214))=0,"",INDEX('Checklist'!$P$4:$P$503,_calc!$E$214)))=0,"",IF(LEN(INDEX('Checklist'!$P$4:$P$503,_calc!$E$214))=0,"",INDEX('Checklist'!$P$4:$P$503,_calc!$E$214)))))</f>
        <v/>
      </c>
      <c r="K212" s="44">
        <f>IF(_calc!$E$214="","",IF(LEN(INDEX('Checklist'!$G$4:$G$503,_calc!$E$214))=0,"",INDEX('Checklist'!$G$4:$G$503,_calc!$E$214)))</f>
        <v/>
      </c>
    </row>
    <row r="213">
      <c r="A213" s="44">
        <f>IF(_calc!$E$215="","","Survey check – "&amp;IF(LEN(INDEX('Checklist'!$C$4:$C$503,_calc!$E$215))=0,"",INDEX('Checklist'!$C$4:$C$503,_calc!$E$215)))</f>
        <v/>
      </c>
      <c r="B213" s="44">
        <f>IF(_calc!$E$215="","",IF(ISNUMBER(INDEX('Checklist'!$L$4:$L$503,_calc!$E$215)),TEXT(INDEX('Checklist'!$L$4:$L$503,_calc!$E$215),"yyyy-mm-dd"),""))</f>
        <v/>
      </c>
      <c r="C213" s="44">
        <f>IF(_calc!$E$215="","","Survey readiness")</f>
        <v/>
      </c>
      <c r="D213" s="44">
        <f>IF(_calc!$E$215="","",IF(ISNUMBER(INDEX('Checklist'!$H$4:$H$503,_calc!$E$215)),TEXT(INDEX('Checklist'!$H$4:$H$503,_calc!$E$215),"yyyy-mm-dd"),""))</f>
        <v/>
      </c>
      <c r="F213" s="44">
        <f>IF(_calc!$E$215="","",TRIM(IF(LEN(IF(LEN(INDEX('Checklist'!$A$4:$A$503,_calc!$E$215))=0,"",INDEX('Checklist'!$A$4:$A$503,_calc!$E$215)))=0,"","Group: "&amp;IF(LEN(INDEX('Checklist'!$A$4:$A$503,_calc!$E$215))=0,"",INDEX('Checklist'!$A$4:$A$503,_calc!$E$215))&amp;". ")&amp;IF(LEN(IF(LEN(INDEX('Checklist'!$E$4:$E$503,_calc!$E$215))=0,"",INDEX('Checklist'!$E$4:$E$503,_calc!$E$215)))=0,"","Owner: "&amp;IF(LEN(INDEX('Checklist'!$E$4:$E$503,_calc!$E$215))=0,"",INDEX('Checklist'!$E$4:$E$503,_calc!$E$215))&amp;". ")&amp;IF(LEN(IF(LEN(INDEX('Checklist'!$F$4:$F$503,_calc!$E$215))=0,"",INDEX('Checklist'!$F$4:$F$503,_calc!$E$215)))=0,"","Backup: "&amp;IF(LEN(INDEX('Checklist'!$F$4:$F$503,_calc!$E$215))=0,"",INDEX('Checklist'!$F$4:$F$503,_calc!$E$215))&amp;". ")&amp;IF(LEN(IF(LEN(INDEX('Checklist'!$J$4:$J$503,_calc!$E$215))=0,"",INDEX('Checklist'!$J$4:$J$503,_calc!$E$215)))=0,"","Evidence: "&amp;IF(LEN(INDEX('Checklist'!$J$4:$J$503,_calc!$E$215))=0,"",INDEX('Checklist'!$J$4:$J$503,_calc!$E$215))&amp;". ")&amp;IF(LEN(IF(LEN(INDEX('Checklist'!$D$4:$D$503,_calc!$E$215))=0,"",INDEX('Checklist'!$D$4:$D$503,_calc!$E$215)))=0,"","Rule example: "&amp;IF(LEN(INDEX('Checklist'!$D$4:$D$503,_calc!$E$215))=0,"",INDEX('Checklist'!$D$4:$D$503,_calc!$E$215))&amp;". ")&amp;IF(LEN(IF(LEN(INDEX('Checklist'!$P$4:$P$503,_calc!$E$215))=0,"",INDEX('Checklist'!$P$4:$P$503,_calc!$E$215)))=0,"",IF(LEN(INDEX('Checklist'!$P$4:$P$503,_calc!$E$215))=0,"",INDEX('Checklist'!$P$4:$P$503,_calc!$E$215)))))</f>
        <v/>
      </c>
      <c r="K213" s="44">
        <f>IF(_calc!$E$215="","",IF(LEN(INDEX('Checklist'!$G$4:$G$503,_calc!$E$215))=0,"",INDEX('Checklist'!$G$4:$G$503,_calc!$E$215)))</f>
        <v/>
      </c>
    </row>
    <row r="214">
      <c r="A214" s="44">
        <f>IF(_calc!$E$216="","","Survey check – "&amp;IF(LEN(INDEX('Checklist'!$C$4:$C$503,_calc!$E$216))=0,"",INDEX('Checklist'!$C$4:$C$503,_calc!$E$216)))</f>
        <v/>
      </c>
      <c r="B214" s="44">
        <f>IF(_calc!$E$216="","",IF(ISNUMBER(INDEX('Checklist'!$L$4:$L$503,_calc!$E$216)),TEXT(INDEX('Checklist'!$L$4:$L$503,_calc!$E$216),"yyyy-mm-dd"),""))</f>
        <v/>
      </c>
      <c r="C214" s="44">
        <f>IF(_calc!$E$216="","","Survey readiness")</f>
        <v/>
      </c>
      <c r="D214" s="44">
        <f>IF(_calc!$E$216="","",IF(ISNUMBER(INDEX('Checklist'!$H$4:$H$503,_calc!$E$216)),TEXT(INDEX('Checklist'!$H$4:$H$503,_calc!$E$216),"yyyy-mm-dd"),""))</f>
        <v/>
      </c>
      <c r="F214" s="44">
        <f>IF(_calc!$E$216="","",TRIM(IF(LEN(IF(LEN(INDEX('Checklist'!$A$4:$A$503,_calc!$E$216))=0,"",INDEX('Checklist'!$A$4:$A$503,_calc!$E$216)))=0,"","Group: "&amp;IF(LEN(INDEX('Checklist'!$A$4:$A$503,_calc!$E$216))=0,"",INDEX('Checklist'!$A$4:$A$503,_calc!$E$216))&amp;". ")&amp;IF(LEN(IF(LEN(INDEX('Checklist'!$E$4:$E$503,_calc!$E$216))=0,"",INDEX('Checklist'!$E$4:$E$503,_calc!$E$216)))=0,"","Owner: "&amp;IF(LEN(INDEX('Checklist'!$E$4:$E$503,_calc!$E$216))=0,"",INDEX('Checklist'!$E$4:$E$503,_calc!$E$216))&amp;". ")&amp;IF(LEN(IF(LEN(INDEX('Checklist'!$F$4:$F$503,_calc!$E$216))=0,"",INDEX('Checklist'!$F$4:$F$503,_calc!$E$216)))=0,"","Backup: "&amp;IF(LEN(INDEX('Checklist'!$F$4:$F$503,_calc!$E$216))=0,"",INDEX('Checklist'!$F$4:$F$503,_calc!$E$216))&amp;". ")&amp;IF(LEN(IF(LEN(INDEX('Checklist'!$J$4:$J$503,_calc!$E$216))=0,"",INDEX('Checklist'!$J$4:$J$503,_calc!$E$216)))=0,"","Evidence: "&amp;IF(LEN(INDEX('Checklist'!$J$4:$J$503,_calc!$E$216))=0,"",INDEX('Checklist'!$J$4:$J$503,_calc!$E$216))&amp;". ")&amp;IF(LEN(IF(LEN(INDEX('Checklist'!$D$4:$D$503,_calc!$E$216))=0,"",INDEX('Checklist'!$D$4:$D$503,_calc!$E$216)))=0,"","Rule example: "&amp;IF(LEN(INDEX('Checklist'!$D$4:$D$503,_calc!$E$216))=0,"",INDEX('Checklist'!$D$4:$D$503,_calc!$E$216))&amp;". ")&amp;IF(LEN(IF(LEN(INDEX('Checklist'!$P$4:$P$503,_calc!$E$216))=0,"",INDEX('Checklist'!$P$4:$P$503,_calc!$E$216)))=0,"",IF(LEN(INDEX('Checklist'!$P$4:$P$503,_calc!$E$216))=0,"",INDEX('Checklist'!$P$4:$P$503,_calc!$E$216)))))</f>
        <v/>
      </c>
      <c r="K214" s="44">
        <f>IF(_calc!$E$216="","",IF(LEN(INDEX('Checklist'!$G$4:$G$503,_calc!$E$216))=0,"",INDEX('Checklist'!$G$4:$G$503,_calc!$E$216)))</f>
        <v/>
      </c>
    </row>
    <row r="215">
      <c r="A215" s="44">
        <f>IF(_calc!$E$217="","","Survey check – "&amp;IF(LEN(INDEX('Checklist'!$C$4:$C$503,_calc!$E$217))=0,"",INDEX('Checklist'!$C$4:$C$503,_calc!$E$217)))</f>
        <v/>
      </c>
      <c r="B215" s="44">
        <f>IF(_calc!$E$217="","",IF(ISNUMBER(INDEX('Checklist'!$L$4:$L$503,_calc!$E$217)),TEXT(INDEX('Checklist'!$L$4:$L$503,_calc!$E$217),"yyyy-mm-dd"),""))</f>
        <v/>
      </c>
      <c r="C215" s="44">
        <f>IF(_calc!$E$217="","","Survey readiness")</f>
        <v/>
      </c>
      <c r="D215" s="44">
        <f>IF(_calc!$E$217="","",IF(ISNUMBER(INDEX('Checklist'!$H$4:$H$503,_calc!$E$217)),TEXT(INDEX('Checklist'!$H$4:$H$503,_calc!$E$217),"yyyy-mm-dd"),""))</f>
        <v/>
      </c>
      <c r="F215" s="44">
        <f>IF(_calc!$E$217="","",TRIM(IF(LEN(IF(LEN(INDEX('Checklist'!$A$4:$A$503,_calc!$E$217))=0,"",INDEX('Checklist'!$A$4:$A$503,_calc!$E$217)))=0,"","Group: "&amp;IF(LEN(INDEX('Checklist'!$A$4:$A$503,_calc!$E$217))=0,"",INDEX('Checklist'!$A$4:$A$503,_calc!$E$217))&amp;". ")&amp;IF(LEN(IF(LEN(INDEX('Checklist'!$E$4:$E$503,_calc!$E$217))=0,"",INDEX('Checklist'!$E$4:$E$503,_calc!$E$217)))=0,"","Owner: "&amp;IF(LEN(INDEX('Checklist'!$E$4:$E$503,_calc!$E$217))=0,"",INDEX('Checklist'!$E$4:$E$503,_calc!$E$217))&amp;". ")&amp;IF(LEN(IF(LEN(INDEX('Checklist'!$F$4:$F$503,_calc!$E$217))=0,"",INDEX('Checklist'!$F$4:$F$503,_calc!$E$217)))=0,"","Backup: "&amp;IF(LEN(INDEX('Checklist'!$F$4:$F$503,_calc!$E$217))=0,"",INDEX('Checklist'!$F$4:$F$503,_calc!$E$217))&amp;". ")&amp;IF(LEN(IF(LEN(INDEX('Checklist'!$J$4:$J$503,_calc!$E$217))=0,"",INDEX('Checklist'!$J$4:$J$503,_calc!$E$217)))=0,"","Evidence: "&amp;IF(LEN(INDEX('Checklist'!$J$4:$J$503,_calc!$E$217))=0,"",INDEX('Checklist'!$J$4:$J$503,_calc!$E$217))&amp;". ")&amp;IF(LEN(IF(LEN(INDEX('Checklist'!$D$4:$D$503,_calc!$E$217))=0,"",INDEX('Checklist'!$D$4:$D$503,_calc!$E$217)))=0,"","Rule example: "&amp;IF(LEN(INDEX('Checklist'!$D$4:$D$503,_calc!$E$217))=0,"",INDEX('Checklist'!$D$4:$D$503,_calc!$E$217))&amp;". ")&amp;IF(LEN(IF(LEN(INDEX('Checklist'!$P$4:$P$503,_calc!$E$217))=0,"",INDEX('Checklist'!$P$4:$P$503,_calc!$E$217)))=0,"",IF(LEN(INDEX('Checklist'!$P$4:$P$503,_calc!$E$217))=0,"",INDEX('Checklist'!$P$4:$P$503,_calc!$E$217)))))</f>
        <v/>
      </c>
      <c r="K215" s="44">
        <f>IF(_calc!$E$217="","",IF(LEN(INDEX('Checklist'!$G$4:$G$503,_calc!$E$217))=0,"",INDEX('Checklist'!$G$4:$G$503,_calc!$E$217)))</f>
        <v/>
      </c>
    </row>
    <row r="216">
      <c r="A216" s="44">
        <f>IF(_calc!$E$218="","","Survey check – "&amp;IF(LEN(INDEX('Checklist'!$C$4:$C$503,_calc!$E$218))=0,"",INDEX('Checklist'!$C$4:$C$503,_calc!$E$218)))</f>
        <v/>
      </c>
      <c r="B216" s="44">
        <f>IF(_calc!$E$218="","",IF(ISNUMBER(INDEX('Checklist'!$L$4:$L$503,_calc!$E$218)),TEXT(INDEX('Checklist'!$L$4:$L$503,_calc!$E$218),"yyyy-mm-dd"),""))</f>
        <v/>
      </c>
      <c r="C216" s="44">
        <f>IF(_calc!$E$218="","","Survey readiness")</f>
        <v/>
      </c>
      <c r="D216" s="44">
        <f>IF(_calc!$E$218="","",IF(ISNUMBER(INDEX('Checklist'!$H$4:$H$503,_calc!$E$218)),TEXT(INDEX('Checklist'!$H$4:$H$503,_calc!$E$218),"yyyy-mm-dd"),""))</f>
        <v/>
      </c>
      <c r="F216" s="44">
        <f>IF(_calc!$E$218="","",TRIM(IF(LEN(IF(LEN(INDEX('Checklist'!$A$4:$A$503,_calc!$E$218))=0,"",INDEX('Checklist'!$A$4:$A$503,_calc!$E$218)))=0,"","Group: "&amp;IF(LEN(INDEX('Checklist'!$A$4:$A$503,_calc!$E$218))=0,"",INDEX('Checklist'!$A$4:$A$503,_calc!$E$218))&amp;". ")&amp;IF(LEN(IF(LEN(INDEX('Checklist'!$E$4:$E$503,_calc!$E$218))=0,"",INDEX('Checklist'!$E$4:$E$503,_calc!$E$218)))=0,"","Owner: "&amp;IF(LEN(INDEX('Checklist'!$E$4:$E$503,_calc!$E$218))=0,"",INDEX('Checklist'!$E$4:$E$503,_calc!$E$218))&amp;". ")&amp;IF(LEN(IF(LEN(INDEX('Checklist'!$F$4:$F$503,_calc!$E$218))=0,"",INDEX('Checklist'!$F$4:$F$503,_calc!$E$218)))=0,"","Backup: "&amp;IF(LEN(INDEX('Checklist'!$F$4:$F$503,_calc!$E$218))=0,"",INDEX('Checklist'!$F$4:$F$503,_calc!$E$218))&amp;". ")&amp;IF(LEN(IF(LEN(INDEX('Checklist'!$J$4:$J$503,_calc!$E$218))=0,"",INDEX('Checklist'!$J$4:$J$503,_calc!$E$218)))=0,"","Evidence: "&amp;IF(LEN(INDEX('Checklist'!$J$4:$J$503,_calc!$E$218))=0,"",INDEX('Checklist'!$J$4:$J$503,_calc!$E$218))&amp;". ")&amp;IF(LEN(IF(LEN(INDEX('Checklist'!$D$4:$D$503,_calc!$E$218))=0,"",INDEX('Checklist'!$D$4:$D$503,_calc!$E$218)))=0,"","Rule example: "&amp;IF(LEN(INDEX('Checklist'!$D$4:$D$503,_calc!$E$218))=0,"",INDEX('Checklist'!$D$4:$D$503,_calc!$E$218))&amp;". ")&amp;IF(LEN(IF(LEN(INDEX('Checklist'!$P$4:$P$503,_calc!$E$218))=0,"",INDEX('Checklist'!$P$4:$P$503,_calc!$E$218)))=0,"",IF(LEN(INDEX('Checklist'!$P$4:$P$503,_calc!$E$218))=0,"",INDEX('Checklist'!$P$4:$P$503,_calc!$E$218)))))</f>
        <v/>
      </c>
      <c r="K216" s="44">
        <f>IF(_calc!$E$218="","",IF(LEN(INDEX('Checklist'!$G$4:$G$503,_calc!$E$218))=0,"",INDEX('Checklist'!$G$4:$G$503,_calc!$E$218)))</f>
        <v/>
      </c>
    </row>
    <row r="217">
      <c r="A217" s="44">
        <f>IF(_calc!$E$219="","","Survey check – "&amp;IF(LEN(INDEX('Checklist'!$C$4:$C$503,_calc!$E$219))=0,"",INDEX('Checklist'!$C$4:$C$503,_calc!$E$219)))</f>
        <v/>
      </c>
      <c r="B217" s="44">
        <f>IF(_calc!$E$219="","",IF(ISNUMBER(INDEX('Checklist'!$L$4:$L$503,_calc!$E$219)),TEXT(INDEX('Checklist'!$L$4:$L$503,_calc!$E$219),"yyyy-mm-dd"),""))</f>
        <v/>
      </c>
      <c r="C217" s="44">
        <f>IF(_calc!$E$219="","","Survey readiness")</f>
        <v/>
      </c>
      <c r="D217" s="44">
        <f>IF(_calc!$E$219="","",IF(ISNUMBER(INDEX('Checklist'!$H$4:$H$503,_calc!$E$219)),TEXT(INDEX('Checklist'!$H$4:$H$503,_calc!$E$219),"yyyy-mm-dd"),""))</f>
        <v/>
      </c>
      <c r="F217" s="44">
        <f>IF(_calc!$E$219="","",TRIM(IF(LEN(IF(LEN(INDEX('Checklist'!$A$4:$A$503,_calc!$E$219))=0,"",INDEX('Checklist'!$A$4:$A$503,_calc!$E$219)))=0,"","Group: "&amp;IF(LEN(INDEX('Checklist'!$A$4:$A$503,_calc!$E$219))=0,"",INDEX('Checklist'!$A$4:$A$503,_calc!$E$219))&amp;". ")&amp;IF(LEN(IF(LEN(INDEX('Checklist'!$E$4:$E$503,_calc!$E$219))=0,"",INDEX('Checklist'!$E$4:$E$503,_calc!$E$219)))=0,"","Owner: "&amp;IF(LEN(INDEX('Checklist'!$E$4:$E$503,_calc!$E$219))=0,"",INDEX('Checklist'!$E$4:$E$503,_calc!$E$219))&amp;". ")&amp;IF(LEN(IF(LEN(INDEX('Checklist'!$F$4:$F$503,_calc!$E$219))=0,"",INDEX('Checklist'!$F$4:$F$503,_calc!$E$219)))=0,"","Backup: "&amp;IF(LEN(INDEX('Checklist'!$F$4:$F$503,_calc!$E$219))=0,"",INDEX('Checklist'!$F$4:$F$503,_calc!$E$219))&amp;". ")&amp;IF(LEN(IF(LEN(INDEX('Checklist'!$J$4:$J$503,_calc!$E$219))=0,"",INDEX('Checklist'!$J$4:$J$503,_calc!$E$219)))=0,"","Evidence: "&amp;IF(LEN(INDEX('Checklist'!$J$4:$J$503,_calc!$E$219))=0,"",INDEX('Checklist'!$J$4:$J$503,_calc!$E$219))&amp;". ")&amp;IF(LEN(IF(LEN(INDEX('Checklist'!$D$4:$D$503,_calc!$E$219))=0,"",INDEX('Checklist'!$D$4:$D$503,_calc!$E$219)))=0,"","Rule example: "&amp;IF(LEN(INDEX('Checklist'!$D$4:$D$503,_calc!$E$219))=0,"",INDEX('Checklist'!$D$4:$D$503,_calc!$E$219))&amp;". ")&amp;IF(LEN(IF(LEN(INDEX('Checklist'!$P$4:$P$503,_calc!$E$219))=0,"",INDEX('Checklist'!$P$4:$P$503,_calc!$E$219)))=0,"",IF(LEN(INDEX('Checklist'!$P$4:$P$503,_calc!$E$219))=0,"",INDEX('Checklist'!$P$4:$P$503,_calc!$E$219)))))</f>
        <v/>
      </c>
      <c r="K217" s="44">
        <f>IF(_calc!$E$219="","",IF(LEN(INDEX('Checklist'!$G$4:$G$503,_calc!$E$219))=0,"",INDEX('Checklist'!$G$4:$G$503,_calc!$E$219)))</f>
        <v/>
      </c>
    </row>
    <row r="218">
      <c r="A218" s="44">
        <f>IF(_calc!$E$220="","","Survey check – "&amp;IF(LEN(INDEX('Checklist'!$C$4:$C$503,_calc!$E$220))=0,"",INDEX('Checklist'!$C$4:$C$503,_calc!$E$220)))</f>
        <v/>
      </c>
      <c r="B218" s="44">
        <f>IF(_calc!$E$220="","",IF(ISNUMBER(INDEX('Checklist'!$L$4:$L$503,_calc!$E$220)),TEXT(INDEX('Checklist'!$L$4:$L$503,_calc!$E$220),"yyyy-mm-dd"),""))</f>
        <v/>
      </c>
      <c r="C218" s="44">
        <f>IF(_calc!$E$220="","","Survey readiness")</f>
        <v/>
      </c>
      <c r="D218" s="44">
        <f>IF(_calc!$E$220="","",IF(ISNUMBER(INDEX('Checklist'!$H$4:$H$503,_calc!$E$220)),TEXT(INDEX('Checklist'!$H$4:$H$503,_calc!$E$220),"yyyy-mm-dd"),""))</f>
        <v/>
      </c>
      <c r="F218" s="44">
        <f>IF(_calc!$E$220="","",TRIM(IF(LEN(IF(LEN(INDEX('Checklist'!$A$4:$A$503,_calc!$E$220))=0,"",INDEX('Checklist'!$A$4:$A$503,_calc!$E$220)))=0,"","Group: "&amp;IF(LEN(INDEX('Checklist'!$A$4:$A$503,_calc!$E$220))=0,"",INDEX('Checklist'!$A$4:$A$503,_calc!$E$220))&amp;". ")&amp;IF(LEN(IF(LEN(INDEX('Checklist'!$E$4:$E$503,_calc!$E$220))=0,"",INDEX('Checklist'!$E$4:$E$503,_calc!$E$220)))=0,"","Owner: "&amp;IF(LEN(INDEX('Checklist'!$E$4:$E$503,_calc!$E$220))=0,"",INDEX('Checklist'!$E$4:$E$503,_calc!$E$220))&amp;". ")&amp;IF(LEN(IF(LEN(INDEX('Checklist'!$F$4:$F$503,_calc!$E$220))=0,"",INDEX('Checklist'!$F$4:$F$503,_calc!$E$220)))=0,"","Backup: "&amp;IF(LEN(INDEX('Checklist'!$F$4:$F$503,_calc!$E$220))=0,"",INDEX('Checklist'!$F$4:$F$503,_calc!$E$220))&amp;". ")&amp;IF(LEN(IF(LEN(INDEX('Checklist'!$J$4:$J$503,_calc!$E$220))=0,"",INDEX('Checklist'!$J$4:$J$503,_calc!$E$220)))=0,"","Evidence: "&amp;IF(LEN(INDEX('Checklist'!$J$4:$J$503,_calc!$E$220))=0,"",INDEX('Checklist'!$J$4:$J$503,_calc!$E$220))&amp;". ")&amp;IF(LEN(IF(LEN(INDEX('Checklist'!$D$4:$D$503,_calc!$E$220))=0,"",INDEX('Checklist'!$D$4:$D$503,_calc!$E$220)))=0,"","Rule example: "&amp;IF(LEN(INDEX('Checklist'!$D$4:$D$503,_calc!$E$220))=0,"",INDEX('Checklist'!$D$4:$D$503,_calc!$E$220))&amp;". ")&amp;IF(LEN(IF(LEN(INDEX('Checklist'!$P$4:$P$503,_calc!$E$220))=0,"",INDEX('Checklist'!$P$4:$P$503,_calc!$E$220)))=0,"",IF(LEN(INDEX('Checklist'!$P$4:$P$503,_calc!$E$220))=0,"",INDEX('Checklist'!$P$4:$P$503,_calc!$E$220)))))</f>
        <v/>
      </c>
      <c r="K218" s="44">
        <f>IF(_calc!$E$220="","",IF(LEN(INDEX('Checklist'!$G$4:$G$503,_calc!$E$220))=0,"",INDEX('Checklist'!$G$4:$G$503,_calc!$E$220)))</f>
        <v/>
      </c>
    </row>
    <row r="219">
      <c r="A219" s="44">
        <f>IF(_calc!$E$221="","","Survey check – "&amp;IF(LEN(INDEX('Checklist'!$C$4:$C$503,_calc!$E$221))=0,"",INDEX('Checklist'!$C$4:$C$503,_calc!$E$221)))</f>
        <v/>
      </c>
      <c r="B219" s="44">
        <f>IF(_calc!$E$221="","",IF(ISNUMBER(INDEX('Checklist'!$L$4:$L$503,_calc!$E$221)),TEXT(INDEX('Checklist'!$L$4:$L$503,_calc!$E$221),"yyyy-mm-dd"),""))</f>
        <v/>
      </c>
      <c r="C219" s="44">
        <f>IF(_calc!$E$221="","","Survey readiness")</f>
        <v/>
      </c>
      <c r="D219" s="44">
        <f>IF(_calc!$E$221="","",IF(ISNUMBER(INDEX('Checklist'!$H$4:$H$503,_calc!$E$221)),TEXT(INDEX('Checklist'!$H$4:$H$503,_calc!$E$221),"yyyy-mm-dd"),""))</f>
        <v/>
      </c>
      <c r="F219" s="44">
        <f>IF(_calc!$E$221="","",TRIM(IF(LEN(IF(LEN(INDEX('Checklist'!$A$4:$A$503,_calc!$E$221))=0,"",INDEX('Checklist'!$A$4:$A$503,_calc!$E$221)))=0,"","Group: "&amp;IF(LEN(INDEX('Checklist'!$A$4:$A$503,_calc!$E$221))=0,"",INDEX('Checklist'!$A$4:$A$503,_calc!$E$221))&amp;". ")&amp;IF(LEN(IF(LEN(INDEX('Checklist'!$E$4:$E$503,_calc!$E$221))=0,"",INDEX('Checklist'!$E$4:$E$503,_calc!$E$221)))=0,"","Owner: "&amp;IF(LEN(INDEX('Checklist'!$E$4:$E$503,_calc!$E$221))=0,"",INDEX('Checklist'!$E$4:$E$503,_calc!$E$221))&amp;". ")&amp;IF(LEN(IF(LEN(INDEX('Checklist'!$F$4:$F$503,_calc!$E$221))=0,"",INDEX('Checklist'!$F$4:$F$503,_calc!$E$221)))=0,"","Backup: "&amp;IF(LEN(INDEX('Checklist'!$F$4:$F$503,_calc!$E$221))=0,"",INDEX('Checklist'!$F$4:$F$503,_calc!$E$221))&amp;". ")&amp;IF(LEN(IF(LEN(INDEX('Checklist'!$J$4:$J$503,_calc!$E$221))=0,"",INDEX('Checklist'!$J$4:$J$503,_calc!$E$221)))=0,"","Evidence: "&amp;IF(LEN(INDEX('Checklist'!$J$4:$J$503,_calc!$E$221))=0,"",INDEX('Checklist'!$J$4:$J$503,_calc!$E$221))&amp;". ")&amp;IF(LEN(IF(LEN(INDEX('Checklist'!$D$4:$D$503,_calc!$E$221))=0,"",INDEX('Checklist'!$D$4:$D$503,_calc!$E$221)))=0,"","Rule example: "&amp;IF(LEN(INDEX('Checklist'!$D$4:$D$503,_calc!$E$221))=0,"",INDEX('Checklist'!$D$4:$D$503,_calc!$E$221))&amp;". ")&amp;IF(LEN(IF(LEN(INDEX('Checklist'!$P$4:$P$503,_calc!$E$221))=0,"",INDEX('Checklist'!$P$4:$P$503,_calc!$E$221)))=0,"",IF(LEN(INDEX('Checklist'!$P$4:$P$503,_calc!$E$221))=0,"",INDEX('Checklist'!$P$4:$P$503,_calc!$E$221)))))</f>
        <v/>
      </c>
      <c r="K219" s="44">
        <f>IF(_calc!$E$221="","",IF(LEN(INDEX('Checklist'!$G$4:$G$503,_calc!$E$221))=0,"",INDEX('Checklist'!$G$4:$G$503,_calc!$E$221)))</f>
        <v/>
      </c>
    </row>
    <row r="220">
      <c r="A220" s="44">
        <f>IF(_calc!$E$222="","","Survey check – "&amp;IF(LEN(INDEX('Checklist'!$C$4:$C$503,_calc!$E$222))=0,"",INDEX('Checklist'!$C$4:$C$503,_calc!$E$222)))</f>
        <v/>
      </c>
      <c r="B220" s="44">
        <f>IF(_calc!$E$222="","",IF(ISNUMBER(INDEX('Checklist'!$L$4:$L$503,_calc!$E$222)),TEXT(INDEX('Checklist'!$L$4:$L$503,_calc!$E$222),"yyyy-mm-dd"),""))</f>
        <v/>
      </c>
      <c r="C220" s="44">
        <f>IF(_calc!$E$222="","","Survey readiness")</f>
        <v/>
      </c>
      <c r="D220" s="44">
        <f>IF(_calc!$E$222="","",IF(ISNUMBER(INDEX('Checklist'!$H$4:$H$503,_calc!$E$222)),TEXT(INDEX('Checklist'!$H$4:$H$503,_calc!$E$222),"yyyy-mm-dd"),""))</f>
        <v/>
      </c>
      <c r="F220" s="44">
        <f>IF(_calc!$E$222="","",TRIM(IF(LEN(IF(LEN(INDEX('Checklist'!$A$4:$A$503,_calc!$E$222))=0,"",INDEX('Checklist'!$A$4:$A$503,_calc!$E$222)))=0,"","Group: "&amp;IF(LEN(INDEX('Checklist'!$A$4:$A$503,_calc!$E$222))=0,"",INDEX('Checklist'!$A$4:$A$503,_calc!$E$222))&amp;". ")&amp;IF(LEN(IF(LEN(INDEX('Checklist'!$E$4:$E$503,_calc!$E$222))=0,"",INDEX('Checklist'!$E$4:$E$503,_calc!$E$222)))=0,"","Owner: "&amp;IF(LEN(INDEX('Checklist'!$E$4:$E$503,_calc!$E$222))=0,"",INDEX('Checklist'!$E$4:$E$503,_calc!$E$222))&amp;". ")&amp;IF(LEN(IF(LEN(INDEX('Checklist'!$F$4:$F$503,_calc!$E$222))=0,"",INDEX('Checklist'!$F$4:$F$503,_calc!$E$222)))=0,"","Backup: "&amp;IF(LEN(INDEX('Checklist'!$F$4:$F$503,_calc!$E$222))=0,"",INDEX('Checklist'!$F$4:$F$503,_calc!$E$222))&amp;". ")&amp;IF(LEN(IF(LEN(INDEX('Checklist'!$J$4:$J$503,_calc!$E$222))=0,"",INDEX('Checklist'!$J$4:$J$503,_calc!$E$222)))=0,"","Evidence: "&amp;IF(LEN(INDEX('Checklist'!$J$4:$J$503,_calc!$E$222))=0,"",INDEX('Checklist'!$J$4:$J$503,_calc!$E$222))&amp;". ")&amp;IF(LEN(IF(LEN(INDEX('Checklist'!$D$4:$D$503,_calc!$E$222))=0,"",INDEX('Checklist'!$D$4:$D$503,_calc!$E$222)))=0,"","Rule example: "&amp;IF(LEN(INDEX('Checklist'!$D$4:$D$503,_calc!$E$222))=0,"",INDEX('Checklist'!$D$4:$D$503,_calc!$E$222))&amp;". ")&amp;IF(LEN(IF(LEN(INDEX('Checklist'!$P$4:$P$503,_calc!$E$222))=0,"",INDEX('Checklist'!$P$4:$P$503,_calc!$E$222)))=0,"",IF(LEN(INDEX('Checklist'!$P$4:$P$503,_calc!$E$222))=0,"",INDEX('Checklist'!$P$4:$P$503,_calc!$E$222)))))</f>
        <v/>
      </c>
      <c r="K220" s="44">
        <f>IF(_calc!$E$222="","",IF(LEN(INDEX('Checklist'!$G$4:$G$503,_calc!$E$222))=0,"",INDEX('Checklist'!$G$4:$G$503,_calc!$E$222)))</f>
        <v/>
      </c>
    </row>
    <row r="221">
      <c r="A221" s="44">
        <f>IF(_calc!$E$223="","","Survey check – "&amp;IF(LEN(INDEX('Checklist'!$C$4:$C$503,_calc!$E$223))=0,"",INDEX('Checklist'!$C$4:$C$503,_calc!$E$223)))</f>
        <v/>
      </c>
      <c r="B221" s="44">
        <f>IF(_calc!$E$223="","",IF(ISNUMBER(INDEX('Checklist'!$L$4:$L$503,_calc!$E$223)),TEXT(INDEX('Checklist'!$L$4:$L$503,_calc!$E$223),"yyyy-mm-dd"),""))</f>
        <v/>
      </c>
      <c r="C221" s="44">
        <f>IF(_calc!$E$223="","","Survey readiness")</f>
        <v/>
      </c>
      <c r="D221" s="44">
        <f>IF(_calc!$E$223="","",IF(ISNUMBER(INDEX('Checklist'!$H$4:$H$503,_calc!$E$223)),TEXT(INDEX('Checklist'!$H$4:$H$503,_calc!$E$223),"yyyy-mm-dd"),""))</f>
        <v/>
      </c>
      <c r="F221" s="44">
        <f>IF(_calc!$E$223="","",TRIM(IF(LEN(IF(LEN(INDEX('Checklist'!$A$4:$A$503,_calc!$E$223))=0,"",INDEX('Checklist'!$A$4:$A$503,_calc!$E$223)))=0,"","Group: "&amp;IF(LEN(INDEX('Checklist'!$A$4:$A$503,_calc!$E$223))=0,"",INDEX('Checklist'!$A$4:$A$503,_calc!$E$223))&amp;". ")&amp;IF(LEN(IF(LEN(INDEX('Checklist'!$E$4:$E$503,_calc!$E$223))=0,"",INDEX('Checklist'!$E$4:$E$503,_calc!$E$223)))=0,"","Owner: "&amp;IF(LEN(INDEX('Checklist'!$E$4:$E$503,_calc!$E$223))=0,"",INDEX('Checklist'!$E$4:$E$503,_calc!$E$223))&amp;". ")&amp;IF(LEN(IF(LEN(INDEX('Checklist'!$F$4:$F$503,_calc!$E$223))=0,"",INDEX('Checklist'!$F$4:$F$503,_calc!$E$223)))=0,"","Backup: "&amp;IF(LEN(INDEX('Checklist'!$F$4:$F$503,_calc!$E$223))=0,"",INDEX('Checklist'!$F$4:$F$503,_calc!$E$223))&amp;". ")&amp;IF(LEN(IF(LEN(INDEX('Checklist'!$J$4:$J$503,_calc!$E$223))=0,"",INDEX('Checklist'!$J$4:$J$503,_calc!$E$223)))=0,"","Evidence: "&amp;IF(LEN(INDEX('Checklist'!$J$4:$J$503,_calc!$E$223))=0,"",INDEX('Checklist'!$J$4:$J$503,_calc!$E$223))&amp;". ")&amp;IF(LEN(IF(LEN(INDEX('Checklist'!$D$4:$D$503,_calc!$E$223))=0,"",INDEX('Checklist'!$D$4:$D$503,_calc!$E$223)))=0,"","Rule example: "&amp;IF(LEN(INDEX('Checklist'!$D$4:$D$503,_calc!$E$223))=0,"",INDEX('Checklist'!$D$4:$D$503,_calc!$E$223))&amp;". ")&amp;IF(LEN(IF(LEN(INDEX('Checklist'!$P$4:$P$503,_calc!$E$223))=0,"",INDEX('Checklist'!$P$4:$P$503,_calc!$E$223)))=0,"",IF(LEN(INDEX('Checklist'!$P$4:$P$503,_calc!$E$223))=0,"",INDEX('Checklist'!$P$4:$P$503,_calc!$E$223)))))</f>
        <v/>
      </c>
      <c r="K221" s="44">
        <f>IF(_calc!$E$223="","",IF(LEN(INDEX('Checklist'!$G$4:$G$503,_calc!$E$223))=0,"",INDEX('Checklist'!$G$4:$G$503,_calc!$E$223)))</f>
        <v/>
      </c>
    </row>
    <row r="222">
      <c r="A222" s="44">
        <f>IF(_calc!$E$224="","","Survey check – "&amp;IF(LEN(INDEX('Checklist'!$C$4:$C$503,_calc!$E$224))=0,"",INDEX('Checklist'!$C$4:$C$503,_calc!$E$224)))</f>
        <v/>
      </c>
      <c r="B222" s="44">
        <f>IF(_calc!$E$224="","",IF(ISNUMBER(INDEX('Checklist'!$L$4:$L$503,_calc!$E$224)),TEXT(INDEX('Checklist'!$L$4:$L$503,_calc!$E$224),"yyyy-mm-dd"),""))</f>
        <v/>
      </c>
      <c r="C222" s="44">
        <f>IF(_calc!$E$224="","","Survey readiness")</f>
        <v/>
      </c>
      <c r="D222" s="44">
        <f>IF(_calc!$E$224="","",IF(ISNUMBER(INDEX('Checklist'!$H$4:$H$503,_calc!$E$224)),TEXT(INDEX('Checklist'!$H$4:$H$503,_calc!$E$224),"yyyy-mm-dd"),""))</f>
        <v/>
      </c>
      <c r="F222" s="44">
        <f>IF(_calc!$E$224="","",TRIM(IF(LEN(IF(LEN(INDEX('Checklist'!$A$4:$A$503,_calc!$E$224))=0,"",INDEX('Checklist'!$A$4:$A$503,_calc!$E$224)))=0,"","Group: "&amp;IF(LEN(INDEX('Checklist'!$A$4:$A$503,_calc!$E$224))=0,"",INDEX('Checklist'!$A$4:$A$503,_calc!$E$224))&amp;". ")&amp;IF(LEN(IF(LEN(INDEX('Checklist'!$E$4:$E$503,_calc!$E$224))=0,"",INDEX('Checklist'!$E$4:$E$503,_calc!$E$224)))=0,"","Owner: "&amp;IF(LEN(INDEX('Checklist'!$E$4:$E$503,_calc!$E$224))=0,"",INDEX('Checklist'!$E$4:$E$503,_calc!$E$224))&amp;". ")&amp;IF(LEN(IF(LEN(INDEX('Checklist'!$F$4:$F$503,_calc!$E$224))=0,"",INDEX('Checklist'!$F$4:$F$503,_calc!$E$224)))=0,"","Backup: "&amp;IF(LEN(INDEX('Checklist'!$F$4:$F$503,_calc!$E$224))=0,"",INDEX('Checklist'!$F$4:$F$503,_calc!$E$224))&amp;". ")&amp;IF(LEN(IF(LEN(INDEX('Checklist'!$J$4:$J$503,_calc!$E$224))=0,"",INDEX('Checklist'!$J$4:$J$503,_calc!$E$224)))=0,"","Evidence: "&amp;IF(LEN(INDEX('Checklist'!$J$4:$J$503,_calc!$E$224))=0,"",INDEX('Checklist'!$J$4:$J$503,_calc!$E$224))&amp;". ")&amp;IF(LEN(IF(LEN(INDEX('Checklist'!$D$4:$D$503,_calc!$E$224))=0,"",INDEX('Checklist'!$D$4:$D$503,_calc!$E$224)))=0,"","Rule example: "&amp;IF(LEN(INDEX('Checklist'!$D$4:$D$503,_calc!$E$224))=0,"",INDEX('Checklist'!$D$4:$D$503,_calc!$E$224))&amp;". ")&amp;IF(LEN(IF(LEN(INDEX('Checklist'!$P$4:$P$503,_calc!$E$224))=0,"",INDEX('Checklist'!$P$4:$P$503,_calc!$E$224)))=0,"",IF(LEN(INDEX('Checklist'!$P$4:$P$503,_calc!$E$224))=0,"",INDEX('Checklist'!$P$4:$P$503,_calc!$E$224)))))</f>
        <v/>
      </c>
      <c r="K222" s="44">
        <f>IF(_calc!$E$224="","",IF(LEN(INDEX('Checklist'!$G$4:$G$503,_calc!$E$224))=0,"",INDEX('Checklist'!$G$4:$G$503,_calc!$E$224)))</f>
        <v/>
      </c>
    </row>
    <row r="223">
      <c r="A223" s="44">
        <f>IF(_calc!$E$225="","","Survey check – "&amp;IF(LEN(INDEX('Checklist'!$C$4:$C$503,_calc!$E$225))=0,"",INDEX('Checklist'!$C$4:$C$503,_calc!$E$225)))</f>
        <v/>
      </c>
      <c r="B223" s="44">
        <f>IF(_calc!$E$225="","",IF(ISNUMBER(INDEX('Checklist'!$L$4:$L$503,_calc!$E$225)),TEXT(INDEX('Checklist'!$L$4:$L$503,_calc!$E$225),"yyyy-mm-dd"),""))</f>
        <v/>
      </c>
      <c r="C223" s="44">
        <f>IF(_calc!$E$225="","","Survey readiness")</f>
        <v/>
      </c>
      <c r="D223" s="44">
        <f>IF(_calc!$E$225="","",IF(ISNUMBER(INDEX('Checklist'!$H$4:$H$503,_calc!$E$225)),TEXT(INDEX('Checklist'!$H$4:$H$503,_calc!$E$225),"yyyy-mm-dd"),""))</f>
        <v/>
      </c>
      <c r="F223" s="44">
        <f>IF(_calc!$E$225="","",TRIM(IF(LEN(IF(LEN(INDEX('Checklist'!$A$4:$A$503,_calc!$E$225))=0,"",INDEX('Checklist'!$A$4:$A$503,_calc!$E$225)))=0,"","Group: "&amp;IF(LEN(INDEX('Checklist'!$A$4:$A$503,_calc!$E$225))=0,"",INDEX('Checklist'!$A$4:$A$503,_calc!$E$225))&amp;". ")&amp;IF(LEN(IF(LEN(INDEX('Checklist'!$E$4:$E$503,_calc!$E$225))=0,"",INDEX('Checklist'!$E$4:$E$503,_calc!$E$225)))=0,"","Owner: "&amp;IF(LEN(INDEX('Checklist'!$E$4:$E$503,_calc!$E$225))=0,"",INDEX('Checklist'!$E$4:$E$503,_calc!$E$225))&amp;". ")&amp;IF(LEN(IF(LEN(INDEX('Checklist'!$F$4:$F$503,_calc!$E$225))=0,"",INDEX('Checklist'!$F$4:$F$503,_calc!$E$225)))=0,"","Backup: "&amp;IF(LEN(INDEX('Checklist'!$F$4:$F$503,_calc!$E$225))=0,"",INDEX('Checklist'!$F$4:$F$503,_calc!$E$225))&amp;". ")&amp;IF(LEN(IF(LEN(INDEX('Checklist'!$J$4:$J$503,_calc!$E$225))=0,"",INDEX('Checklist'!$J$4:$J$503,_calc!$E$225)))=0,"","Evidence: "&amp;IF(LEN(INDEX('Checklist'!$J$4:$J$503,_calc!$E$225))=0,"",INDEX('Checklist'!$J$4:$J$503,_calc!$E$225))&amp;". ")&amp;IF(LEN(IF(LEN(INDEX('Checklist'!$D$4:$D$503,_calc!$E$225))=0,"",INDEX('Checklist'!$D$4:$D$503,_calc!$E$225)))=0,"","Rule example: "&amp;IF(LEN(INDEX('Checklist'!$D$4:$D$503,_calc!$E$225))=0,"",INDEX('Checklist'!$D$4:$D$503,_calc!$E$225))&amp;". ")&amp;IF(LEN(IF(LEN(INDEX('Checklist'!$P$4:$P$503,_calc!$E$225))=0,"",INDEX('Checklist'!$P$4:$P$503,_calc!$E$225)))=0,"",IF(LEN(INDEX('Checklist'!$P$4:$P$503,_calc!$E$225))=0,"",INDEX('Checklist'!$P$4:$P$503,_calc!$E$225)))))</f>
        <v/>
      </c>
      <c r="K223" s="44">
        <f>IF(_calc!$E$225="","",IF(LEN(INDEX('Checklist'!$G$4:$G$503,_calc!$E$225))=0,"",INDEX('Checklist'!$G$4:$G$503,_calc!$E$225)))</f>
        <v/>
      </c>
    </row>
    <row r="224">
      <c r="A224" s="44">
        <f>IF(_calc!$E$226="","","Survey check – "&amp;IF(LEN(INDEX('Checklist'!$C$4:$C$503,_calc!$E$226))=0,"",INDEX('Checklist'!$C$4:$C$503,_calc!$E$226)))</f>
        <v/>
      </c>
      <c r="B224" s="44">
        <f>IF(_calc!$E$226="","",IF(ISNUMBER(INDEX('Checklist'!$L$4:$L$503,_calc!$E$226)),TEXT(INDEX('Checklist'!$L$4:$L$503,_calc!$E$226),"yyyy-mm-dd"),""))</f>
        <v/>
      </c>
      <c r="C224" s="44">
        <f>IF(_calc!$E$226="","","Survey readiness")</f>
        <v/>
      </c>
      <c r="D224" s="44">
        <f>IF(_calc!$E$226="","",IF(ISNUMBER(INDEX('Checklist'!$H$4:$H$503,_calc!$E$226)),TEXT(INDEX('Checklist'!$H$4:$H$503,_calc!$E$226),"yyyy-mm-dd"),""))</f>
        <v/>
      </c>
      <c r="F224" s="44">
        <f>IF(_calc!$E$226="","",TRIM(IF(LEN(IF(LEN(INDEX('Checklist'!$A$4:$A$503,_calc!$E$226))=0,"",INDEX('Checklist'!$A$4:$A$503,_calc!$E$226)))=0,"","Group: "&amp;IF(LEN(INDEX('Checklist'!$A$4:$A$503,_calc!$E$226))=0,"",INDEX('Checklist'!$A$4:$A$503,_calc!$E$226))&amp;". ")&amp;IF(LEN(IF(LEN(INDEX('Checklist'!$E$4:$E$503,_calc!$E$226))=0,"",INDEX('Checklist'!$E$4:$E$503,_calc!$E$226)))=0,"","Owner: "&amp;IF(LEN(INDEX('Checklist'!$E$4:$E$503,_calc!$E$226))=0,"",INDEX('Checklist'!$E$4:$E$503,_calc!$E$226))&amp;". ")&amp;IF(LEN(IF(LEN(INDEX('Checklist'!$F$4:$F$503,_calc!$E$226))=0,"",INDEX('Checklist'!$F$4:$F$503,_calc!$E$226)))=0,"","Backup: "&amp;IF(LEN(INDEX('Checklist'!$F$4:$F$503,_calc!$E$226))=0,"",INDEX('Checklist'!$F$4:$F$503,_calc!$E$226))&amp;". ")&amp;IF(LEN(IF(LEN(INDEX('Checklist'!$J$4:$J$503,_calc!$E$226))=0,"",INDEX('Checklist'!$J$4:$J$503,_calc!$E$226)))=0,"","Evidence: "&amp;IF(LEN(INDEX('Checklist'!$J$4:$J$503,_calc!$E$226))=0,"",INDEX('Checklist'!$J$4:$J$503,_calc!$E$226))&amp;". ")&amp;IF(LEN(IF(LEN(INDEX('Checklist'!$D$4:$D$503,_calc!$E$226))=0,"",INDEX('Checklist'!$D$4:$D$503,_calc!$E$226)))=0,"","Rule example: "&amp;IF(LEN(INDEX('Checklist'!$D$4:$D$503,_calc!$E$226))=0,"",INDEX('Checklist'!$D$4:$D$503,_calc!$E$226))&amp;". ")&amp;IF(LEN(IF(LEN(INDEX('Checklist'!$P$4:$P$503,_calc!$E$226))=0,"",INDEX('Checklist'!$P$4:$P$503,_calc!$E$226)))=0,"",IF(LEN(INDEX('Checklist'!$P$4:$P$503,_calc!$E$226))=0,"",INDEX('Checklist'!$P$4:$P$503,_calc!$E$226)))))</f>
        <v/>
      </c>
      <c r="K224" s="44">
        <f>IF(_calc!$E$226="","",IF(LEN(INDEX('Checklist'!$G$4:$G$503,_calc!$E$226))=0,"",INDEX('Checklist'!$G$4:$G$503,_calc!$E$226)))</f>
        <v/>
      </c>
    </row>
    <row r="225">
      <c r="A225" s="44">
        <f>IF(_calc!$E$227="","","Survey check – "&amp;IF(LEN(INDEX('Checklist'!$C$4:$C$503,_calc!$E$227))=0,"",INDEX('Checklist'!$C$4:$C$503,_calc!$E$227)))</f>
        <v/>
      </c>
      <c r="B225" s="44">
        <f>IF(_calc!$E$227="","",IF(ISNUMBER(INDEX('Checklist'!$L$4:$L$503,_calc!$E$227)),TEXT(INDEX('Checklist'!$L$4:$L$503,_calc!$E$227),"yyyy-mm-dd"),""))</f>
        <v/>
      </c>
      <c r="C225" s="44">
        <f>IF(_calc!$E$227="","","Survey readiness")</f>
        <v/>
      </c>
      <c r="D225" s="44">
        <f>IF(_calc!$E$227="","",IF(ISNUMBER(INDEX('Checklist'!$H$4:$H$503,_calc!$E$227)),TEXT(INDEX('Checklist'!$H$4:$H$503,_calc!$E$227),"yyyy-mm-dd"),""))</f>
        <v/>
      </c>
      <c r="F225" s="44">
        <f>IF(_calc!$E$227="","",TRIM(IF(LEN(IF(LEN(INDEX('Checklist'!$A$4:$A$503,_calc!$E$227))=0,"",INDEX('Checklist'!$A$4:$A$503,_calc!$E$227)))=0,"","Group: "&amp;IF(LEN(INDEX('Checklist'!$A$4:$A$503,_calc!$E$227))=0,"",INDEX('Checklist'!$A$4:$A$503,_calc!$E$227))&amp;". ")&amp;IF(LEN(IF(LEN(INDEX('Checklist'!$E$4:$E$503,_calc!$E$227))=0,"",INDEX('Checklist'!$E$4:$E$503,_calc!$E$227)))=0,"","Owner: "&amp;IF(LEN(INDEX('Checklist'!$E$4:$E$503,_calc!$E$227))=0,"",INDEX('Checklist'!$E$4:$E$503,_calc!$E$227))&amp;". ")&amp;IF(LEN(IF(LEN(INDEX('Checklist'!$F$4:$F$503,_calc!$E$227))=0,"",INDEX('Checklist'!$F$4:$F$503,_calc!$E$227)))=0,"","Backup: "&amp;IF(LEN(INDEX('Checklist'!$F$4:$F$503,_calc!$E$227))=0,"",INDEX('Checklist'!$F$4:$F$503,_calc!$E$227))&amp;". ")&amp;IF(LEN(IF(LEN(INDEX('Checklist'!$J$4:$J$503,_calc!$E$227))=0,"",INDEX('Checklist'!$J$4:$J$503,_calc!$E$227)))=0,"","Evidence: "&amp;IF(LEN(INDEX('Checklist'!$J$4:$J$503,_calc!$E$227))=0,"",INDEX('Checklist'!$J$4:$J$503,_calc!$E$227))&amp;". ")&amp;IF(LEN(IF(LEN(INDEX('Checklist'!$D$4:$D$503,_calc!$E$227))=0,"",INDEX('Checklist'!$D$4:$D$503,_calc!$E$227)))=0,"","Rule example: "&amp;IF(LEN(INDEX('Checklist'!$D$4:$D$503,_calc!$E$227))=0,"",INDEX('Checklist'!$D$4:$D$503,_calc!$E$227))&amp;". ")&amp;IF(LEN(IF(LEN(INDEX('Checklist'!$P$4:$P$503,_calc!$E$227))=0,"",INDEX('Checklist'!$P$4:$P$503,_calc!$E$227)))=0,"",IF(LEN(INDEX('Checklist'!$P$4:$P$503,_calc!$E$227))=0,"",INDEX('Checklist'!$P$4:$P$503,_calc!$E$227)))))</f>
        <v/>
      </c>
      <c r="K225" s="44">
        <f>IF(_calc!$E$227="","",IF(LEN(INDEX('Checklist'!$G$4:$G$503,_calc!$E$227))=0,"",INDEX('Checklist'!$G$4:$G$503,_calc!$E$227)))</f>
        <v/>
      </c>
    </row>
    <row r="226">
      <c r="A226" s="44">
        <f>IF(_calc!$E$228="","","Survey check – "&amp;IF(LEN(INDEX('Checklist'!$C$4:$C$503,_calc!$E$228))=0,"",INDEX('Checklist'!$C$4:$C$503,_calc!$E$228)))</f>
        <v/>
      </c>
      <c r="B226" s="44">
        <f>IF(_calc!$E$228="","",IF(ISNUMBER(INDEX('Checklist'!$L$4:$L$503,_calc!$E$228)),TEXT(INDEX('Checklist'!$L$4:$L$503,_calc!$E$228),"yyyy-mm-dd"),""))</f>
        <v/>
      </c>
      <c r="C226" s="44">
        <f>IF(_calc!$E$228="","","Survey readiness")</f>
        <v/>
      </c>
      <c r="D226" s="44">
        <f>IF(_calc!$E$228="","",IF(ISNUMBER(INDEX('Checklist'!$H$4:$H$503,_calc!$E$228)),TEXT(INDEX('Checklist'!$H$4:$H$503,_calc!$E$228),"yyyy-mm-dd"),""))</f>
        <v/>
      </c>
      <c r="F226" s="44">
        <f>IF(_calc!$E$228="","",TRIM(IF(LEN(IF(LEN(INDEX('Checklist'!$A$4:$A$503,_calc!$E$228))=0,"",INDEX('Checklist'!$A$4:$A$503,_calc!$E$228)))=0,"","Group: "&amp;IF(LEN(INDEX('Checklist'!$A$4:$A$503,_calc!$E$228))=0,"",INDEX('Checklist'!$A$4:$A$503,_calc!$E$228))&amp;". ")&amp;IF(LEN(IF(LEN(INDEX('Checklist'!$E$4:$E$503,_calc!$E$228))=0,"",INDEX('Checklist'!$E$4:$E$503,_calc!$E$228)))=0,"","Owner: "&amp;IF(LEN(INDEX('Checklist'!$E$4:$E$503,_calc!$E$228))=0,"",INDEX('Checklist'!$E$4:$E$503,_calc!$E$228))&amp;". ")&amp;IF(LEN(IF(LEN(INDEX('Checklist'!$F$4:$F$503,_calc!$E$228))=0,"",INDEX('Checklist'!$F$4:$F$503,_calc!$E$228)))=0,"","Backup: "&amp;IF(LEN(INDEX('Checklist'!$F$4:$F$503,_calc!$E$228))=0,"",INDEX('Checklist'!$F$4:$F$503,_calc!$E$228))&amp;". ")&amp;IF(LEN(IF(LEN(INDEX('Checklist'!$J$4:$J$503,_calc!$E$228))=0,"",INDEX('Checklist'!$J$4:$J$503,_calc!$E$228)))=0,"","Evidence: "&amp;IF(LEN(INDEX('Checklist'!$J$4:$J$503,_calc!$E$228))=0,"",INDEX('Checklist'!$J$4:$J$503,_calc!$E$228))&amp;". ")&amp;IF(LEN(IF(LEN(INDEX('Checklist'!$D$4:$D$503,_calc!$E$228))=0,"",INDEX('Checklist'!$D$4:$D$503,_calc!$E$228)))=0,"","Rule example: "&amp;IF(LEN(INDEX('Checklist'!$D$4:$D$503,_calc!$E$228))=0,"",INDEX('Checklist'!$D$4:$D$503,_calc!$E$228))&amp;". ")&amp;IF(LEN(IF(LEN(INDEX('Checklist'!$P$4:$P$503,_calc!$E$228))=0,"",INDEX('Checklist'!$P$4:$P$503,_calc!$E$228)))=0,"",IF(LEN(INDEX('Checklist'!$P$4:$P$503,_calc!$E$228))=0,"",INDEX('Checklist'!$P$4:$P$503,_calc!$E$228)))))</f>
        <v/>
      </c>
      <c r="K226" s="44">
        <f>IF(_calc!$E$228="","",IF(LEN(INDEX('Checklist'!$G$4:$G$503,_calc!$E$228))=0,"",INDEX('Checklist'!$G$4:$G$503,_calc!$E$228)))</f>
        <v/>
      </c>
    </row>
    <row r="227">
      <c r="A227" s="44">
        <f>IF(_calc!$E$229="","","Survey check – "&amp;IF(LEN(INDEX('Checklist'!$C$4:$C$503,_calc!$E$229))=0,"",INDEX('Checklist'!$C$4:$C$503,_calc!$E$229)))</f>
        <v/>
      </c>
      <c r="B227" s="44">
        <f>IF(_calc!$E$229="","",IF(ISNUMBER(INDEX('Checklist'!$L$4:$L$503,_calc!$E$229)),TEXT(INDEX('Checklist'!$L$4:$L$503,_calc!$E$229),"yyyy-mm-dd"),""))</f>
        <v/>
      </c>
      <c r="C227" s="44">
        <f>IF(_calc!$E$229="","","Survey readiness")</f>
        <v/>
      </c>
      <c r="D227" s="44">
        <f>IF(_calc!$E$229="","",IF(ISNUMBER(INDEX('Checklist'!$H$4:$H$503,_calc!$E$229)),TEXT(INDEX('Checklist'!$H$4:$H$503,_calc!$E$229),"yyyy-mm-dd"),""))</f>
        <v/>
      </c>
      <c r="F227" s="44">
        <f>IF(_calc!$E$229="","",TRIM(IF(LEN(IF(LEN(INDEX('Checklist'!$A$4:$A$503,_calc!$E$229))=0,"",INDEX('Checklist'!$A$4:$A$503,_calc!$E$229)))=0,"","Group: "&amp;IF(LEN(INDEX('Checklist'!$A$4:$A$503,_calc!$E$229))=0,"",INDEX('Checklist'!$A$4:$A$503,_calc!$E$229))&amp;". ")&amp;IF(LEN(IF(LEN(INDEX('Checklist'!$E$4:$E$503,_calc!$E$229))=0,"",INDEX('Checklist'!$E$4:$E$503,_calc!$E$229)))=0,"","Owner: "&amp;IF(LEN(INDEX('Checklist'!$E$4:$E$503,_calc!$E$229))=0,"",INDEX('Checklist'!$E$4:$E$503,_calc!$E$229))&amp;". ")&amp;IF(LEN(IF(LEN(INDEX('Checklist'!$F$4:$F$503,_calc!$E$229))=0,"",INDEX('Checklist'!$F$4:$F$503,_calc!$E$229)))=0,"","Backup: "&amp;IF(LEN(INDEX('Checklist'!$F$4:$F$503,_calc!$E$229))=0,"",INDEX('Checklist'!$F$4:$F$503,_calc!$E$229))&amp;". ")&amp;IF(LEN(IF(LEN(INDEX('Checklist'!$J$4:$J$503,_calc!$E$229))=0,"",INDEX('Checklist'!$J$4:$J$503,_calc!$E$229)))=0,"","Evidence: "&amp;IF(LEN(INDEX('Checklist'!$J$4:$J$503,_calc!$E$229))=0,"",INDEX('Checklist'!$J$4:$J$503,_calc!$E$229))&amp;". ")&amp;IF(LEN(IF(LEN(INDEX('Checklist'!$D$4:$D$503,_calc!$E$229))=0,"",INDEX('Checklist'!$D$4:$D$503,_calc!$E$229)))=0,"","Rule example: "&amp;IF(LEN(INDEX('Checklist'!$D$4:$D$503,_calc!$E$229))=0,"",INDEX('Checklist'!$D$4:$D$503,_calc!$E$229))&amp;". ")&amp;IF(LEN(IF(LEN(INDEX('Checklist'!$P$4:$P$503,_calc!$E$229))=0,"",INDEX('Checklist'!$P$4:$P$503,_calc!$E$229)))=0,"",IF(LEN(INDEX('Checklist'!$P$4:$P$503,_calc!$E$229))=0,"",INDEX('Checklist'!$P$4:$P$503,_calc!$E$229)))))</f>
        <v/>
      </c>
      <c r="K227" s="44">
        <f>IF(_calc!$E$229="","",IF(LEN(INDEX('Checklist'!$G$4:$G$503,_calc!$E$229))=0,"",INDEX('Checklist'!$G$4:$G$503,_calc!$E$229)))</f>
        <v/>
      </c>
    </row>
    <row r="228">
      <c r="A228" s="44">
        <f>IF(_calc!$E$230="","","Survey check – "&amp;IF(LEN(INDEX('Checklist'!$C$4:$C$503,_calc!$E$230))=0,"",INDEX('Checklist'!$C$4:$C$503,_calc!$E$230)))</f>
        <v/>
      </c>
      <c r="B228" s="44">
        <f>IF(_calc!$E$230="","",IF(ISNUMBER(INDEX('Checklist'!$L$4:$L$503,_calc!$E$230)),TEXT(INDEX('Checklist'!$L$4:$L$503,_calc!$E$230),"yyyy-mm-dd"),""))</f>
        <v/>
      </c>
      <c r="C228" s="44">
        <f>IF(_calc!$E$230="","","Survey readiness")</f>
        <v/>
      </c>
      <c r="D228" s="44">
        <f>IF(_calc!$E$230="","",IF(ISNUMBER(INDEX('Checklist'!$H$4:$H$503,_calc!$E$230)),TEXT(INDEX('Checklist'!$H$4:$H$503,_calc!$E$230),"yyyy-mm-dd"),""))</f>
        <v/>
      </c>
      <c r="F228" s="44">
        <f>IF(_calc!$E$230="","",TRIM(IF(LEN(IF(LEN(INDEX('Checklist'!$A$4:$A$503,_calc!$E$230))=0,"",INDEX('Checklist'!$A$4:$A$503,_calc!$E$230)))=0,"","Group: "&amp;IF(LEN(INDEX('Checklist'!$A$4:$A$503,_calc!$E$230))=0,"",INDEX('Checklist'!$A$4:$A$503,_calc!$E$230))&amp;". ")&amp;IF(LEN(IF(LEN(INDEX('Checklist'!$E$4:$E$503,_calc!$E$230))=0,"",INDEX('Checklist'!$E$4:$E$503,_calc!$E$230)))=0,"","Owner: "&amp;IF(LEN(INDEX('Checklist'!$E$4:$E$503,_calc!$E$230))=0,"",INDEX('Checklist'!$E$4:$E$503,_calc!$E$230))&amp;". ")&amp;IF(LEN(IF(LEN(INDEX('Checklist'!$F$4:$F$503,_calc!$E$230))=0,"",INDEX('Checklist'!$F$4:$F$503,_calc!$E$230)))=0,"","Backup: "&amp;IF(LEN(INDEX('Checklist'!$F$4:$F$503,_calc!$E$230))=0,"",INDEX('Checklist'!$F$4:$F$503,_calc!$E$230))&amp;". ")&amp;IF(LEN(IF(LEN(INDEX('Checklist'!$J$4:$J$503,_calc!$E$230))=0,"",INDEX('Checklist'!$J$4:$J$503,_calc!$E$230)))=0,"","Evidence: "&amp;IF(LEN(INDEX('Checklist'!$J$4:$J$503,_calc!$E$230))=0,"",INDEX('Checklist'!$J$4:$J$503,_calc!$E$230))&amp;". ")&amp;IF(LEN(IF(LEN(INDEX('Checklist'!$D$4:$D$503,_calc!$E$230))=0,"",INDEX('Checklist'!$D$4:$D$503,_calc!$E$230)))=0,"","Rule example: "&amp;IF(LEN(INDEX('Checklist'!$D$4:$D$503,_calc!$E$230))=0,"",INDEX('Checklist'!$D$4:$D$503,_calc!$E$230))&amp;". ")&amp;IF(LEN(IF(LEN(INDEX('Checklist'!$P$4:$P$503,_calc!$E$230))=0,"",INDEX('Checklist'!$P$4:$P$503,_calc!$E$230)))=0,"",IF(LEN(INDEX('Checklist'!$P$4:$P$503,_calc!$E$230))=0,"",INDEX('Checklist'!$P$4:$P$503,_calc!$E$230)))))</f>
        <v/>
      </c>
      <c r="K228" s="44">
        <f>IF(_calc!$E$230="","",IF(LEN(INDEX('Checklist'!$G$4:$G$503,_calc!$E$230))=0,"",INDEX('Checklist'!$G$4:$G$503,_calc!$E$230)))</f>
        <v/>
      </c>
    </row>
    <row r="229">
      <c r="A229" s="44">
        <f>IF(_calc!$E$231="","","Survey check – "&amp;IF(LEN(INDEX('Checklist'!$C$4:$C$503,_calc!$E$231))=0,"",INDEX('Checklist'!$C$4:$C$503,_calc!$E$231)))</f>
        <v/>
      </c>
      <c r="B229" s="44">
        <f>IF(_calc!$E$231="","",IF(ISNUMBER(INDEX('Checklist'!$L$4:$L$503,_calc!$E$231)),TEXT(INDEX('Checklist'!$L$4:$L$503,_calc!$E$231),"yyyy-mm-dd"),""))</f>
        <v/>
      </c>
      <c r="C229" s="44">
        <f>IF(_calc!$E$231="","","Survey readiness")</f>
        <v/>
      </c>
      <c r="D229" s="44">
        <f>IF(_calc!$E$231="","",IF(ISNUMBER(INDEX('Checklist'!$H$4:$H$503,_calc!$E$231)),TEXT(INDEX('Checklist'!$H$4:$H$503,_calc!$E$231),"yyyy-mm-dd"),""))</f>
        <v/>
      </c>
      <c r="F229" s="44">
        <f>IF(_calc!$E$231="","",TRIM(IF(LEN(IF(LEN(INDEX('Checklist'!$A$4:$A$503,_calc!$E$231))=0,"",INDEX('Checklist'!$A$4:$A$503,_calc!$E$231)))=0,"","Group: "&amp;IF(LEN(INDEX('Checklist'!$A$4:$A$503,_calc!$E$231))=0,"",INDEX('Checklist'!$A$4:$A$503,_calc!$E$231))&amp;". ")&amp;IF(LEN(IF(LEN(INDEX('Checklist'!$E$4:$E$503,_calc!$E$231))=0,"",INDEX('Checklist'!$E$4:$E$503,_calc!$E$231)))=0,"","Owner: "&amp;IF(LEN(INDEX('Checklist'!$E$4:$E$503,_calc!$E$231))=0,"",INDEX('Checklist'!$E$4:$E$503,_calc!$E$231))&amp;". ")&amp;IF(LEN(IF(LEN(INDEX('Checklist'!$F$4:$F$503,_calc!$E$231))=0,"",INDEX('Checklist'!$F$4:$F$503,_calc!$E$231)))=0,"","Backup: "&amp;IF(LEN(INDEX('Checklist'!$F$4:$F$503,_calc!$E$231))=0,"",INDEX('Checklist'!$F$4:$F$503,_calc!$E$231))&amp;". ")&amp;IF(LEN(IF(LEN(INDEX('Checklist'!$J$4:$J$503,_calc!$E$231))=0,"",INDEX('Checklist'!$J$4:$J$503,_calc!$E$231)))=0,"","Evidence: "&amp;IF(LEN(INDEX('Checklist'!$J$4:$J$503,_calc!$E$231))=0,"",INDEX('Checklist'!$J$4:$J$503,_calc!$E$231))&amp;". ")&amp;IF(LEN(IF(LEN(INDEX('Checklist'!$D$4:$D$503,_calc!$E$231))=0,"",INDEX('Checklist'!$D$4:$D$503,_calc!$E$231)))=0,"","Rule example: "&amp;IF(LEN(INDEX('Checklist'!$D$4:$D$503,_calc!$E$231))=0,"",INDEX('Checklist'!$D$4:$D$503,_calc!$E$231))&amp;". ")&amp;IF(LEN(IF(LEN(INDEX('Checklist'!$P$4:$P$503,_calc!$E$231))=0,"",INDEX('Checklist'!$P$4:$P$503,_calc!$E$231)))=0,"",IF(LEN(INDEX('Checklist'!$P$4:$P$503,_calc!$E$231))=0,"",INDEX('Checklist'!$P$4:$P$503,_calc!$E$231)))))</f>
        <v/>
      </c>
      <c r="K229" s="44">
        <f>IF(_calc!$E$231="","",IF(LEN(INDEX('Checklist'!$G$4:$G$503,_calc!$E$231))=0,"",INDEX('Checklist'!$G$4:$G$503,_calc!$E$231)))</f>
        <v/>
      </c>
    </row>
    <row r="230">
      <c r="A230" s="44">
        <f>IF(_calc!$E$232="","","Survey check – "&amp;IF(LEN(INDEX('Checklist'!$C$4:$C$503,_calc!$E$232))=0,"",INDEX('Checklist'!$C$4:$C$503,_calc!$E$232)))</f>
        <v/>
      </c>
      <c r="B230" s="44">
        <f>IF(_calc!$E$232="","",IF(ISNUMBER(INDEX('Checklist'!$L$4:$L$503,_calc!$E$232)),TEXT(INDEX('Checklist'!$L$4:$L$503,_calc!$E$232),"yyyy-mm-dd"),""))</f>
        <v/>
      </c>
      <c r="C230" s="44">
        <f>IF(_calc!$E$232="","","Survey readiness")</f>
        <v/>
      </c>
      <c r="D230" s="44">
        <f>IF(_calc!$E$232="","",IF(ISNUMBER(INDEX('Checklist'!$H$4:$H$503,_calc!$E$232)),TEXT(INDEX('Checklist'!$H$4:$H$503,_calc!$E$232),"yyyy-mm-dd"),""))</f>
        <v/>
      </c>
      <c r="F230" s="44">
        <f>IF(_calc!$E$232="","",TRIM(IF(LEN(IF(LEN(INDEX('Checklist'!$A$4:$A$503,_calc!$E$232))=0,"",INDEX('Checklist'!$A$4:$A$503,_calc!$E$232)))=0,"","Group: "&amp;IF(LEN(INDEX('Checklist'!$A$4:$A$503,_calc!$E$232))=0,"",INDEX('Checklist'!$A$4:$A$503,_calc!$E$232))&amp;". ")&amp;IF(LEN(IF(LEN(INDEX('Checklist'!$E$4:$E$503,_calc!$E$232))=0,"",INDEX('Checklist'!$E$4:$E$503,_calc!$E$232)))=0,"","Owner: "&amp;IF(LEN(INDEX('Checklist'!$E$4:$E$503,_calc!$E$232))=0,"",INDEX('Checklist'!$E$4:$E$503,_calc!$E$232))&amp;". ")&amp;IF(LEN(IF(LEN(INDEX('Checklist'!$F$4:$F$503,_calc!$E$232))=0,"",INDEX('Checklist'!$F$4:$F$503,_calc!$E$232)))=0,"","Backup: "&amp;IF(LEN(INDEX('Checklist'!$F$4:$F$503,_calc!$E$232))=0,"",INDEX('Checklist'!$F$4:$F$503,_calc!$E$232))&amp;". ")&amp;IF(LEN(IF(LEN(INDEX('Checklist'!$J$4:$J$503,_calc!$E$232))=0,"",INDEX('Checklist'!$J$4:$J$503,_calc!$E$232)))=0,"","Evidence: "&amp;IF(LEN(INDEX('Checklist'!$J$4:$J$503,_calc!$E$232))=0,"",INDEX('Checklist'!$J$4:$J$503,_calc!$E$232))&amp;". ")&amp;IF(LEN(IF(LEN(INDEX('Checklist'!$D$4:$D$503,_calc!$E$232))=0,"",INDEX('Checklist'!$D$4:$D$503,_calc!$E$232)))=0,"","Rule example: "&amp;IF(LEN(INDEX('Checklist'!$D$4:$D$503,_calc!$E$232))=0,"",INDEX('Checklist'!$D$4:$D$503,_calc!$E$232))&amp;". ")&amp;IF(LEN(IF(LEN(INDEX('Checklist'!$P$4:$P$503,_calc!$E$232))=0,"",INDEX('Checklist'!$P$4:$P$503,_calc!$E$232)))=0,"",IF(LEN(INDEX('Checklist'!$P$4:$P$503,_calc!$E$232))=0,"",INDEX('Checklist'!$P$4:$P$503,_calc!$E$232)))))</f>
        <v/>
      </c>
      <c r="K230" s="44">
        <f>IF(_calc!$E$232="","",IF(LEN(INDEX('Checklist'!$G$4:$G$503,_calc!$E$232))=0,"",INDEX('Checklist'!$G$4:$G$503,_calc!$E$232)))</f>
        <v/>
      </c>
    </row>
    <row r="231">
      <c r="A231" s="44">
        <f>IF(_calc!$E$233="","","Survey check – "&amp;IF(LEN(INDEX('Checklist'!$C$4:$C$503,_calc!$E$233))=0,"",INDEX('Checklist'!$C$4:$C$503,_calc!$E$233)))</f>
        <v/>
      </c>
      <c r="B231" s="44">
        <f>IF(_calc!$E$233="","",IF(ISNUMBER(INDEX('Checklist'!$L$4:$L$503,_calc!$E$233)),TEXT(INDEX('Checklist'!$L$4:$L$503,_calc!$E$233),"yyyy-mm-dd"),""))</f>
        <v/>
      </c>
      <c r="C231" s="44">
        <f>IF(_calc!$E$233="","","Survey readiness")</f>
        <v/>
      </c>
      <c r="D231" s="44">
        <f>IF(_calc!$E$233="","",IF(ISNUMBER(INDEX('Checklist'!$H$4:$H$503,_calc!$E$233)),TEXT(INDEX('Checklist'!$H$4:$H$503,_calc!$E$233),"yyyy-mm-dd"),""))</f>
        <v/>
      </c>
      <c r="F231" s="44">
        <f>IF(_calc!$E$233="","",TRIM(IF(LEN(IF(LEN(INDEX('Checklist'!$A$4:$A$503,_calc!$E$233))=0,"",INDEX('Checklist'!$A$4:$A$503,_calc!$E$233)))=0,"","Group: "&amp;IF(LEN(INDEX('Checklist'!$A$4:$A$503,_calc!$E$233))=0,"",INDEX('Checklist'!$A$4:$A$503,_calc!$E$233))&amp;". ")&amp;IF(LEN(IF(LEN(INDEX('Checklist'!$E$4:$E$503,_calc!$E$233))=0,"",INDEX('Checklist'!$E$4:$E$503,_calc!$E$233)))=0,"","Owner: "&amp;IF(LEN(INDEX('Checklist'!$E$4:$E$503,_calc!$E$233))=0,"",INDEX('Checklist'!$E$4:$E$503,_calc!$E$233))&amp;". ")&amp;IF(LEN(IF(LEN(INDEX('Checklist'!$F$4:$F$503,_calc!$E$233))=0,"",INDEX('Checklist'!$F$4:$F$503,_calc!$E$233)))=0,"","Backup: "&amp;IF(LEN(INDEX('Checklist'!$F$4:$F$503,_calc!$E$233))=0,"",INDEX('Checklist'!$F$4:$F$503,_calc!$E$233))&amp;". ")&amp;IF(LEN(IF(LEN(INDEX('Checklist'!$J$4:$J$503,_calc!$E$233))=0,"",INDEX('Checklist'!$J$4:$J$503,_calc!$E$233)))=0,"","Evidence: "&amp;IF(LEN(INDEX('Checklist'!$J$4:$J$503,_calc!$E$233))=0,"",INDEX('Checklist'!$J$4:$J$503,_calc!$E$233))&amp;". ")&amp;IF(LEN(IF(LEN(INDEX('Checklist'!$D$4:$D$503,_calc!$E$233))=0,"",INDEX('Checklist'!$D$4:$D$503,_calc!$E$233)))=0,"","Rule example: "&amp;IF(LEN(INDEX('Checklist'!$D$4:$D$503,_calc!$E$233))=0,"",INDEX('Checklist'!$D$4:$D$503,_calc!$E$233))&amp;". ")&amp;IF(LEN(IF(LEN(INDEX('Checklist'!$P$4:$P$503,_calc!$E$233))=0,"",INDEX('Checklist'!$P$4:$P$503,_calc!$E$233)))=0,"",IF(LEN(INDEX('Checklist'!$P$4:$P$503,_calc!$E$233))=0,"",INDEX('Checklist'!$P$4:$P$503,_calc!$E$233)))))</f>
        <v/>
      </c>
      <c r="K231" s="44">
        <f>IF(_calc!$E$233="","",IF(LEN(INDEX('Checklist'!$G$4:$G$503,_calc!$E$233))=0,"",INDEX('Checklist'!$G$4:$G$503,_calc!$E$233)))</f>
        <v/>
      </c>
    </row>
    <row r="232">
      <c r="A232" s="44">
        <f>IF(_calc!$E$234="","","Survey check – "&amp;IF(LEN(INDEX('Checklist'!$C$4:$C$503,_calc!$E$234))=0,"",INDEX('Checklist'!$C$4:$C$503,_calc!$E$234)))</f>
        <v/>
      </c>
      <c r="B232" s="44">
        <f>IF(_calc!$E$234="","",IF(ISNUMBER(INDEX('Checklist'!$L$4:$L$503,_calc!$E$234)),TEXT(INDEX('Checklist'!$L$4:$L$503,_calc!$E$234),"yyyy-mm-dd"),""))</f>
        <v/>
      </c>
      <c r="C232" s="44">
        <f>IF(_calc!$E$234="","","Survey readiness")</f>
        <v/>
      </c>
      <c r="D232" s="44">
        <f>IF(_calc!$E$234="","",IF(ISNUMBER(INDEX('Checklist'!$H$4:$H$503,_calc!$E$234)),TEXT(INDEX('Checklist'!$H$4:$H$503,_calc!$E$234),"yyyy-mm-dd"),""))</f>
        <v/>
      </c>
      <c r="F232" s="44">
        <f>IF(_calc!$E$234="","",TRIM(IF(LEN(IF(LEN(INDEX('Checklist'!$A$4:$A$503,_calc!$E$234))=0,"",INDEX('Checklist'!$A$4:$A$503,_calc!$E$234)))=0,"","Group: "&amp;IF(LEN(INDEX('Checklist'!$A$4:$A$503,_calc!$E$234))=0,"",INDEX('Checklist'!$A$4:$A$503,_calc!$E$234))&amp;". ")&amp;IF(LEN(IF(LEN(INDEX('Checklist'!$E$4:$E$503,_calc!$E$234))=0,"",INDEX('Checklist'!$E$4:$E$503,_calc!$E$234)))=0,"","Owner: "&amp;IF(LEN(INDEX('Checklist'!$E$4:$E$503,_calc!$E$234))=0,"",INDEX('Checklist'!$E$4:$E$503,_calc!$E$234))&amp;". ")&amp;IF(LEN(IF(LEN(INDEX('Checklist'!$F$4:$F$503,_calc!$E$234))=0,"",INDEX('Checklist'!$F$4:$F$503,_calc!$E$234)))=0,"","Backup: "&amp;IF(LEN(INDEX('Checklist'!$F$4:$F$503,_calc!$E$234))=0,"",INDEX('Checklist'!$F$4:$F$503,_calc!$E$234))&amp;". ")&amp;IF(LEN(IF(LEN(INDEX('Checklist'!$J$4:$J$503,_calc!$E$234))=0,"",INDEX('Checklist'!$J$4:$J$503,_calc!$E$234)))=0,"","Evidence: "&amp;IF(LEN(INDEX('Checklist'!$J$4:$J$503,_calc!$E$234))=0,"",INDEX('Checklist'!$J$4:$J$503,_calc!$E$234))&amp;". ")&amp;IF(LEN(IF(LEN(INDEX('Checklist'!$D$4:$D$503,_calc!$E$234))=0,"",INDEX('Checklist'!$D$4:$D$503,_calc!$E$234)))=0,"","Rule example: "&amp;IF(LEN(INDEX('Checklist'!$D$4:$D$503,_calc!$E$234))=0,"",INDEX('Checklist'!$D$4:$D$503,_calc!$E$234))&amp;". ")&amp;IF(LEN(IF(LEN(INDEX('Checklist'!$P$4:$P$503,_calc!$E$234))=0,"",INDEX('Checklist'!$P$4:$P$503,_calc!$E$234)))=0,"",IF(LEN(INDEX('Checklist'!$P$4:$P$503,_calc!$E$234))=0,"",INDEX('Checklist'!$P$4:$P$503,_calc!$E$234)))))</f>
        <v/>
      </c>
      <c r="K232" s="44">
        <f>IF(_calc!$E$234="","",IF(LEN(INDEX('Checklist'!$G$4:$G$503,_calc!$E$234))=0,"",INDEX('Checklist'!$G$4:$G$503,_calc!$E$234)))</f>
        <v/>
      </c>
    </row>
    <row r="233">
      <c r="A233" s="44">
        <f>IF(_calc!$E$235="","","Survey check – "&amp;IF(LEN(INDEX('Checklist'!$C$4:$C$503,_calc!$E$235))=0,"",INDEX('Checklist'!$C$4:$C$503,_calc!$E$235)))</f>
        <v/>
      </c>
      <c r="B233" s="44">
        <f>IF(_calc!$E$235="","",IF(ISNUMBER(INDEX('Checklist'!$L$4:$L$503,_calc!$E$235)),TEXT(INDEX('Checklist'!$L$4:$L$503,_calc!$E$235),"yyyy-mm-dd"),""))</f>
        <v/>
      </c>
      <c r="C233" s="44">
        <f>IF(_calc!$E$235="","","Survey readiness")</f>
        <v/>
      </c>
      <c r="D233" s="44">
        <f>IF(_calc!$E$235="","",IF(ISNUMBER(INDEX('Checklist'!$H$4:$H$503,_calc!$E$235)),TEXT(INDEX('Checklist'!$H$4:$H$503,_calc!$E$235),"yyyy-mm-dd"),""))</f>
        <v/>
      </c>
      <c r="F233" s="44">
        <f>IF(_calc!$E$235="","",TRIM(IF(LEN(IF(LEN(INDEX('Checklist'!$A$4:$A$503,_calc!$E$235))=0,"",INDEX('Checklist'!$A$4:$A$503,_calc!$E$235)))=0,"","Group: "&amp;IF(LEN(INDEX('Checklist'!$A$4:$A$503,_calc!$E$235))=0,"",INDEX('Checklist'!$A$4:$A$503,_calc!$E$235))&amp;". ")&amp;IF(LEN(IF(LEN(INDEX('Checklist'!$E$4:$E$503,_calc!$E$235))=0,"",INDEX('Checklist'!$E$4:$E$503,_calc!$E$235)))=0,"","Owner: "&amp;IF(LEN(INDEX('Checklist'!$E$4:$E$503,_calc!$E$235))=0,"",INDEX('Checklist'!$E$4:$E$503,_calc!$E$235))&amp;". ")&amp;IF(LEN(IF(LEN(INDEX('Checklist'!$F$4:$F$503,_calc!$E$235))=0,"",INDEX('Checklist'!$F$4:$F$503,_calc!$E$235)))=0,"","Backup: "&amp;IF(LEN(INDEX('Checklist'!$F$4:$F$503,_calc!$E$235))=0,"",INDEX('Checklist'!$F$4:$F$503,_calc!$E$235))&amp;". ")&amp;IF(LEN(IF(LEN(INDEX('Checklist'!$J$4:$J$503,_calc!$E$235))=0,"",INDEX('Checklist'!$J$4:$J$503,_calc!$E$235)))=0,"","Evidence: "&amp;IF(LEN(INDEX('Checklist'!$J$4:$J$503,_calc!$E$235))=0,"",INDEX('Checklist'!$J$4:$J$503,_calc!$E$235))&amp;". ")&amp;IF(LEN(IF(LEN(INDEX('Checklist'!$D$4:$D$503,_calc!$E$235))=0,"",INDEX('Checklist'!$D$4:$D$503,_calc!$E$235)))=0,"","Rule example: "&amp;IF(LEN(INDEX('Checklist'!$D$4:$D$503,_calc!$E$235))=0,"",INDEX('Checklist'!$D$4:$D$503,_calc!$E$235))&amp;". ")&amp;IF(LEN(IF(LEN(INDEX('Checklist'!$P$4:$P$503,_calc!$E$235))=0,"",INDEX('Checklist'!$P$4:$P$503,_calc!$E$235)))=0,"",IF(LEN(INDEX('Checklist'!$P$4:$P$503,_calc!$E$235))=0,"",INDEX('Checklist'!$P$4:$P$503,_calc!$E$235)))))</f>
        <v/>
      </c>
      <c r="K233" s="44">
        <f>IF(_calc!$E$235="","",IF(LEN(INDEX('Checklist'!$G$4:$G$503,_calc!$E$235))=0,"",INDEX('Checklist'!$G$4:$G$503,_calc!$E$235)))</f>
        <v/>
      </c>
    </row>
    <row r="234">
      <c r="A234" s="44">
        <f>IF(_calc!$E$236="","","Survey check – "&amp;IF(LEN(INDEX('Checklist'!$C$4:$C$503,_calc!$E$236))=0,"",INDEX('Checklist'!$C$4:$C$503,_calc!$E$236)))</f>
        <v/>
      </c>
      <c r="B234" s="44">
        <f>IF(_calc!$E$236="","",IF(ISNUMBER(INDEX('Checklist'!$L$4:$L$503,_calc!$E$236)),TEXT(INDEX('Checklist'!$L$4:$L$503,_calc!$E$236),"yyyy-mm-dd"),""))</f>
        <v/>
      </c>
      <c r="C234" s="44">
        <f>IF(_calc!$E$236="","","Survey readiness")</f>
        <v/>
      </c>
      <c r="D234" s="44">
        <f>IF(_calc!$E$236="","",IF(ISNUMBER(INDEX('Checklist'!$H$4:$H$503,_calc!$E$236)),TEXT(INDEX('Checklist'!$H$4:$H$503,_calc!$E$236),"yyyy-mm-dd"),""))</f>
        <v/>
      </c>
      <c r="F234" s="44">
        <f>IF(_calc!$E$236="","",TRIM(IF(LEN(IF(LEN(INDEX('Checklist'!$A$4:$A$503,_calc!$E$236))=0,"",INDEX('Checklist'!$A$4:$A$503,_calc!$E$236)))=0,"","Group: "&amp;IF(LEN(INDEX('Checklist'!$A$4:$A$503,_calc!$E$236))=0,"",INDEX('Checklist'!$A$4:$A$503,_calc!$E$236))&amp;". ")&amp;IF(LEN(IF(LEN(INDEX('Checklist'!$E$4:$E$503,_calc!$E$236))=0,"",INDEX('Checklist'!$E$4:$E$503,_calc!$E$236)))=0,"","Owner: "&amp;IF(LEN(INDEX('Checklist'!$E$4:$E$503,_calc!$E$236))=0,"",INDEX('Checklist'!$E$4:$E$503,_calc!$E$236))&amp;". ")&amp;IF(LEN(IF(LEN(INDEX('Checklist'!$F$4:$F$503,_calc!$E$236))=0,"",INDEX('Checklist'!$F$4:$F$503,_calc!$E$236)))=0,"","Backup: "&amp;IF(LEN(INDEX('Checklist'!$F$4:$F$503,_calc!$E$236))=0,"",INDEX('Checklist'!$F$4:$F$503,_calc!$E$236))&amp;". ")&amp;IF(LEN(IF(LEN(INDEX('Checklist'!$J$4:$J$503,_calc!$E$236))=0,"",INDEX('Checklist'!$J$4:$J$503,_calc!$E$236)))=0,"","Evidence: "&amp;IF(LEN(INDEX('Checklist'!$J$4:$J$503,_calc!$E$236))=0,"",INDEX('Checklist'!$J$4:$J$503,_calc!$E$236))&amp;". ")&amp;IF(LEN(IF(LEN(INDEX('Checklist'!$D$4:$D$503,_calc!$E$236))=0,"",INDEX('Checklist'!$D$4:$D$503,_calc!$E$236)))=0,"","Rule example: "&amp;IF(LEN(INDEX('Checklist'!$D$4:$D$503,_calc!$E$236))=0,"",INDEX('Checklist'!$D$4:$D$503,_calc!$E$236))&amp;". ")&amp;IF(LEN(IF(LEN(INDEX('Checklist'!$P$4:$P$503,_calc!$E$236))=0,"",INDEX('Checklist'!$P$4:$P$503,_calc!$E$236)))=0,"",IF(LEN(INDEX('Checklist'!$P$4:$P$503,_calc!$E$236))=0,"",INDEX('Checklist'!$P$4:$P$503,_calc!$E$236)))))</f>
        <v/>
      </c>
      <c r="K234" s="44">
        <f>IF(_calc!$E$236="","",IF(LEN(INDEX('Checklist'!$G$4:$G$503,_calc!$E$236))=0,"",INDEX('Checklist'!$G$4:$G$503,_calc!$E$236)))</f>
        <v/>
      </c>
    </row>
    <row r="235">
      <c r="A235" s="44">
        <f>IF(_calc!$E$237="","","Survey check – "&amp;IF(LEN(INDEX('Checklist'!$C$4:$C$503,_calc!$E$237))=0,"",INDEX('Checklist'!$C$4:$C$503,_calc!$E$237)))</f>
        <v/>
      </c>
      <c r="B235" s="44">
        <f>IF(_calc!$E$237="","",IF(ISNUMBER(INDEX('Checklist'!$L$4:$L$503,_calc!$E$237)),TEXT(INDEX('Checklist'!$L$4:$L$503,_calc!$E$237),"yyyy-mm-dd"),""))</f>
        <v/>
      </c>
      <c r="C235" s="44">
        <f>IF(_calc!$E$237="","","Survey readiness")</f>
        <v/>
      </c>
      <c r="D235" s="44">
        <f>IF(_calc!$E$237="","",IF(ISNUMBER(INDEX('Checklist'!$H$4:$H$503,_calc!$E$237)),TEXT(INDEX('Checklist'!$H$4:$H$503,_calc!$E$237),"yyyy-mm-dd"),""))</f>
        <v/>
      </c>
      <c r="F235" s="44">
        <f>IF(_calc!$E$237="","",TRIM(IF(LEN(IF(LEN(INDEX('Checklist'!$A$4:$A$503,_calc!$E$237))=0,"",INDEX('Checklist'!$A$4:$A$503,_calc!$E$237)))=0,"","Group: "&amp;IF(LEN(INDEX('Checklist'!$A$4:$A$503,_calc!$E$237))=0,"",INDEX('Checklist'!$A$4:$A$503,_calc!$E$237))&amp;". ")&amp;IF(LEN(IF(LEN(INDEX('Checklist'!$E$4:$E$503,_calc!$E$237))=0,"",INDEX('Checklist'!$E$4:$E$503,_calc!$E$237)))=0,"","Owner: "&amp;IF(LEN(INDEX('Checklist'!$E$4:$E$503,_calc!$E$237))=0,"",INDEX('Checklist'!$E$4:$E$503,_calc!$E$237))&amp;". ")&amp;IF(LEN(IF(LEN(INDEX('Checklist'!$F$4:$F$503,_calc!$E$237))=0,"",INDEX('Checklist'!$F$4:$F$503,_calc!$E$237)))=0,"","Backup: "&amp;IF(LEN(INDEX('Checklist'!$F$4:$F$503,_calc!$E$237))=0,"",INDEX('Checklist'!$F$4:$F$503,_calc!$E$237))&amp;". ")&amp;IF(LEN(IF(LEN(INDEX('Checklist'!$J$4:$J$503,_calc!$E$237))=0,"",INDEX('Checklist'!$J$4:$J$503,_calc!$E$237)))=0,"","Evidence: "&amp;IF(LEN(INDEX('Checklist'!$J$4:$J$503,_calc!$E$237))=0,"",INDEX('Checklist'!$J$4:$J$503,_calc!$E$237))&amp;". ")&amp;IF(LEN(IF(LEN(INDEX('Checklist'!$D$4:$D$503,_calc!$E$237))=0,"",INDEX('Checklist'!$D$4:$D$503,_calc!$E$237)))=0,"","Rule example: "&amp;IF(LEN(INDEX('Checklist'!$D$4:$D$503,_calc!$E$237))=0,"",INDEX('Checklist'!$D$4:$D$503,_calc!$E$237))&amp;". ")&amp;IF(LEN(IF(LEN(INDEX('Checklist'!$P$4:$P$503,_calc!$E$237))=0,"",INDEX('Checklist'!$P$4:$P$503,_calc!$E$237)))=0,"",IF(LEN(INDEX('Checklist'!$P$4:$P$503,_calc!$E$237))=0,"",INDEX('Checklist'!$P$4:$P$503,_calc!$E$237)))))</f>
        <v/>
      </c>
      <c r="K235" s="44">
        <f>IF(_calc!$E$237="","",IF(LEN(INDEX('Checklist'!$G$4:$G$503,_calc!$E$237))=0,"",INDEX('Checklist'!$G$4:$G$503,_calc!$E$237)))</f>
        <v/>
      </c>
    </row>
    <row r="236">
      <c r="A236" s="44">
        <f>IF(_calc!$E$238="","","Survey check – "&amp;IF(LEN(INDEX('Checklist'!$C$4:$C$503,_calc!$E$238))=0,"",INDEX('Checklist'!$C$4:$C$503,_calc!$E$238)))</f>
        <v/>
      </c>
      <c r="B236" s="44">
        <f>IF(_calc!$E$238="","",IF(ISNUMBER(INDEX('Checklist'!$L$4:$L$503,_calc!$E$238)),TEXT(INDEX('Checklist'!$L$4:$L$503,_calc!$E$238),"yyyy-mm-dd"),""))</f>
        <v/>
      </c>
      <c r="C236" s="44">
        <f>IF(_calc!$E$238="","","Survey readiness")</f>
        <v/>
      </c>
      <c r="D236" s="44">
        <f>IF(_calc!$E$238="","",IF(ISNUMBER(INDEX('Checklist'!$H$4:$H$503,_calc!$E$238)),TEXT(INDEX('Checklist'!$H$4:$H$503,_calc!$E$238),"yyyy-mm-dd"),""))</f>
        <v/>
      </c>
      <c r="F236" s="44">
        <f>IF(_calc!$E$238="","",TRIM(IF(LEN(IF(LEN(INDEX('Checklist'!$A$4:$A$503,_calc!$E$238))=0,"",INDEX('Checklist'!$A$4:$A$503,_calc!$E$238)))=0,"","Group: "&amp;IF(LEN(INDEX('Checklist'!$A$4:$A$503,_calc!$E$238))=0,"",INDEX('Checklist'!$A$4:$A$503,_calc!$E$238))&amp;". ")&amp;IF(LEN(IF(LEN(INDEX('Checklist'!$E$4:$E$503,_calc!$E$238))=0,"",INDEX('Checklist'!$E$4:$E$503,_calc!$E$238)))=0,"","Owner: "&amp;IF(LEN(INDEX('Checklist'!$E$4:$E$503,_calc!$E$238))=0,"",INDEX('Checklist'!$E$4:$E$503,_calc!$E$238))&amp;". ")&amp;IF(LEN(IF(LEN(INDEX('Checklist'!$F$4:$F$503,_calc!$E$238))=0,"",INDEX('Checklist'!$F$4:$F$503,_calc!$E$238)))=0,"","Backup: "&amp;IF(LEN(INDEX('Checklist'!$F$4:$F$503,_calc!$E$238))=0,"",INDEX('Checklist'!$F$4:$F$503,_calc!$E$238))&amp;". ")&amp;IF(LEN(IF(LEN(INDEX('Checklist'!$J$4:$J$503,_calc!$E$238))=0,"",INDEX('Checklist'!$J$4:$J$503,_calc!$E$238)))=0,"","Evidence: "&amp;IF(LEN(INDEX('Checklist'!$J$4:$J$503,_calc!$E$238))=0,"",INDEX('Checklist'!$J$4:$J$503,_calc!$E$238))&amp;". ")&amp;IF(LEN(IF(LEN(INDEX('Checklist'!$D$4:$D$503,_calc!$E$238))=0,"",INDEX('Checklist'!$D$4:$D$503,_calc!$E$238)))=0,"","Rule example: "&amp;IF(LEN(INDEX('Checklist'!$D$4:$D$503,_calc!$E$238))=0,"",INDEX('Checklist'!$D$4:$D$503,_calc!$E$238))&amp;". ")&amp;IF(LEN(IF(LEN(INDEX('Checklist'!$P$4:$P$503,_calc!$E$238))=0,"",INDEX('Checklist'!$P$4:$P$503,_calc!$E$238)))=0,"",IF(LEN(INDEX('Checklist'!$P$4:$P$503,_calc!$E$238))=0,"",INDEX('Checklist'!$P$4:$P$503,_calc!$E$238)))))</f>
        <v/>
      </c>
      <c r="K236" s="44">
        <f>IF(_calc!$E$238="","",IF(LEN(INDEX('Checklist'!$G$4:$G$503,_calc!$E$238))=0,"",INDEX('Checklist'!$G$4:$G$503,_calc!$E$238)))</f>
        <v/>
      </c>
    </row>
    <row r="237">
      <c r="A237" s="44">
        <f>IF(_calc!$E$239="","","Survey check – "&amp;IF(LEN(INDEX('Checklist'!$C$4:$C$503,_calc!$E$239))=0,"",INDEX('Checklist'!$C$4:$C$503,_calc!$E$239)))</f>
        <v/>
      </c>
      <c r="B237" s="44">
        <f>IF(_calc!$E$239="","",IF(ISNUMBER(INDEX('Checklist'!$L$4:$L$503,_calc!$E$239)),TEXT(INDEX('Checklist'!$L$4:$L$503,_calc!$E$239),"yyyy-mm-dd"),""))</f>
        <v/>
      </c>
      <c r="C237" s="44">
        <f>IF(_calc!$E$239="","","Survey readiness")</f>
        <v/>
      </c>
      <c r="D237" s="44">
        <f>IF(_calc!$E$239="","",IF(ISNUMBER(INDEX('Checklist'!$H$4:$H$503,_calc!$E$239)),TEXT(INDEX('Checklist'!$H$4:$H$503,_calc!$E$239),"yyyy-mm-dd"),""))</f>
        <v/>
      </c>
      <c r="F237" s="44">
        <f>IF(_calc!$E$239="","",TRIM(IF(LEN(IF(LEN(INDEX('Checklist'!$A$4:$A$503,_calc!$E$239))=0,"",INDEX('Checklist'!$A$4:$A$503,_calc!$E$239)))=0,"","Group: "&amp;IF(LEN(INDEX('Checklist'!$A$4:$A$503,_calc!$E$239))=0,"",INDEX('Checklist'!$A$4:$A$503,_calc!$E$239))&amp;". ")&amp;IF(LEN(IF(LEN(INDEX('Checklist'!$E$4:$E$503,_calc!$E$239))=0,"",INDEX('Checklist'!$E$4:$E$503,_calc!$E$239)))=0,"","Owner: "&amp;IF(LEN(INDEX('Checklist'!$E$4:$E$503,_calc!$E$239))=0,"",INDEX('Checklist'!$E$4:$E$503,_calc!$E$239))&amp;". ")&amp;IF(LEN(IF(LEN(INDEX('Checklist'!$F$4:$F$503,_calc!$E$239))=0,"",INDEX('Checklist'!$F$4:$F$503,_calc!$E$239)))=0,"","Backup: "&amp;IF(LEN(INDEX('Checklist'!$F$4:$F$503,_calc!$E$239))=0,"",INDEX('Checklist'!$F$4:$F$503,_calc!$E$239))&amp;". ")&amp;IF(LEN(IF(LEN(INDEX('Checklist'!$J$4:$J$503,_calc!$E$239))=0,"",INDEX('Checklist'!$J$4:$J$503,_calc!$E$239)))=0,"","Evidence: "&amp;IF(LEN(INDEX('Checklist'!$J$4:$J$503,_calc!$E$239))=0,"",INDEX('Checklist'!$J$4:$J$503,_calc!$E$239))&amp;". ")&amp;IF(LEN(IF(LEN(INDEX('Checklist'!$D$4:$D$503,_calc!$E$239))=0,"",INDEX('Checklist'!$D$4:$D$503,_calc!$E$239)))=0,"","Rule example: "&amp;IF(LEN(INDEX('Checklist'!$D$4:$D$503,_calc!$E$239))=0,"",INDEX('Checklist'!$D$4:$D$503,_calc!$E$239))&amp;". ")&amp;IF(LEN(IF(LEN(INDEX('Checklist'!$P$4:$P$503,_calc!$E$239))=0,"",INDEX('Checklist'!$P$4:$P$503,_calc!$E$239)))=0,"",IF(LEN(INDEX('Checklist'!$P$4:$P$503,_calc!$E$239))=0,"",INDEX('Checklist'!$P$4:$P$503,_calc!$E$239)))))</f>
        <v/>
      </c>
      <c r="K237" s="44">
        <f>IF(_calc!$E$239="","",IF(LEN(INDEX('Checklist'!$G$4:$G$503,_calc!$E$239))=0,"",INDEX('Checklist'!$G$4:$G$503,_calc!$E$239)))</f>
        <v/>
      </c>
    </row>
    <row r="238">
      <c r="A238" s="44">
        <f>IF(_calc!$E$240="","","Survey check – "&amp;IF(LEN(INDEX('Checklist'!$C$4:$C$503,_calc!$E$240))=0,"",INDEX('Checklist'!$C$4:$C$503,_calc!$E$240)))</f>
        <v/>
      </c>
      <c r="B238" s="44">
        <f>IF(_calc!$E$240="","",IF(ISNUMBER(INDEX('Checklist'!$L$4:$L$503,_calc!$E$240)),TEXT(INDEX('Checklist'!$L$4:$L$503,_calc!$E$240),"yyyy-mm-dd"),""))</f>
        <v/>
      </c>
      <c r="C238" s="44">
        <f>IF(_calc!$E$240="","","Survey readiness")</f>
        <v/>
      </c>
      <c r="D238" s="44">
        <f>IF(_calc!$E$240="","",IF(ISNUMBER(INDEX('Checklist'!$H$4:$H$503,_calc!$E$240)),TEXT(INDEX('Checklist'!$H$4:$H$503,_calc!$E$240),"yyyy-mm-dd"),""))</f>
        <v/>
      </c>
      <c r="F238" s="44">
        <f>IF(_calc!$E$240="","",TRIM(IF(LEN(IF(LEN(INDEX('Checklist'!$A$4:$A$503,_calc!$E$240))=0,"",INDEX('Checklist'!$A$4:$A$503,_calc!$E$240)))=0,"","Group: "&amp;IF(LEN(INDEX('Checklist'!$A$4:$A$503,_calc!$E$240))=0,"",INDEX('Checklist'!$A$4:$A$503,_calc!$E$240))&amp;". ")&amp;IF(LEN(IF(LEN(INDEX('Checklist'!$E$4:$E$503,_calc!$E$240))=0,"",INDEX('Checklist'!$E$4:$E$503,_calc!$E$240)))=0,"","Owner: "&amp;IF(LEN(INDEX('Checklist'!$E$4:$E$503,_calc!$E$240))=0,"",INDEX('Checklist'!$E$4:$E$503,_calc!$E$240))&amp;". ")&amp;IF(LEN(IF(LEN(INDEX('Checklist'!$F$4:$F$503,_calc!$E$240))=0,"",INDEX('Checklist'!$F$4:$F$503,_calc!$E$240)))=0,"","Backup: "&amp;IF(LEN(INDEX('Checklist'!$F$4:$F$503,_calc!$E$240))=0,"",INDEX('Checklist'!$F$4:$F$503,_calc!$E$240))&amp;". ")&amp;IF(LEN(IF(LEN(INDEX('Checklist'!$J$4:$J$503,_calc!$E$240))=0,"",INDEX('Checklist'!$J$4:$J$503,_calc!$E$240)))=0,"","Evidence: "&amp;IF(LEN(INDEX('Checklist'!$J$4:$J$503,_calc!$E$240))=0,"",INDEX('Checklist'!$J$4:$J$503,_calc!$E$240))&amp;". ")&amp;IF(LEN(IF(LEN(INDEX('Checklist'!$D$4:$D$503,_calc!$E$240))=0,"",INDEX('Checklist'!$D$4:$D$503,_calc!$E$240)))=0,"","Rule example: "&amp;IF(LEN(INDEX('Checklist'!$D$4:$D$503,_calc!$E$240))=0,"",INDEX('Checklist'!$D$4:$D$503,_calc!$E$240))&amp;". ")&amp;IF(LEN(IF(LEN(INDEX('Checklist'!$P$4:$P$503,_calc!$E$240))=0,"",INDEX('Checklist'!$P$4:$P$503,_calc!$E$240)))=0,"",IF(LEN(INDEX('Checklist'!$P$4:$P$503,_calc!$E$240))=0,"",INDEX('Checklist'!$P$4:$P$503,_calc!$E$240)))))</f>
        <v/>
      </c>
      <c r="K238" s="44">
        <f>IF(_calc!$E$240="","",IF(LEN(INDEX('Checklist'!$G$4:$G$503,_calc!$E$240))=0,"",INDEX('Checklist'!$G$4:$G$503,_calc!$E$240)))</f>
        <v/>
      </c>
    </row>
    <row r="239">
      <c r="A239" s="44">
        <f>IF(_calc!$E$241="","","Survey check – "&amp;IF(LEN(INDEX('Checklist'!$C$4:$C$503,_calc!$E$241))=0,"",INDEX('Checklist'!$C$4:$C$503,_calc!$E$241)))</f>
        <v/>
      </c>
      <c r="B239" s="44">
        <f>IF(_calc!$E$241="","",IF(ISNUMBER(INDEX('Checklist'!$L$4:$L$503,_calc!$E$241)),TEXT(INDEX('Checklist'!$L$4:$L$503,_calc!$E$241),"yyyy-mm-dd"),""))</f>
        <v/>
      </c>
      <c r="C239" s="44">
        <f>IF(_calc!$E$241="","","Survey readiness")</f>
        <v/>
      </c>
      <c r="D239" s="44">
        <f>IF(_calc!$E$241="","",IF(ISNUMBER(INDEX('Checklist'!$H$4:$H$503,_calc!$E$241)),TEXT(INDEX('Checklist'!$H$4:$H$503,_calc!$E$241),"yyyy-mm-dd"),""))</f>
        <v/>
      </c>
      <c r="F239" s="44">
        <f>IF(_calc!$E$241="","",TRIM(IF(LEN(IF(LEN(INDEX('Checklist'!$A$4:$A$503,_calc!$E$241))=0,"",INDEX('Checklist'!$A$4:$A$503,_calc!$E$241)))=0,"","Group: "&amp;IF(LEN(INDEX('Checklist'!$A$4:$A$503,_calc!$E$241))=0,"",INDEX('Checklist'!$A$4:$A$503,_calc!$E$241))&amp;". ")&amp;IF(LEN(IF(LEN(INDEX('Checklist'!$E$4:$E$503,_calc!$E$241))=0,"",INDEX('Checklist'!$E$4:$E$503,_calc!$E$241)))=0,"","Owner: "&amp;IF(LEN(INDEX('Checklist'!$E$4:$E$503,_calc!$E$241))=0,"",INDEX('Checklist'!$E$4:$E$503,_calc!$E$241))&amp;". ")&amp;IF(LEN(IF(LEN(INDEX('Checklist'!$F$4:$F$503,_calc!$E$241))=0,"",INDEX('Checklist'!$F$4:$F$503,_calc!$E$241)))=0,"","Backup: "&amp;IF(LEN(INDEX('Checklist'!$F$4:$F$503,_calc!$E$241))=0,"",INDEX('Checklist'!$F$4:$F$503,_calc!$E$241))&amp;". ")&amp;IF(LEN(IF(LEN(INDEX('Checklist'!$J$4:$J$503,_calc!$E$241))=0,"",INDEX('Checklist'!$J$4:$J$503,_calc!$E$241)))=0,"","Evidence: "&amp;IF(LEN(INDEX('Checklist'!$J$4:$J$503,_calc!$E$241))=0,"",INDEX('Checklist'!$J$4:$J$503,_calc!$E$241))&amp;". ")&amp;IF(LEN(IF(LEN(INDEX('Checklist'!$D$4:$D$503,_calc!$E$241))=0,"",INDEX('Checklist'!$D$4:$D$503,_calc!$E$241)))=0,"","Rule example: "&amp;IF(LEN(INDEX('Checklist'!$D$4:$D$503,_calc!$E$241))=0,"",INDEX('Checklist'!$D$4:$D$503,_calc!$E$241))&amp;". ")&amp;IF(LEN(IF(LEN(INDEX('Checklist'!$P$4:$P$503,_calc!$E$241))=0,"",INDEX('Checklist'!$P$4:$P$503,_calc!$E$241)))=0,"",IF(LEN(INDEX('Checklist'!$P$4:$P$503,_calc!$E$241))=0,"",INDEX('Checklist'!$P$4:$P$503,_calc!$E$241)))))</f>
        <v/>
      </c>
      <c r="K239" s="44">
        <f>IF(_calc!$E$241="","",IF(LEN(INDEX('Checklist'!$G$4:$G$503,_calc!$E$241))=0,"",INDEX('Checklist'!$G$4:$G$503,_calc!$E$241)))</f>
        <v/>
      </c>
    </row>
    <row r="240">
      <c r="A240" s="44">
        <f>IF(_calc!$E$242="","","Survey check – "&amp;IF(LEN(INDEX('Checklist'!$C$4:$C$503,_calc!$E$242))=0,"",INDEX('Checklist'!$C$4:$C$503,_calc!$E$242)))</f>
        <v/>
      </c>
      <c r="B240" s="44">
        <f>IF(_calc!$E$242="","",IF(ISNUMBER(INDEX('Checklist'!$L$4:$L$503,_calc!$E$242)),TEXT(INDEX('Checklist'!$L$4:$L$503,_calc!$E$242),"yyyy-mm-dd"),""))</f>
        <v/>
      </c>
      <c r="C240" s="44">
        <f>IF(_calc!$E$242="","","Survey readiness")</f>
        <v/>
      </c>
      <c r="D240" s="44">
        <f>IF(_calc!$E$242="","",IF(ISNUMBER(INDEX('Checklist'!$H$4:$H$503,_calc!$E$242)),TEXT(INDEX('Checklist'!$H$4:$H$503,_calc!$E$242),"yyyy-mm-dd"),""))</f>
        <v/>
      </c>
      <c r="F240" s="44">
        <f>IF(_calc!$E$242="","",TRIM(IF(LEN(IF(LEN(INDEX('Checklist'!$A$4:$A$503,_calc!$E$242))=0,"",INDEX('Checklist'!$A$4:$A$503,_calc!$E$242)))=0,"","Group: "&amp;IF(LEN(INDEX('Checklist'!$A$4:$A$503,_calc!$E$242))=0,"",INDEX('Checklist'!$A$4:$A$503,_calc!$E$242))&amp;". ")&amp;IF(LEN(IF(LEN(INDEX('Checklist'!$E$4:$E$503,_calc!$E$242))=0,"",INDEX('Checklist'!$E$4:$E$503,_calc!$E$242)))=0,"","Owner: "&amp;IF(LEN(INDEX('Checklist'!$E$4:$E$503,_calc!$E$242))=0,"",INDEX('Checklist'!$E$4:$E$503,_calc!$E$242))&amp;". ")&amp;IF(LEN(IF(LEN(INDEX('Checklist'!$F$4:$F$503,_calc!$E$242))=0,"",INDEX('Checklist'!$F$4:$F$503,_calc!$E$242)))=0,"","Backup: "&amp;IF(LEN(INDEX('Checklist'!$F$4:$F$503,_calc!$E$242))=0,"",INDEX('Checklist'!$F$4:$F$503,_calc!$E$242))&amp;". ")&amp;IF(LEN(IF(LEN(INDEX('Checklist'!$J$4:$J$503,_calc!$E$242))=0,"",INDEX('Checklist'!$J$4:$J$503,_calc!$E$242)))=0,"","Evidence: "&amp;IF(LEN(INDEX('Checklist'!$J$4:$J$503,_calc!$E$242))=0,"",INDEX('Checklist'!$J$4:$J$503,_calc!$E$242))&amp;". ")&amp;IF(LEN(IF(LEN(INDEX('Checklist'!$D$4:$D$503,_calc!$E$242))=0,"",INDEX('Checklist'!$D$4:$D$503,_calc!$E$242)))=0,"","Rule example: "&amp;IF(LEN(INDEX('Checklist'!$D$4:$D$503,_calc!$E$242))=0,"",INDEX('Checklist'!$D$4:$D$503,_calc!$E$242))&amp;". ")&amp;IF(LEN(IF(LEN(INDEX('Checklist'!$P$4:$P$503,_calc!$E$242))=0,"",INDEX('Checklist'!$P$4:$P$503,_calc!$E$242)))=0,"",IF(LEN(INDEX('Checklist'!$P$4:$P$503,_calc!$E$242))=0,"",INDEX('Checklist'!$P$4:$P$503,_calc!$E$242)))))</f>
        <v/>
      </c>
      <c r="K240" s="44">
        <f>IF(_calc!$E$242="","",IF(LEN(INDEX('Checklist'!$G$4:$G$503,_calc!$E$242))=0,"",INDEX('Checklist'!$G$4:$G$503,_calc!$E$242)))</f>
        <v/>
      </c>
    </row>
    <row r="241">
      <c r="A241" s="44">
        <f>IF(_calc!$E$243="","","Survey check – "&amp;IF(LEN(INDEX('Checklist'!$C$4:$C$503,_calc!$E$243))=0,"",INDEX('Checklist'!$C$4:$C$503,_calc!$E$243)))</f>
        <v/>
      </c>
      <c r="B241" s="44">
        <f>IF(_calc!$E$243="","",IF(ISNUMBER(INDEX('Checklist'!$L$4:$L$503,_calc!$E$243)),TEXT(INDEX('Checklist'!$L$4:$L$503,_calc!$E$243),"yyyy-mm-dd"),""))</f>
        <v/>
      </c>
      <c r="C241" s="44">
        <f>IF(_calc!$E$243="","","Survey readiness")</f>
        <v/>
      </c>
      <c r="D241" s="44">
        <f>IF(_calc!$E$243="","",IF(ISNUMBER(INDEX('Checklist'!$H$4:$H$503,_calc!$E$243)),TEXT(INDEX('Checklist'!$H$4:$H$503,_calc!$E$243),"yyyy-mm-dd"),""))</f>
        <v/>
      </c>
      <c r="F241" s="44">
        <f>IF(_calc!$E$243="","",TRIM(IF(LEN(IF(LEN(INDEX('Checklist'!$A$4:$A$503,_calc!$E$243))=0,"",INDEX('Checklist'!$A$4:$A$503,_calc!$E$243)))=0,"","Group: "&amp;IF(LEN(INDEX('Checklist'!$A$4:$A$503,_calc!$E$243))=0,"",INDEX('Checklist'!$A$4:$A$503,_calc!$E$243))&amp;". ")&amp;IF(LEN(IF(LEN(INDEX('Checklist'!$E$4:$E$503,_calc!$E$243))=0,"",INDEX('Checklist'!$E$4:$E$503,_calc!$E$243)))=0,"","Owner: "&amp;IF(LEN(INDEX('Checklist'!$E$4:$E$503,_calc!$E$243))=0,"",INDEX('Checklist'!$E$4:$E$503,_calc!$E$243))&amp;". ")&amp;IF(LEN(IF(LEN(INDEX('Checklist'!$F$4:$F$503,_calc!$E$243))=0,"",INDEX('Checklist'!$F$4:$F$503,_calc!$E$243)))=0,"","Backup: "&amp;IF(LEN(INDEX('Checklist'!$F$4:$F$503,_calc!$E$243))=0,"",INDEX('Checklist'!$F$4:$F$503,_calc!$E$243))&amp;". ")&amp;IF(LEN(IF(LEN(INDEX('Checklist'!$J$4:$J$503,_calc!$E$243))=0,"",INDEX('Checklist'!$J$4:$J$503,_calc!$E$243)))=0,"","Evidence: "&amp;IF(LEN(INDEX('Checklist'!$J$4:$J$503,_calc!$E$243))=0,"",INDEX('Checklist'!$J$4:$J$503,_calc!$E$243))&amp;". ")&amp;IF(LEN(IF(LEN(INDEX('Checklist'!$D$4:$D$503,_calc!$E$243))=0,"",INDEX('Checklist'!$D$4:$D$503,_calc!$E$243)))=0,"","Rule example: "&amp;IF(LEN(INDEX('Checklist'!$D$4:$D$503,_calc!$E$243))=0,"",INDEX('Checklist'!$D$4:$D$503,_calc!$E$243))&amp;". ")&amp;IF(LEN(IF(LEN(INDEX('Checklist'!$P$4:$P$503,_calc!$E$243))=0,"",INDEX('Checklist'!$P$4:$P$503,_calc!$E$243)))=0,"",IF(LEN(INDEX('Checklist'!$P$4:$P$503,_calc!$E$243))=0,"",INDEX('Checklist'!$P$4:$P$503,_calc!$E$243)))))</f>
        <v/>
      </c>
      <c r="K241" s="44">
        <f>IF(_calc!$E$243="","",IF(LEN(INDEX('Checklist'!$G$4:$G$503,_calc!$E$243))=0,"",INDEX('Checklist'!$G$4:$G$503,_calc!$E$243)))</f>
        <v/>
      </c>
    </row>
    <row r="242">
      <c r="A242" s="44">
        <f>IF(_calc!$E$244="","","Survey check – "&amp;IF(LEN(INDEX('Checklist'!$C$4:$C$503,_calc!$E$244))=0,"",INDEX('Checklist'!$C$4:$C$503,_calc!$E$244)))</f>
        <v/>
      </c>
      <c r="B242" s="44">
        <f>IF(_calc!$E$244="","",IF(ISNUMBER(INDEX('Checklist'!$L$4:$L$503,_calc!$E$244)),TEXT(INDEX('Checklist'!$L$4:$L$503,_calc!$E$244),"yyyy-mm-dd"),""))</f>
        <v/>
      </c>
      <c r="C242" s="44">
        <f>IF(_calc!$E$244="","","Survey readiness")</f>
        <v/>
      </c>
      <c r="D242" s="44">
        <f>IF(_calc!$E$244="","",IF(ISNUMBER(INDEX('Checklist'!$H$4:$H$503,_calc!$E$244)),TEXT(INDEX('Checklist'!$H$4:$H$503,_calc!$E$244),"yyyy-mm-dd"),""))</f>
        <v/>
      </c>
      <c r="F242" s="44">
        <f>IF(_calc!$E$244="","",TRIM(IF(LEN(IF(LEN(INDEX('Checklist'!$A$4:$A$503,_calc!$E$244))=0,"",INDEX('Checklist'!$A$4:$A$503,_calc!$E$244)))=0,"","Group: "&amp;IF(LEN(INDEX('Checklist'!$A$4:$A$503,_calc!$E$244))=0,"",INDEX('Checklist'!$A$4:$A$503,_calc!$E$244))&amp;". ")&amp;IF(LEN(IF(LEN(INDEX('Checklist'!$E$4:$E$503,_calc!$E$244))=0,"",INDEX('Checklist'!$E$4:$E$503,_calc!$E$244)))=0,"","Owner: "&amp;IF(LEN(INDEX('Checklist'!$E$4:$E$503,_calc!$E$244))=0,"",INDEX('Checklist'!$E$4:$E$503,_calc!$E$244))&amp;". ")&amp;IF(LEN(IF(LEN(INDEX('Checklist'!$F$4:$F$503,_calc!$E$244))=0,"",INDEX('Checklist'!$F$4:$F$503,_calc!$E$244)))=0,"","Backup: "&amp;IF(LEN(INDEX('Checklist'!$F$4:$F$503,_calc!$E$244))=0,"",INDEX('Checklist'!$F$4:$F$503,_calc!$E$244))&amp;". ")&amp;IF(LEN(IF(LEN(INDEX('Checklist'!$J$4:$J$503,_calc!$E$244))=0,"",INDEX('Checklist'!$J$4:$J$503,_calc!$E$244)))=0,"","Evidence: "&amp;IF(LEN(INDEX('Checklist'!$J$4:$J$503,_calc!$E$244))=0,"",INDEX('Checklist'!$J$4:$J$503,_calc!$E$244))&amp;". ")&amp;IF(LEN(IF(LEN(INDEX('Checklist'!$D$4:$D$503,_calc!$E$244))=0,"",INDEX('Checklist'!$D$4:$D$503,_calc!$E$244)))=0,"","Rule example: "&amp;IF(LEN(INDEX('Checklist'!$D$4:$D$503,_calc!$E$244))=0,"",INDEX('Checklist'!$D$4:$D$503,_calc!$E$244))&amp;". ")&amp;IF(LEN(IF(LEN(INDEX('Checklist'!$P$4:$P$503,_calc!$E$244))=0,"",INDEX('Checklist'!$P$4:$P$503,_calc!$E$244)))=0,"",IF(LEN(INDEX('Checklist'!$P$4:$P$503,_calc!$E$244))=0,"",INDEX('Checklist'!$P$4:$P$503,_calc!$E$244)))))</f>
        <v/>
      </c>
      <c r="K242" s="44">
        <f>IF(_calc!$E$244="","",IF(LEN(INDEX('Checklist'!$G$4:$G$503,_calc!$E$244))=0,"",INDEX('Checklist'!$G$4:$G$503,_calc!$E$244)))</f>
        <v/>
      </c>
    </row>
    <row r="243">
      <c r="A243" s="44">
        <f>IF(_calc!$E$245="","","Survey check – "&amp;IF(LEN(INDEX('Checklist'!$C$4:$C$503,_calc!$E$245))=0,"",INDEX('Checklist'!$C$4:$C$503,_calc!$E$245)))</f>
        <v/>
      </c>
      <c r="B243" s="44">
        <f>IF(_calc!$E$245="","",IF(ISNUMBER(INDEX('Checklist'!$L$4:$L$503,_calc!$E$245)),TEXT(INDEX('Checklist'!$L$4:$L$503,_calc!$E$245),"yyyy-mm-dd"),""))</f>
        <v/>
      </c>
      <c r="C243" s="44">
        <f>IF(_calc!$E$245="","","Survey readiness")</f>
        <v/>
      </c>
      <c r="D243" s="44">
        <f>IF(_calc!$E$245="","",IF(ISNUMBER(INDEX('Checklist'!$H$4:$H$503,_calc!$E$245)),TEXT(INDEX('Checklist'!$H$4:$H$503,_calc!$E$245),"yyyy-mm-dd"),""))</f>
        <v/>
      </c>
      <c r="F243" s="44">
        <f>IF(_calc!$E$245="","",TRIM(IF(LEN(IF(LEN(INDEX('Checklist'!$A$4:$A$503,_calc!$E$245))=0,"",INDEX('Checklist'!$A$4:$A$503,_calc!$E$245)))=0,"","Group: "&amp;IF(LEN(INDEX('Checklist'!$A$4:$A$503,_calc!$E$245))=0,"",INDEX('Checklist'!$A$4:$A$503,_calc!$E$245))&amp;". ")&amp;IF(LEN(IF(LEN(INDEX('Checklist'!$E$4:$E$503,_calc!$E$245))=0,"",INDEX('Checklist'!$E$4:$E$503,_calc!$E$245)))=0,"","Owner: "&amp;IF(LEN(INDEX('Checklist'!$E$4:$E$503,_calc!$E$245))=0,"",INDEX('Checklist'!$E$4:$E$503,_calc!$E$245))&amp;". ")&amp;IF(LEN(IF(LEN(INDEX('Checklist'!$F$4:$F$503,_calc!$E$245))=0,"",INDEX('Checklist'!$F$4:$F$503,_calc!$E$245)))=0,"","Backup: "&amp;IF(LEN(INDEX('Checklist'!$F$4:$F$503,_calc!$E$245))=0,"",INDEX('Checklist'!$F$4:$F$503,_calc!$E$245))&amp;". ")&amp;IF(LEN(IF(LEN(INDEX('Checklist'!$J$4:$J$503,_calc!$E$245))=0,"",INDEX('Checklist'!$J$4:$J$503,_calc!$E$245)))=0,"","Evidence: "&amp;IF(LEN(INDEX('Checklist'!$J$4:$J$503,_calc!$E$245))=0,"",INDEX('Checklist'!$J$4:$J$503,_calc!$E$245))&amp;". ")&amp;IF(LEN(IF(LEN(INDEX('Checklist'!$D$4:$D$503,_calc!$E$245))=0,"",INDEX('Checklist'!$D$4:$D$503,_calc!$E$245)))=0,"","Rule example: "&amp;IF(LEN(INDEX('Checklist'!$D$4:$D$503,_calc!$E$245))=0,"",INDEX('Checklist'!$D$4:$D$503,_calc!$E$245))&amp;". ")&amp;IF(LEN(IF(LEN(INDEX('Checklist'!$P$4:$P$503,_calc!$E$245))=0,"",INDEX('Checklist'!$P$4:$P$503,_calc!$E$245)))=0,"",IF(LEN(INDEX('Checklist'!$P$4:$P$503,_calc!$E$245))=0,"",INDEX('Checklist'!$P$4:$P$503,_calc!$E$245)))))</f>
        <v/>
      </c>
      <c r="K243" s="44">
        <f>IF(_calc!$E$245="","",IF(LEN(INDEX('Checklist'!$G$4:$G$503,_calc!$E$245))=0,"",INDEX('Checklist'!$G$4:$G$503,_calc!$E$245)))</f>
        <v/>
      </c>
    </row>
    <row r="244">
      <c r="A244" s="44">
        <f>IF(_calc!$E$246="","","Survey check – "&amp;IF(LEN(INDEX('Checklist'!$C$4:$C$503,_calc!$E$246))=0,"",INDEX('Checklist'!$C$4:$C$503,_calc!$E$246)))</f>
        <v/>
      </c>
      <c r="B244" s="44">
        <f>IF(_calc!$E$246="","",IF(ISNUMBER(INDEX('Checklist'!$L$4:$L$503,_calc!$E$246)),TEXT(INDEX('Checklist'!$L$4:$L$503,_calc!$E$246),"yyyy-mm-dd"),""))</f>
        <v/>
      </c>
      <c r="C244" s="44">
        <f>IF(_calc!$E$246="","","Survey readiness")</f>
        <v/>
      </c>
      <c r="D244" s="44">
        <f>IF(_calc!$E$246="","",IF(ISNUMBER(INDEX('Checklist'!$H$4:$H$503,_calc!$E$246)),TEXT(INDEX('Checklist'!$H$4:$H$503,_calc!$E$246),"yyyy-mm-dd"),""))</f>
        <v/>
      </c>
      <c r="F244" s="44">
        <f>IF(_calc!$E$246="","",TRIM(IF(LEN(IF(LEN(INDEX('Checklist'!$A$4:$A$503,_calc!$E$246))=0,"",INDEX('Checklist'!$A$4:$A$503,_calc!$E$246)))=0,"","Group: "&amp;IF(LEN(INDEX('Checklist'!$A$4:$A$503,_calc!$E$246))=0,"",INDEX('Checklist'!$A$4:$A$503,_calc!$E$246))&amp;". ")&amp;IF(LEN(IF(LEN(INDEX('Checklist'!$E$4:$E$503,_calc!$E$246))=0,"",INDEX('Checklist'!$E$4:$E$503,_calc!$E$246)))=0,"","Owner: "&amp;IF(LEN(INDEX('Checklist'!$E$4:$E$503,_calc!$E$246))=0,"",INDEX('Checklist'!$E$4:$E$503,_calc!$E$246))&amp;". ")&amp;IF(LEN(IF(LEN(INDEX('Checklist'!$F$4:$F$503,_calc!$E$246))=0,"",INDEX('Checklist'!$F$4:$F$503,_calc!$E$246)))=0,"","Backup: "&amp;IF(LEN(INDEX('Checklist'!$F$4:$F$503,_calc!$E$246))=0,"",INDEX('Checklist'!$F$4:$F$503,_calc!$E$246))&amp;". ")&amp;IF(LEN(IF(LEN(INDEX('Checklist'!$J$4:$J$503,_calc!$E$246))=0,"",INDEX('Checklist'!$J$4:$J$503,_calc!$E$246)))=0,"","Evidence: "&amp;IF(LEN(INDEX('Checklist'!$J$4:$J$503,_calc!$E$246))=0,"",INDEX('Checklist'!$J$4:$J$503,_calc!$E$246))&amp;". ")&amp;IF(LEN(IF(LEN(INDEX('Checklist'!$D$4:$D$503,_calc!$E$246))=0,"",INDEX('Checklist'!$D$4:$D$503,_calc!$E$246)))=0,"","Rule example: "&amp;IF(LEN(INDEX('Checklist'!$D$4:$D$503,_calc!$E$246))=0,"",INDEX('Checklist'!$D$4:$D$503,_calc!$E$246))&amp;". ")&amp;IF(LEN(IF(LEN(INDEX('Checklist'!$P$4:$P$503,_calc!$E$246))=0,"",INDEX('Checklist'!$P$4:$P$503,_calc!$E$246)))=0,"",IF(LEN(INDEX('Checklist'!$P$4:$P$503,_calc!$E$246))=0,"",INDEX('Checklist'!$P$4:$P$503,_calc!$E$246)))))</f>
        <v/>
      </c>
      <c r="K244" s="44">
        <f>IF(_calc!$E$246="","",IF(LEN(INDEX('Checklist'!$G$4:$G$503,_calc!$E$246))=0,"",INDEX('Checklist'!$G$4:$G$503,_calc!$E$246)))</f>
        <v/>
      </c>
    </row>
    <row r="245">
      <c r="A245" s="44">
        <f>IF(_calc!$E$247="","","Survey check – "&amp;IF(LEN(INDEX('Checklist'!$C$4:$C$503,_calc!$E$247))=0,"",INDEX('Checklist'!$C$4:$C$503,_calc!$E$247)))</f>
        <v/>
      </c>
      <c r="B245" s="44">
        <f>IF(_calc!$E$247="","",IF(ISNUMBER(INDEX('Checklist'!$L$4:$L$503,_calc!$E$247)),TEXT(INDEX('Checklist'!$L$4:$L$503,_calc!$E$247),"yyyy-mm-dd"),""))</f>
        <v/>
      </c>
      <c r="C245" s="44">
        <f>IF(_calc!$E$247="","","Survey readiness")</f>
        <v/>
      </c>
      <c r="D245" s="44">
        <f>IF(_calc!$E$247="","",IF(ISNUMBER(INDEX('Checklist'!$H$4:$H$503,_calc!$E$247)),TEXT(INDEX('Checklist'!$H$4:$H$503,_calc!$E$247),"yyyy-mm-dd"),""))</f>
        <v/>
      </c>
      <c r="F245" s="44">
        <f>IF(_calc!$E$247="","",TRIM(IF(LEN(IF(LEN(INDEX('Checklist'!$A$4:$A$503,_calc!$E$247))=0,"",INDEX('Checklist'!$A$4:$A$503,_calc!$E$247)))=0,"","Group: "&amp;IF(LEN(INDEX('Checklist'!$A$4:$A$503,_calc!$E$247))=0,"",INDEX('Checklist'!$A$4:$A$503,_calc!$E$247))&amp;". ")&amp;IF(LEN(IF(LEN(INDEX('Checklist'!$E$4:$E$503,_calc!$E$247))=0,"",INDEX('Checklist'!$E$4:$E$503,_calc!$E$247)))=0,"","Owner: "&amp;IF(LEN(INDEX('Checklist'!$E$4:$E$503,_calc!$E$247))=0,"",INDEX('Checklist'!$E$4:$E$503,_calc!$E$247))&amp;". ")&amp;IF(LEN(IF(LEN(INDEX('Checklist'!$F$4:$F$503,_calc!$E$247))=0,"",INDEX('Checklist'!$F$4:$F$503,_calc!$E$247)))=0,"","Backup: "&amp;IF(LEN(INDEX('Checklist'!$F$4:$F$503,_calc!$E$247))=0,"",INDEX('Checklist'!$F$4:$F$503,_calc!$E$247))&amp;". ")&amp;IF(LEN(IF(LEN(INDEX('Checklist'!$J$4:$J$503,_calc!$E$247))=0,"",INDEX('Checklist'!$J$4:$J$503,_calc!$E$247)))=0,"","Evidence: "&amp;IF(LEN(INDEX('Checklist'!$J$4:$J$503,_calc!$E$247))=0,"",INDEX('Checklist'!$J$4:$J$503,_calc!$E$247))&amp;". ")&amp;IF(LEN(IF(LEN(INDEX('Checklist'!$D$4:$D$503,_calc!$E$247))=0,"",INDEX('Checklist'!$D$4:$D$503,_calc!$E$247)))=0,"","Rule example: "&amp;IF(LEN(INDEX('Checklist'!$D$4:$D$503,_calc!$E$247))=0,"",INDEX('Checklist'!$D$4:$D$503,_calc!$E$247))&amp;". ")&amp;IF(LEN(IF(LEN(INDEX('Checklist'!$P$4:$P$503,_calc!$E$247))=0,"",INDEX('Checklist'!$P$4:$P$503,_calc!$E$247)))=0,"",IF(LEN(INDEX('Checklist'!$P$4:$P$503,_calc!$E$247))=0,"",INDEX('Checklist'!$P$4:$P$503,_calc!$E$247)))))</f>
        <v/>
      </c>
      <c r="K245" s="44">
        <f>IF(_calc!$E$247="","",IF(LEN(INDEX('Checklist'!$G$4:$G$503,_calc!$E$247))=0,"",INDEX('Checklist'!$G$4:$G$503,_calc!$E$247)))</f>
        <v/>
      </c>
    </row>
    <row r="246">
      <c r="A246" s="44">
        <f>IF(_calc!$E$248="","","Survey check – "&amp;IF(LEN(INDEX('Checklist'!$C$4:$C$503,_calc!$E$248))=0,"",INDEX('Checklist'!$C$4:$C$503,_calc!$E$248)))</f>
        <v/>
      </c>
      <c r="B246" s="44">
        <f>IF(_calc!$E$248="","",IF(ISNUMBER(INDEX('Checklist'!$L$4:$L$503,_calc!$E$248)),TEXT(INDEX('Checklist'!$L$4:$L$503,_calc!$E$248),"yyyy-mm-dd"),""))</f>
        <v/>
      </c>
      <c r="C246" s="44">
        <f>IF(_calc!$E$248="","","Survey readiness")</f>
        <v/>
      </c>
      <c r="D246" s="44">
        <f>IF(_calc!$E$248="","",IF(ISNUMBER(INDEX('Checklist'!$H$4:$H$503,_calc!$E$248)),TEXT(INDEX('Checklist'!$H$4:$H$503,_calc!$E$248),"yyyy-mm-dd"),""))</f>
        <v/>
      </c>
      <c r="F246" s="44">
        <f>IF(_calc!$E$248="","",TRIM(IF(LEN(IF(LEN(INDEX('Checklist'!$A$4:$A$503,_calc!$E$248))=0,"",INDEX('Checklist'!$A$4:$A$503,_calc!$E$248)))=0,"","Group: "&amp;IF(LEN(INDEX('Checklist'!$A$4:$A$503,_calc!$E$248))=0,"",INDEX('Checklist'!$A$4:$A$503,_calc!$E$248))&amp;". ")&amp;IF(LEN(IF(LEN(INDEX('Checklist'!$E$4:$E$503,_calc!$E$248))=0,"",INDEX('Checklist'!$E$4:$E$503,_calc!$E$248)))=0,"","Owner: "&amp;IF(LEN(INDEX('Checklist'!$E$4:$E$503,_calc!$E$248))=0,"",INDEX('Checklist'!$E$4:$E$503,_calc!$E$248))&amp;". ")&amp;IF(LEN(IF(LEN(INDEX('Checklist'!$F$4:$F$503,_calc!$E$248))=0,"",INDEX('Checklist'!$F$4:$F$503,_calc!$E$248)))=0,"","Backup: "&amp;IF(LEN(INDEX('Checklist'!$F$4:$F$503,_calc!$E$248))=0,"",INDEX('Checklist'!$F$4:$F$503,_calc!$E$248))&amp;". ")&amp;IF(LEN(IF(LEN(INDEX('Checklist'!$J$4:$J$503,_calc!$E$248))=0,"",INDEX('Checklist'!$J$4:$J$503,_calc!$E$248)))=0,"","Evidence: "&amp;IF(LEN(INDEX('Checklist'!$J$4:$J$503,_calc!$E$248))=0,"",INDEX('Checklist'!$J$4:$J$503,_calc!$E$248))&amp;". ")&amp;IF(LEN(IF(LEN(INDEX('Checklist'!$D$4:$D$503,_calc!$E$248))=0,"",INDEX('Checklist'!$D$4:$D$503,_calc!$E$248)))=0,"","Rule example: "&amp;IF(LEN(INDEX('Checklist'!$D$4:$D$503,_calc!$E$248))=0,"",INDEX('Checklist'!$D$4:$D$503,_calc!$E$248))&amp;". ")&amp;IF(LEN(IF(LEN(INDEX('Checklist'!$P$4:$P$503,_calc!$E$248))=0,"",INDEX('Checklist'!$P$4:$P$503,_calc!$E$248)))=0,"",IF(LEN(INDEX('Checklist'!$P$4:$P$503,_calc!$E$248))=0,"",INDEX('Checklist'!$P$4:$P$503,_calc!$E$248)))))</f>
        <v/>
      </c>
      <c r="K246" s="44">
        <f>IF(_calc!$E$248="","",IF(LEN(INDEX('Checklist'!$G$4:$G$503,_calc!$E$248))=0,"",INDEX('Checklist'!$G$4:$G$503,_calc!$E$248)))</f>
        <v/>
      </c>
    </row>
    <row r="247">
      <c r="A247" s="44">
        <f>IF(_calc!$E$249="","","Survey check – "&amp;IF(LEN(INDEX('Checklist'!$C$4:$C$503,_calc!$E$249))=0,"",INDEX('Checklist'!$C$4:$C$503,_calc!$E$249)))</f>
        <v/>
      </c>
      <c r="B247" s="44">
        <f>IF(_calc!$E$249="","",IF(ISNUMBER(INDEX('Checklist'!$L$4:$L$503,_calc!$E$249)),TEXT(INDEX('Checklist'!$L$4:$L$503,_calc!$E$249),"yyyy-mm-dd"),""))</f>
        <v/>
      </c>
      <c r="C247" s="44">
        <f>IF(_calc!$E$249="","","Survey readiness")</f>
        <v/>
      </c>
      <c r="D247" s="44">
        <f>IF(_calc!$E$249="","",IF(ISNUMBER(INDEX('Checklist'!$H$4:$H$503,_calc!$E$249)),TEXT(INDEX('Checklist'!$H$4:$H$503,_calc!$E$249),"yyyy-mm-dd"),""))</f>
        <v/>
      </c>
      <c r="F247" s="44">
        <f>IF(_calc!$E$249="","",TRIM(IF(LEN(IF(LEN(INDEX('Checklist'!$A$4:$A$503,_calc!$E$249))=0,"",INDEX('Checklist'!$A$4:$A$503,_calc!$E$249)))=0,"","Group: "&amp;IF(LEN(INDEX('Checklist'!$A$4:$A$503,_calc!$E$249))=0,"",INDEX('Checklist'!$A$4:$A$503,_calc!$E$249))&amp;". ")&amp;IF(LEN(IF(LEN(INDEX('Checklist'!$E$4:$E$503,_calc!$E$249))=0,"",INDEX('Checklist'!$E$4:$E$503,_calc!$E$249)))=0,"","Owner: "&amp;IF(LEN(INDEX('Checklist'!$E$4:$E$503,_calc!$E$249))=0,"",INDEX('Checklist'!$E$4:$E$503,_calc!$E$249))&amp;". ")&amp;IF(LEN(IF(LEN(INDEX('Checklist'!$F$4:$F$503,_calc!$E$249))=0,"",INDEX('Checklist'!$F$4:$F$503,_calc!$E$249)))=0,"","Backup: "&amp;IF(LEN(INDEX('Checklist'!$F$4:$F$503,_calc!$E$249))=0,"",INDEX('Checklist'!$F$4:$F$503,_calc!$E$249))&amp;". ")&amp;IF(LEN(IF(LEN(INDEX('Checklist'!$J$4:$J$503,_calc!$E$249))=0,"",INDEX('Checklist'!$J$4:$J$503,_calc!$E$249)))=0,"","Evidence: "&amp;IF(LEN(INDEX('Checklist'!$J$4:$J$503,_calc!$E$249))=0,"",INDEX('Checklist'!$J$4:$J$503,_calc!$E$249))&amp;". ")&amp;IF(LEN(IF(LEN(INDEX('Checklist'!$D$4:$D$503,_calc!$E$249))=0,"",INDEX('Checklist'!$D$4:$D$503,_calc!$E$249)))=0,"","Rule example: "&amp;IF(LEN(INDEX('Checklist'!$D$4:$D$503,_calc!$E$249))=0,"",INDEX('Checklist'!$D$4:$D$503,_calc!$E$249))&amp;". ")&amp;IF(LEN(IF(LEN(INDEX('Checklist'!$P$4:$P$503,_calc!$E$249))=0,"",INDEX('Checklist'!$P$4:$P$503,_calc!$E$249)))=0,"",IF(LEN(INDEX('Checklist'!$P$4:$P$503,_calc!$E$249))=0,"",INDEX('Checklist'!$P$4:$P$503,_calc!$E$249)))))</f>
        <v/>
      </c>
      <c r="K247" s="44">
        <f>IF(_calc!$E$249="","",IF(LEN(INDEX('Checklist'!$G$4:$G$503,_calc!$E$249))=0,"",INDEX('Checklist'!$G$4:$G$503,_calc!$E$249)))</f>
        <v/>
      </c>
    </row>
    <row r="248">
      <c r="A248" s="44">
        <f>IF(_calc!$E$250="","","Survey check – "&amp;IF(LEN(INDEX('Checklist'!$C$4:$C$503,_calc!$E$250))=0,"",INDEX('Checklist'!$C$4:$C$503,_calc!$E$250)))</f>
        <v/>
      </c>
      <c r="B248" s="44">
        <f>IF(_calc!$E$250="","",IF(ISNUMBER(INDEX('Checklist'!$L$4:$L$503,_calc!$E$250)),TEXT(INDEX('Checklist'!$L$4:$L$503,_calc!$E$250),"yyyy-mm-dd"),""))</f>
        <v/>
      </c>
      <c r="C248" s="44">
        <f>IF(_calc!$E$250="","","Survey readiness")</f>
        <v/>
      </c>
      <c r="D248" s="44">
        <f>IF(_calc!$E$250="","",IF(ISNUMBER(INDEX('Checklist'!$H$4:$H$503,_calc!$E$250)),TEXT(INDEX('Checklist'!$H$4:$H$503,_calc!$E$250),"yyyy-mm-dd"),""))</f>
        <v/>
      </c>
      <c r="F248" s="44">
        <f>IF(_calc!$E$250="","",TRIM(IF(LEN(IF(LEN(INDEX('Checklist'!$A$4:$A$503,_calc!$E$250))=0,"",INDEX('Checklist'!$A$4:$A$503,_calc!$E$250)))=0,"","Group: "&amp;IF(LEN(INDEX('Checklist'!$A$4:$A$503,_calc!$E$250))=0,"",INDEX('Checklist'!$A$4:$A$503,_calc!$E$250))&amp;". ")&amp;IF(LEN(IF(LEN(INDEX('Checklist'!$E$4:$E$503,_calc!$E$250))=0,"",INDEX('Checklist'!$E$4:$E$503,_calc!$E$250)))=0,"","Owner: "&amp;IF(LEN(INDEX('Checklist'!$E$4:$E$503,_calc!$E$250))=0,"",INDEX('Checklist'!$E$4:$E$503,_calc!$E$250))&amp;". ")&amp;IF(LEN(IF(LEN(INDEX('Checklist'!$F$4:$F$503,_calc!$E$250))=0,"",INDEX('Checklist'!$F$4:$F$503,_calc!$E$250)))=0,"","Backup: "&amp;IF(LEN(INDEX('Checklist'!$F$4:$F$503,_calc!$E$250))=0,"",INDEX('Checklist'!$F$4:$F$503,_calc!$E$250))&amp;". ")&amp;IF(LEN(IF(LEN(INDEX('Checklist'!$J$4:$J$503,_calc!$E$250))=0,"",INDEX('Checklist'!$J$4:$J$503,_calc!$E$250)))=0,"","Evidence: "&amp;IF(LEN(INDEX('Checklist'!$J$4:$J$503,_calc!$E$250))=0,"",INDEX('Checklist'!$J$4:$J$503,_calc!$E$250))&amp;". ")&amp;IF(LEN(IF(LEN(INDEX('Checklist'!$D$4:$D$503,_calc!$E$250))=0,"",INDEX('Checklist'!$D$4:$D$503,_calc!$E$250)))=0,"","Rule example: "&amp;IF(LEN(INDEX('Checklist'!$D$4:$D$503,_calc!$E$250))=0,"",INDEX('Checklist'!$D$4:$D$503,_calc!$E$250))&amp;". ")&amp;IF(LEN(IF(LEN(INDEX('Checklist'!$P$4:$P$503,_calc!$E$250))=0,"",INDEX('Checklist'!$P$4:$P$503,_calc!$E$250)))=0,"",IF(LEN(INDEX('Checklist'!$P$4:$P$503,_calc!$E$250))=0,"",INDEX('Checklist'!$P$4:$P$503,_calc!$E$250)))))</f>
        <v/>
      </c>
      <c r="K248" s="44">
        <f>IF(_calc!$E$250="","",IF(LEN(INDEX('Checklist'!$G$4:$G$503,_calc!$E$250))=0,"",INDEX('Checklist'!$G$4:$G$503,_calc!$E$250)))</f>
        <v/>
      </c>
    </row>
    <row r="249">
      <c r="A249" s="44">
        <f>IF(_calc!$E$251="","","Survey check – "&amp;IF(LEN(INDEX('Checklist'!$C$4:$C$503,_calc!$E$251))=0,"",INDEX('Checklist'!$C$4:$C$503,_calc!$E$251)))</f>
        <v/>
      </c>
      <c r="B249" s="44">
        <f>IF(_calc!$E$251="","",IF(ISNUMBER(INDEX('Checklist'!$L$4:$L$503,_calc!$E$251)),TEXT(INDEX('Checklist'!$L$4:$L$503,_calc!$E$251),"yyyy-mm-dd"),""))</f>
        <v/>
      </c>
      <c r="C249" s="44">
        <f>IF(_calc!$E$251="","","Survey readiness")</f>
        <v/>
      </c>
      <c r="D249" s="44">
        <f>IF(_calc!$E$251="","",IF(ISNUMBER(INDEX('Checklist'!$H$4:$H$503,_calc!$E$251)),TEXT(INDEX('Checklist'!$H$4:$H$503,_calc!$E$251),"yyyy-mm-dd"),""))</f>
        <v/>
      </c>
      <c r="F249" s="44">
        <f>IF(_calc!$E$251="","",TRIM(IF(LEN(IF(LEN(INDEX('Checklist'!$A$4:$A$503,_calc!$E$251))=0,"",INDEX('Checklist'!$A$4:$A$503,_calc!$E$251)))=0,"","Group: "&amp;IF(LEN(INDEX('Checklist'!$A$4:$A$503,_calc!$E$251))=0,"",INDEX('Checklist'!$A$4:$A$503,_calc!$E$251))&amp;". ")&amp;IF(LEN(IF(LEN(INDEX('Checklist'!$E$4:$E$503,_calc!$E$251))=0,"",INDEX('Checklist'!$E$4:$E$503,_calc!$E$251)))=0,"","Owner: "&amp;IF(LEN(INDEX('Checklist'!$E$4:$E$503,_calc!$E$251))=0,"",INDEX('Checklist'!$E$4:$E$503,_calc!$E$251))&amp;". ")&amp;IF(LEN(IF(LEN(INDEX('Checklist'!$F$4:$F$503,_calc!$E$251))=0,"",INDEX('Checklist'!$F$4:$F$503,_calc!$E$251)))=0,"","Backup: "&amp;IF(LEN(INDEX('Checklist'!$F$4:$F$503,_calc!$E$251))=0,"",INDEX('Checklist'!$F$4:$F$503,_calc!$E$251))&amp;". ")&amp;IF(LEN(IF(LEN(INDEX('Checklist'!$J$4:$J$503,_calc!$E$251))=0,"",INDEX('Checklist'!$J$4:$J$503,_calc!$E$251)))=0,"","Evidence: "&amp;IF(LEN(INDEX('Checklist'!$J$4:$J$503,_calc!$E$251))=0,"",INDEX('Checklist'!$J$4:$J$503,_calc!$E$251))&amp;". ")&amp;IF(LEN(IF(LEN(INDEX('Checklist'!$D$4:$D$503,_calc!$E$251))=0,"",INDEX('Checklist'!$D$4:$D$503,_calc!$E$251)))=0,"","Rule example: "&amp;IF(LEN(INDEX('Checklist'!$D$4:$D$503,_calc!$E$251))=0,"",INDEX('Checklist'!$D$4:$D$503,_calc!$E$251))&amp;". ")&amp;IF(LEN(IF(LEN(INDEX('Checklist'!$P$4:$P$503,_calc!$E$251))=0,"",INDEX('Checklist'!$P$4:$P$503,_calc!$E$251)))=0,"",IF(LEN(INDEX('Checklist'!$P$4:$P$503,_calc!$E$251))=0,"",INDEX('Checklist'!$P$4:$P$503,_calc!$E$251)))))</f>
        <v/>
      </c>
      <c r="K249" s="44">
        <f>IF(_calc!$E$251="","",IF(LEN(INDEX('Checklist'!$G$4:$G$503,_calc!$E$251))=0,"",INDEX('Checklist'!$G$4:$G$503,_calc!$E$251)))</f>
        <v/>
      </c>
    </row>
    <row r="250">
      <c r="A250" s="44">
        <f>IF(_calc!$E$252="","","Survey check – "&amp;IF(LEN(INDEX('Checklist'!$C$4:$C$503,_calc!$E$252))=0,"",INDEX('Checklist'!$C$4:$C$503,_calc!$E$252)))</f>
        <v/>
      </c>
      <c r="B250" s="44">
        <f>IF(_calc!$E$252="","",IF(ISNUMBER(INDEX('Checklist'!$L$4:$L$503,_calc!$E$252)),TEXT(INDEX('Checklist'!$L$4:$L$503,_calc!$E$252),"yyyy-mm-dd"),""))</f>
        <v/>
      </c>
      <c r="C250" s="44">
        <f>IF(_calc!$E$252="","","Survey readiness")</f>
        <v/>
      </c>
      <c r="D250" s="44">
        <f>IF(_calc!$E$252="","",IF(ISNUMBER(INDEX('Checklist'!$H$4:$H$503,_calc!$E$252)),TEXT(INDEX('Checklist'!$H$4:$H$503,_calc!$E$252),"yyyy-mm-dd"),""))</f>
        <v/>
      </c>
      <c r="F250" s="44">
        <f>IF(_calc!$E$252="","",TRIM(IF(LEN(IF(LEN(INDEX('Checklist'!$A$4:$A$503,_calc!$E$252))=0,"",INDEX('Checklist'!$A$4:$A$503,_calc!$E$252)))=0,"","Group: "&amp;IF(LEN(INDEX('Checklist'!$A$4:$A$503,_calc!$E$252))=0,"",INDEX('Checklist'!$A$4:$A$503,_calc!$E$252))&amp;". ")&amp;IF(LEN(IF(LEN(INDEX('Checklist'!$E$4:$E$503,_calc!$E$252))=0,"",INDEX('Checklist'!$E$4:$E$503,_calc!$E$252)))=0,"","Owner: "&amp;IF(LEN(INDEX('Checklist'!$E$4:$E$503,_calc!$E$252))=0,"",INDEX('Checklist'!$E$4:$E$503,_calc!$E$252))&amp;". ")&amp;IF(LEN(IF(LEN(INDEX('Checklist'!$F$4:$F$503,_calc!$E$252))=0,"",INDEX('Checklist'!$F$4:$F$503,_calc!$E$252)))=0,"","Backup: "&amp;IF(LEN(INDEX('Checklist'!$F$4:$F$503,_calc!$E$252))=0,"",INDEX('Checklist'!$F$4:$F$503,_calc!$E$252))&amp;". ")&amp;IF(LEN(IF(LEN(INDEX('Checklist'!$J$4:$J$503,_calc!$E$252))=0,"",INDEX('Checklist'!$J$4:$J$503,_calc!$E$252)))=0,"","Evidence: "&amp;IF(LEN(INDEX('Checklist'!$J$4:$J$503,_calc!$E$252))=0,"",INDEX('Checklist'!$J$4:$J$503,_calc!$E$252))&amp;". ")&amp;IF(LEN(IF(LEN(INDEX('Checklist'!$D$4:$D$503,_calc!$E$252))=0,"",INDEX('Checklist'!$D$4:$D$503,_calc!$E$252)))=0,"","Rule example: "&amp;IF(LEN(INDEX('Checklist'!$D$4:$D$503,_calc!$E$252))=0,"",INDEX('Checklist'!$D$4:$D$503,_calc!$E$252))&amp;". ")&amp;IF(LEN(IF(LEN(INDEX('Checklist'!$P$4:$P$503,_calc!$E$252))=0,"",INDEX('Checklist'!$P$4:$P$503,_calc!$E$252)))=0,"",IF(LEN(INDEX('Checklist'!$P$4:$P$503,_calc!$E$252))=0,"",INDEX('Checklist'!$P$4:$P$503,_calc!$E$252)))))</f>
        <v/>
      </c>
      <c r="K250" s="44">
        <f>IF(_calc!$E$252="","",IF(LEN(INDEX('Checklist'!$G$4:$G$503,_calc!$E$252))=0,"",INDEX('Checklist'!$G$4:$G$503,_calc!$E$252)))</f>
        <v/>
      </c>
    </row>
    <row r="251">
      <c r="A251" s="44">
        <f>IF(_calc!$E$253="","","Survey check – "&amp;IF(LEN(INDEX('Checklist'!$C$4:$C$503,_calc!$E$253))=0,"",INDEX('Checklist'!$C$4:$C$503,_calc!$E$253)))</f>
        <v/>
      </c>
      <c r="B251" s="44">
        <f>IF(_calc!$E$253="","",IF(ISNUMBER(INDEX('Checklist'!$L$4:$L$503,_calc!$E$253)),TEXT(INDEX('Checklist'!$L$4:$L$503,_calc!$E$253),"yyyy-mm-dd"),""))</f>
        <v/>
      </c>
      <c r="C251" s="44">
        <f>IF(_calc!$E$253="","","Survey readiness")</f>
        <v/>
      </c>
      <c r="D251" s="44">
        <f>IF(_calc!$E$253="","",IF(ISNUMBER(INDEX('Checklist'!$H$4:$H$503,_calc!$E$253)),TEXT(INDEX('Checklist'!$H$4:$H$503,_calc!$E$253),"yyyy-mm-dd"),""))</f>
        <v/>
      </c>
      <c r="F251" s="44">
        <f>IF(_calc!$E$253="","",TRIM(IF(LEN(IF(LEN(INDEX('Checklist'!$A$4:$A$503,_calc!$E$253))=0,"",INDEX('Checklist'!$A$4:$A$503,_calc!$E$253)))=0,"","Group: "&amp;IF(LEN(INDEX('Checklist'!$A$4:$A$503,_calc!$E$253))=0,"",INDEX('Checklist'!$A$4:$A$503,_calc!$E$253))&amp;". ")&amp;IF(LEN(IF(LEN(INDEX('Checklist'!$E$4:$E$503,_calc!$E$253))=0,"",INDEX('Checklist'!$E$4:$E$503,_calc!$E$253)))=0,"","Owner: "&amp;IF(LEN(INDEX('Checklist'!$E$4:$E$503,_calc!$E$253))=0,"",INDEX('Checklist'!$E$4:$E$503,_calc!$E$253))&amp;". ")&amp;IF(LEN(IF(LEN(INDEX('Checklist'!$F$4:$F$503,_calc!$E$253))=0,"",INDEX('Checklist'!$F$4:$F$503,_calc!$E$253)))=0,"","Backup: "&amp;IF(LEN(INDEX('Checklist'!$F$4:$F$503,_calc!$E$253))=0,"",INDEX('Checklist'!$F$4:$F$503,_calc!$E$253))&amp;". ")&amp;IF(LEN(IF(LEN(INDEX('Checklist'!$J$4:$J$503,_calc!$E$253))=0,"",INDEX('Checklist'!$J$4:$J$503,_calc!$E$253)))=0,"","Evidence: "&amp;IF(LEN(INDEX('Checklist'!$J$4:$J$503,_calc!$E$253))=0,"",INDEX('Checklist'!$J$4:$J$503,_calc!$E$253))&amp;". ")&amp;IF(LEN(IF(LEN(INDEX('Checklist'!$D$4:$D$503,_calc!$E$253))=0,"",INDEX('Checklist'!$D$4:$D$503,_calc!$E$253)))=0,"","Rule example: "&amp;IF(LEN(INDEX('Checklist'!$D$4:$D$503,_calc!$E$253))=0,"",INDEX('Checklist'!$D$4:$D$503,_calc!$E$253))&amp;". ")&amp;IF(LEN(IF(LEN(INDEX('Checklist'!$P$4:$P$503,_calc!$E$253))=0,"",INDEX('Checklist'!$P$4:$P$503,_calc!$E$253)))=0,"",IF(LEN(INDEX('Checklist'!$P$4:$P$503,_calc!$E$253))=0,"",INDEX('Checklist'!$P$4:$P$503,_calc!$E$253)))))</f>
        <v/>
      </c>
      <c r="K251" s="44">
        <f>IF(_calc!$E$253="","",IF(LEN(INDEX('Checklist'!$G$4:$G$503,_calc!$E$253))=0,"",INDEX('Checklist'!$G$4:$G$503,_calc!$E$253)))</f>
        <v/>
      </c>
    </row>
    <row r="252">
      <c r="A252" s="44">
        <f>IF(_calc!$E$254="","","Survey check – "&amp;IF(LEN(INDEX('Checklist'!$C$4:$C$503,_calc!$E$254))=0,"",INDEX('Checklist'!$C$4:$C$503,_calc!$E$254)))</f>
        <v/>
      </c>
      <c r="B252" s="44">
        <f>IF(_calc!$E$254="","",IF(ISNUMBER(INDEX('Checklist'!$L$4:$L$503,_calc!$E$254)),TEXT(INDEX('Checklist'!$L$4:$L$503,_calc!$E$254),"yyyy-mm-dd"),""))</f>
        <v/>
      </c>
      <c r="C252" s="44">
        <f>IF(_calc!$E$254="","","Survey readiness")</f>
        <v/>
      </c>
      <c r="D252" s="44">
        <f>IF(_calc!$E$254="","",IF(ISNUMBER(INDEX('Checklist'!$H$4:$H$503,_calc!$E$254)),TEXT(INDEX('Checklist'!$H$4:$H$503,_calc!$E$254),"yyyy-mm-dd"),""))</f>
        <v/>
      </c>
      <c r="F252" s="44">
        <f>IF(_calc!$E$254="","",TRIM(IF(LEN(IF(LEN(INDEX('Checklist'!$A$4:$A$503,_calc!$E$254))=0,"",INDEX('Checklist'!$A$4:$A$503,_calc!$E$254)))=0,"","Group: "&amp;IF(LEN(INDEX('Checklist'!$A$4:$A$503,_calc!$E$254))=0,"",INDEX('Checklist'!$A$4:$A$503,_calc!$E$254))&amp;". ")&amp;IF(LEN(IF(LEN(INDEX('Checklist'!$E$4:$E$503,_calc!$E$254))=0,"",INDEX('Checklist'!$E$4:$E$503,_calc!$E$254)))=0,"","Owner: "&amp;IF(LEN(INDEX('Checklist'!$E$4:$E$503,_calc!$E$254))=0,"",INDEX('Checklist'!$E$4:$E$503,_calc!$E$254))&amp;". ")&amp;IF(LEN(IF(LEN(INDEX('Checklist'!$F$4:$F$503,_calc!$E$254))=0,"",INDEX('Checklist'!$F$4:$F$503,_calc!$E$254)))=0,"","Backup: "&amp;IF(LEN(INDEX('Checklist'!$F$4:$F$503,_calc!$E$254))=0,"",INDEX('Checklist'!$F$4:$F$503,_calc!$E$254))&amp;". ")&amp;IF(LEN(IF(LEN(INDEX('Checklist'!$J$4:$J$503,_calc!$E$254))=0,"",INDEX('Checklist'!$J$4:$J$503,_calc!$E$254)))=0,"","Evidence: "&amp;IF(LEN(INDEX('Checklist'!$J$4:$J$503,_calc!$E$254))=0,"",INDEX('Checklist'!$J$4:$J$503,_calc!$E$254))&amp;". ")&amp;IF(LEN(IF(LEN(INDEX('Checklist'!$D$4:$D$503,_calc!$E$254))=0,"",INDEX('Checklist'!$D$4:$D$503,_calc!$E$254)))=0,"","Rule example: "&amp;IF(LEN(INDEX('Checklist'!$D$4:$D$503,_calc!$E$254))=0,"",INDEX('Checklist'!$D$4:$D$503,_calc!$E$254))&amp;". ")&amp;IF(LEN(IF(LEN(INDEX('Checklist'!$P$4:$P$503,_calc!$E$254))=0,"",INDEX('Checklist'!$P$4:$P$503,_calc!$E$254)))=0,"",IF(LEN(INDEX('Checklist'!$P$4:$P$503,_calc!$E$254))=0,"",INDEX('Checklist'!$P$4:$P$503,_calc!$E$254)))))</f>
        <v/>
      </c>
      <c r="K252" s="44">
        <f>IF(_calc!$E$254="","",IF(LEN(INDEX('Checklist'!$G$4:$G$503,_calc!$E$254))=0,"",INDEX('Checklist'!$G$4:$G$503,_calc!$E$254)))</f>
        <v/>
      </c>
    </row>
    <row r="253">
      <c r="A253" s="44">
        <f>IF(_calc!$E$255="","","Survey check – "&amp;IF(LEN(INDEX('Checklist'!$C$4:$C$503,_calc!$E$255))=0,"",INDEX('Checklist'!$C$4:$C$503,_calc!$E$255)))</f>
        <v/>
      </c>
      <c r="B253" s="44">
        <f>IF(_calc!$E$255="","",IF(ISNUMBER(INDEX('Checklist'!$L$4:$L$503,_calc!$E$255)),TEXT(INDEX('Checklist'!$L$4:$L$503,_calc!$E$255),"yyyy-mm-dd"),""))</f>
        <v/>
      </c>
      <c r="C253" s="44">
        <f>IF(_calc!$E$255="","","Survey readiness")</f>
        <v/>
      </c>
      <c r="D253" s="44">
        <f>IF(_calc!$E$255="","",IF(ISNUMBER(INDEX('Checklist'!$H$4:$H$503,_calc!$E$255)),TEXT(INDEX('Checklist'!$H$4:$H$503,_calc!$E$255),"yyyy-mm-dd"),""))</f>
        <v/>
      </c>
      <c r="F253" s="44">
        <f>IF(_calc!$E$255="","",TRIM(IF(LEN(IF(LEN(INDEX('Checklist'!$A$4:$A$503,_calc!$E$255))=0,"",INDEX('Checklist'!$A$4:$A$503,_calc!$E$255)))=0,"","Group: "&amp;IF(LEN(INDEX('Checklist'!$A$4:$A$503,_calc!$E$255))=0,"",INDEX('Checklist'!$A$4:$A$503,_calc!$E$255))&amp;". ")&amp;IF(LEN(IF(LEN(INDEX('Checklist'!$E$4:$E$503,_calc!$E$255))=0,"",INDEX('Checklist'!$E$4:$E$503,_calc!$E$255)))=0,"","Owner: "&amp;IF(LEN(INDEX('Checklist'!$E$4:$E$503,_calc!$E$255))=0,"",INDEX('Checklist'!$E$4:$E$503,_calc!$E$255))&amp;". ")&amp;IF(LEN(IF(LEN(INDEX('Checklist'!$F$4:$F$503,_calc!$E$255))=0,"",INDEX('Checklist'!$F$4:$F$503,_calc!$E$255)))=0,"","Backup: "&amp;IF(LEN(INDEX('Checklist'!$F$4:$F$503,_calc!$E$255))=0,"",INDEX('Checklist'!$F$4:$F$503,_calc!$E$255))&amp;". ")&amp;IF(LEN(IF(LEN(INDEX('Checklist'!$J$4:$J$503,_calc!$E$255))=0,"",INDEX('Checklist'!$J$4:$J$503,_calc!$E$255)))=0,"","Evidence: "&amp;IF(LEN(INDEX('Checklist'!$J$4:$J$503,_calc!$E$255))=0,"",INDEX('Checklist'!$J$4:$J$503,_calc!$E$255))&amp;". ")&amp;IF(LEN(IF(LEN(INDEX('Checklist'!$D$4:$D$503,_calc!$E$255))=0,"",INDEX('Checklist'!$D$4:$D$503,_calc!$E$255)))=0,"","Rule example: "&amp;IF(LEN(INDEX('Checklist'!$D$4:$D$503,_calc!$E$255))=0,"",INDEX('Checklist'!$D$4:$D$503,_calc!$E$255))&amp;". ")&amp;IF(LEN(IF(LEN(INDEX('Checklist'!$P$4:$P$503,_calc!$E$255))=0,"",INDEX('Checklist'!$P$4:$P$503,_calc!$E$255)))=0,"",IF(LEN(INDEX('Checklist'!$P$4:$P$503,_calc!$E$255))=0,"",INDEX('Checklist'!$P$4:$P$503,_calc!$E$255)))))</f>
        <v/>
      </c>
      <c r="K253" s="44">
        <f>IF(_calc!$E$255="","",IF(LEN(INDEX('Checklist'!$G$4:$G$503,_calc!$E$255))=0,"",INDEX('Checklist'!$G$4:$G$503,_calc!$E$255)))</f>
        <v/>
      </c>
    </row>
    <row r="254">
      <c r="A254" s="44">
        <f>IF(_calc!$E$256="","","Survey check – "&amp;IF(LEN(INDEX('Checklist'!$C$4:$C$503,_calc!$E$256))=0,"",INDEX('Checklist'!$C$4:$C$503,_calc!$E$256)))</f>
        <v/>
      </c>
      <c r="B254" s="44">
        <f>IF(_calc!$E$256="","",IF(ISNUMBER(INDEX('Checklist'!$L$4:$L$503,_calc!$E$256)),TEXT(INDEX('Checklist'!$L$4:$L$503,_calc!$E$256),"yyyy-mm-dd"),""))</f>
        <v/>
      </c>
      <c r="C254" s="44">
        <f>IF(_calc!$E$256="","","Survey readiness")</f>
        <v/>
      </c>
      <c r="D254" s="44">
        <f>IF(_calc!$E$256="","",IF(ISNUMBER(INDEX('Checklist'!$H$4:$H$503,_calc!$E$256)),TEXT(INDEX('Checklist'!$H$4:$H$503,_calc!$E$256),"yyyy-mm-dd"),""))</f>
        <v/>
      </c>
      <c r="F254" s="44">
        <f>IF(_calc!$E$256="","",TRIM(IF(LEN(IF(LEN(INDEX('Checklist'!$A$4:$A$503,_calc!$E$256))=0,"",INDEX('Checklist'!$A$4:$A$503,_calc!$E$256)))=0,"","Group: "&amp;IF(LEN(INDEX('Checklist'!$A$4:$A$503,_calc!$E$256))=0,"",INDEX('Checklist'!$A$4:$A$503,_calc!$E$256))&amp;". ")&amp;IF(LEN(IF(LEN(INDEX('Checklist'!$E$4:$E$503,_calc!$E$256))=0,"",INDEX('Checklist'!$E$4:$E$503,_calc!$E$256)))=0,"","Owner: "&amp;IF(LEN(INDEX('Checklist'!$E$4:$E$503,_calc!$E$256))=0,"",INDEX('Checklist'!$E$4:$E$503,_calc!$E$256))&amp;". ")&amp;IF(LEN(IF(LEN(INDEX('Checklist'!$F$4:$F$503,_calc!$E$256))=0,"",INDEX('Checklist'!$F$4:$F$503,_calc!$E$256)))=0,"","Backup: "&amp;IF(LEN(INDEX('Checklist'!$F$4:$F$503,_calc!$E$256))=0,"",INDEX('Checklist'!$F$4:$F$503,_calc!$E$256))&amp;". ")&amp;IF(LEN(IF(LEN(INDEX('Checklist'!$J$4:$J$503,_calc!$E$256))=0,"",INDEX('Checklist'!$J$4:$J$503,_calc!$E$256)))=0,"","Evidence: "&amp;IF(LEN(INDEX('Checklist'!$J$4:$J$503,_calc!$E$256))=0,"",INDEX('Checklist'!$J$4:$J$503,_calc!$E$256))&amp;". ")&amp;IF(LEN(IF(LEN(INDEX('Checklist'!$D$4:$D$503,_calc!$E$256))=0,"",INDEX('Checklist'!$D$4:$D$503,_calc!$E$256)))=0,"","Rule example: "&amp;IF(LEN(INDEX('Checklist'!$D$4:$D$503,_calc!$E$256))=0,"",INDEX('Checklist'!$D$4:$D$503,_calc!$E$256))&amp;". ")&amp;IF(LEN(IF(LEN(INDEX('Checklist'!$P$4:$P$503,_calc!$E$256))=0,"",INDEX('Checklist'!$P$4:$P$503,_calc!$E$256)))=0,"",IF(LEN(INDEX('Checklist'!$P$4:$P$503,_calc!$E$256))=0,"",INDEX('Checklist'!$P$4:$P$503,_calc!$E$256)))))</f>
        <v/>
      </c>
      <c r="K254" s="44">
        <f>IF(_calc!$E$256="","",IF(LEN(INDEX('Checklist'!$G$4:$G$503,_calc!$E$256))=0,"",INDEX('Checklist'!$G$4:$G$503,_calc!$E$256)))</f>
        <v/>
      </c>
    </row>
    <row r="255">
      <c r="A255" s="44">
        <f>IF(_calc!$E$257="","","Survey check – "&amp;IF(LEN(INDEX('Checklist'!$C$4:$C$503,_calc!$E$257))=0,"",INDEX('Checklist'!$C$4:$C$503,_calc!$E$257)))</f>
        <v/>
      </c>
      <c r="B255" s="44">
        <f>IF(_calc!$E$257="","",IF(ISNUMBER(INDEX('Checklist'!$L$4:$L$503,_calc!$E$257)),TEXT(INDEX('Checklist'!$L$4:$L$503,_calc!$E$257),"yyyy-mm-dd"),""))</f>
        <v/>
      </c>
      <c r="C255" s="44">
        <f>IF(_calc!$E$257="","","Survey readiness")</f>
        <v/>
      </c>
      <c r="D255" s="44">
        <f>IF(_calc!$E$257="","",IF(ISNUMBER(INDEX('Checklist'!$H$4:$H$503,_calc!$E$257)),TEXT(INDEX('Checklist'!$H$4:$H$503,_calc!$E$257),"yyyy-mm-dd"),""))</f>
        <v/>
      </c>
      <c r="F255" s="44">
        <f>IF(_calc!$E$257="","",TRIM(IF(LEN(IF(LEN(INDEX('Checklist'!$A$4:$A$503,_calc!$E$257))=0,"",INDEX('Checklist'!$A$4:$A$503,_calc!$E$257)))=0,"","Group: "&amp;IF(LEN(INDEX('Checklist'!$A$4:$A$503,_calc!$E$257))=0,"",INDEX('Checklist'!$A$4:$A$503,_calc!$E$257))&amp;". ")&amp;IF(LEN(IF(LEN(INDEX('Checklist'!$E$4:$E$503,_calc!$E$257))=0,"",INDEX('Checklist'!$E$4:$E$503,_calc!$E$257)))=0,"","Owner: "&amp;IF(LEN(INDEX('Checklist'!$E$4:$E$503,_calc!$E$257))=0,"",INDEX('Checklist'!$E$4:$E$503,_calc!$E$257))&amp;". ")&amp;IF(LEN(IF(LEN(INDEX('Checklist'!$F$4:$F$503,_calc!$E$257))=0,"",INDEX('Checklist'!$F$4:$F$503,_calc!$E$257)))=0,"","Backup: "&amp;IF(LEN(INDEX('Checklist'!$F$4:$F$503,_calc!$E$257))=0,"",INDEX('Checklist'!$F$4:$F$503,_calc!$E$257))&amp;". ")&amp;IF(LEN(IF(LEN(INDEX('Checklist'!$J$4:$J$503,_calc!$E$257))=0,"",INDEX('Checklist'!$J$4:$J$503,_calc!$E$257)))=0,"","Evidence: "&amp;IF(LEN(INDEX('Checklist'!$J$4:$J$503,_calc!$E$257))=0,"",INDEX('Checklist'!$J$4:$J$503,_calc!$E$257))&amp;". ")&amp;IF(LEN(IF(LEN(INDEX('Checklist'!$D$4:$D$503,_calc!$E$257))=0,"",INDEX('Checklist'!$D$4:$D$503,_calc!$E$257)))=0,"","Rule example: "&amp;IF(LEN(INDEX('Checklist'!$D$4:$D$503,_calc!$E$257))=0,"",INDEX('Checklist'!$D$4:$D$503,_calc!$E$257))&amp;". ")&amp;IF(LEN(IF(LEN(INDEX('Checklist'!$P$4:$P$503,_calc!$E$257))=0,"",INDEX('Checklist'!$P$4:$P$503,_calc!$E$257)))=0,"",IF(LEN(INDEX('Checklist'!$P$4:$P$503,_calc!$E$257))=0,"",INDEX('Checklist'!$P$4:$P$503,_calc!$E$257)))))</f>
        <v/>
      </c>
      <c r="K255" s="44">
        <f>IF(_calc!$E$257="","",IF(LEN(INDEX('Checklist'!$G$4:$G$503,_calc!$E$257))=0,"",INDEX('Checklist'!$G$4:$G$503,_calc!$E$257)))</f>
        <v/>
      </c>
    </row>
    <row r="256">
      <c r="A256" s="44">
        <f>IF(_calc!$E$258="","","Survey check – "&amp;IF(LEN(INDEX('Checklist'!$C$4:$C$503,_calc!$E$258))=0,"",INDEX('Checklist'!$C$4:$C$503,_calc!$E$258)))</f>
        <v/>
      </c>
      <c r="B256" s="44">
        <f>IF(_calc!$E$258="","",IF(ISNUMBER(INDEX('Checklist'!$L$4:$L$503,_calc!$E$258)),TEXT(INDEX('Checklist'!$L$4:$L$503,_calc!$E$258),"yyyy-mm-dd"),""))</f>
        <v/>
      </c>
      <c r="C256" s="44">
        <f>IF(_calc!$E$258="","","Survey readiness")</f>
        <v/>
      </c>
      <c r="D256" s="44">
        <f>IF(_calc!$E$258="","",IF(ISNUMBER(INDEX('Checklist'!$H$4:$H$503,_calc!$E$258)),TEXT(INDEX('Checklist'!$H$4:$H$503,_calc!$E$258),"yyyy-mm-dd"),""))</f>
        <v/>
      </c>
      <c r="F256" s="44">
        <f>IF(_calc!$E$258="","",TRIM(IF(LEN(IF(LEN(INDEX('Checklist'!$A$4:$A$503,_calc!$E$258))=0,"",INDEX('Checklist'!$A$4:$A$503,_calc!$E$258)))=0,"","Group: "&amp;IF(LEN(INDEX('Checklist'!$A$4:$A$503,_calc!$E$258))=0,"",INDEX('Checklist'!$A$4:$A$503,_calc!$E$258))&amp;". ")&amp;IF(LEN(IF(LEN(INDEX('Checklist'!$E$4:$E$503,_calc!$E$258))=0,"",INDEX('Checklist'!$E$4:$E$503,_calc!$E$258)))=0,"","Owner: "&amp;IF(LEN(INDEX('Checklist'!$E$4:$E$503,_calc!$E$258))=0,"",INDEX('Checklist'!$E$4:$E$503,_calc!$E$258))&amp;". ")&amp;IF(LEN(IF(LEN(INDEX('Checklist'!$F$4:$F$503,_calc!$E$258))=0,"",INDEX('Checklist'!$F$4:$F$503,_calc!$E$258)))=0,"","Backup: "&amp;IF(LEN(INDEX('Checklist'!$F$4:$F$503,_calc!$E$258))=0,"",INDEX('Checklist'!$F$4:$F$503,_calc!$E$258))&amp;". ")&amp;IF(LEN(IF(LEN(INDEX('Checklist'!$J$4:$J$503,_calc!$E$258))=0,"",INDEX('Checklist'!$J$4:$J$503,_calc!$E$258)))=0,"","Evidence: "&amp;IF(LEN(INDEX('Checklist'!$J$4:$J$503,_calc!$E$258))=0,"",INDEX('Checklist'!$J$4:$J$503,_calc!$E$258))&amp;". ")&amp;IF(LEN(IF(LEN(INDEX('Checklist'!$D$4:$D$503,_calc!$E$258))=0,"",INDEX('Checklist'!$D$4:$D$503,_calc!$E$258)))=0,"","Rule example: "&amp;IF(LEN(INDEX('Checklist'!$D$4:$D$503,_calc!$E$258))=0,"",INDEX('Checklist'!$D$4:$D$503,_calc!$E$258))&amp;". ")&amp;IF(LEN(IF(LEN(INDEX('Checklist'!$P$4:$P$503,_calc!$E$258))=0,"",INDEX('Checklist'!$P$4:$P$503,_calc!$E$258)))=0,"",IF(LEN(INDEX('Checklist'!$P$4:$P$503,_calc!$E$258))=0,"",INDEX('Checklist'!$P$4:$P$503,_calc!$E$258)))))</f>
        <v/>
      </c>
      <c r="K256" s="44">
        <f>IF(_calc!$E$258="","",IF(LEN(INDEX('Checklist'!$G$4:$G$503,_calc!$E$258))=0,"",INDEX('Checklist'!$G$4:$G$503,_calc!$E$258)))</f>
        <v/>
      </c>
    </row>
    <row r="257">
      <c r="A257" s="44">
        <f>IF(_calc!$E$259="","","Survey check – "&amp;IF(LEN(INDEX('Checklist'!$C$4:$C$503,_calc!$E$259))=0,"",INDEX('Checklist'!$C$4:$C$503,_calc!$E$259)))</f>
        <v/>
      </c>
      <c r="B257" s="44">
        <f>IF(_calc!$E$259="","",IF(ISNUMBER(INDEX('Checklist'!$L$4:$L$503,_calc!$E$259)),TEXT(INDEX('Checklist'!$L$4:$L$503,_calc!$E$259),"yyyy-mm-dd"),""))</f>
        <v/>
      </c>
      <c r="C257" s="44">
        <f>IF(_calc!$E$259="","","Survey readiness")</f>
        <v/>
      </c>
      <c r="D257" s="44">
        <f>IF(_calc!$E$259="","",IF(ISNUMBER(INDEX('Checklist'!$H$4:$H$503,_calc!$E$259)),TEXT(INDEX('Checklist'!$H$4:$H$503,_calc!$E$259),"yyyy-mm-dd"),""))</f>
        <v/>
      </c>
      <c r="F257" s="44">
        <f>IF(_calc!$E$259="","",TRIM(IF(LEN(IF(LEN(INDEX('Checklist'!$A$4:$A$503,_calc!$E$259))=0,"",INDEX('Checklist'!$A$4:$A$503,_calc!$E$259)))=0,"","Group: "&amp;IF(LEN(INDEX('Checklist'!$A$4:$A$503,_calc!$E$259))=0,"",INDEX('Checklist'!$A$4:$A$503,_calc!$E$259))&amp;". ")&amp;IF(LEN(IF(LEN(INDEX('Checklist'!$E$4:$E$503,_calc!$E$259))=0,"",INDEX('Checklist'!$E$4:$E$503,_calc!$E$259)))=0,"","Owner: "&amp;IF(LEN(INDEX('Checklist'!$E$4:$E$503,_calc!$E$259))=0,"",INDEX('Checklist'!$E$4:$E$503,_calc!$E$259))&amp;". ")&amp;IF(LEN(IF(LEN(INDEX('Checklist'!$F$4:$F$503,_calc!$E$259))=0,"",INDEX('Checklist'!$F$4:$F$503,_calc!$E$259)))=0,"","Backup: "&amp;IF(LEN(INDEX('Checklist'!$F$4:$F$503,_calc!$E$259))=0,"",INDEX('Checklist'!$F$4:$F$503,_calc!$E$259))&amp;". ")&amp;IF(LEN(IF(LEN(INDEX('Checklist'!$J$4:$J$503,_calc!$E$259))=0,"",INDEX('Checklist'!$J$4:$J$503,_calc!$E$259)))=0,"","Evidence: "&amp;IF(LEN(INDEX('Checklist'!$J$4:$J$503,_calc!$E$259))=0,"",INDEX('Checklist'!$J$4:$J$503,_calc!$E$259))&amp;". ")&amp;IF(LEN(IF(LEN(INDEX('Checklist'!$D$4:$D$503,_calc!$E$259))=0,"",INDEX('Checklist'!$D$4:$D$503,_calc!$E$259)))=0,"","Rule example: "&amp;IF(LEN(INDEX('Checklist'!$D$4:$D$503,_calc!$E$259))=0,"",INDEX('Checklist'!$D$4:$D$503,_calc!$E$259))&amp;". ")&amp;IF(LEN(IF(LEN(INDEX('Checklist'!$P$4:$P$503,_calc!$E$259))=0,"",INDEX('Checklist'!$P$4:$P$503,_calc!$E$259)))=0,"",IF(LEN(INDEX('Checklist'!$P$4:$P$503,_calc!$E$259))=0,"",INDEX('Checklist'!$P$4:$P$503,_calc!$E$259)))))</f>
        <v/>
      </c>
      <c r="K257" s="44">
        <f>IF(_calc!$E$259="","",IF(LEN(INDEX('Checklist'!$G$4:$G$503,_calc!$E$259))=0,"",INDEX('Checklist'!$G$4:$G$503,_calc!$E$259)))</f>
        <v/>
      </c>
    </row>
    <row r="258">
      <c r="A258" s="44">
        <f>IF(_calc!$E$260="","","Survey check – "&amp;IF(LEN(INDEX('Checklist'!$C$4:$C$503,_calc!$E$260))=0,"",INDEX('Checklist'!$C$4:$C$503,_calc!$E$260)))</f>
        <v/>
      </c>
      <c r="B258" s="44">
        <f>IF(_calc!$E$260="","",IF(ISNUMBER(INDEX('Checklist'!$L$4:$L$503,_calc!$E$260)),TEXT(INDEX('Checklist'!$L$4:$L$503,_calc!$E$260),"yyyy-mm-dd"),""))</f>
        <v/>
      </c>
      <c r="C258" s="44">
        <f>IF(_calc!$E$260="","","Survey readiness")</f>
        <v/>
      </c>
      <c r="D258" s="44">
        <f>IF(_calc!$E$260="","",IF(ISNUMBER(INDEX('Checklist'!$H$4:$H$503,_calc!$E$260)),TEXT(INDEX('Checklist'!$H$4:$H$503,_calc!$E$260),"yyyy-mm-dd"),""))</f>
        <v/>
      </c>
      <c r="F258" s="44">
        <f>IF(_calc!$E$260="","",TRIM(IF(LEN(IF(LEN(INDEX('Checklist'!$A$4:$A$503,_calc!$E$260))=0,"",INDEX('Checklist'!$A$4:$A$503,_calc!$E$260)))=0,"","Group: "&amp;IF(LEN(INDEX('Checklist'!$A$4:$A$503,_calc!$E$260))=0,"",INDEX('Checklist'!$A$4:$A$503,_calc!$E$260))&amp;". ")&amp;IF(LEN(IF(LEN(INDEX('Checklist'!$E$4:$E$503,_calc!$E$260))=0,"",INDEX('Checklist'!$E$4:$E$503,_calc!$E$260)))=0,"","Owner: "&amp;IF(LEN(INDEX('Checklist'!$E$4:$E$503,_calc!$E$260))=0,"",INDEX('Checklist'!$E$4:$E$503,_calc!$E$260))&amp;". ")&amp;IF(LEN(IF(LEN(INDEX('Checklist'!$F$4:$F$503,_calc!$E$260))=0,"",INDEX('Checklist'!$F$4:$F$503,_calc!$E$260)))=0,"","Backup: "&amp;IF(LEN(INDEX('Checklist'!$F$4:$F$503,_calc!$E$260))=0,"",INDEX('Checklist'!$F$4:$F$503,_calc!$E$260))&amp;". ")&amp;IF(LEN(IF(LEN(INDEX('Checklist'!$J$4:$J$503,_calc!$E$260))=0,"",INDEX('Checklist'!$J$4:$J$503,_calc!$E$260)))=0,"","Evidence: "&amp;IF(LEN(INDEX('Checklist'!$J$4:$J$503,_calc!$E$260))=0,"",INDEX('Checklist'!$J$4:$J$503,_calc!$E$260))&amp;". ")&amp;IF(LEN(IF(LEN(INDEX('Checklist'!$D$4:$D$503,_calc!$E$260))=0,"",INDEX('Checklist'!$D$4:$D$503,_calc!$E$260)))=0,"","Rule example: "&amp;IF(LEN(INDEX('Checklist'!$D$4:$D$503,_calc!$E$260))=0,"",INDEX('Checklist'!$D$4:$D$503,_calc!$E$260))&amp;". ")&amp;IF(LEN(IF(LEN(INDEX('Checklist'!$P$4:$P$503,_calc!$E$260))=0,"",INDEX('Checklist'!$P$4:$P$503,_calc!$E$260)))=0,"",IF(LEN(INDEX('Checklist'!$P$4:$P$503,_calc!$E$260))=0,"",INDEX('Checklist'!$P$4:$P$503,_calc!$E$260)))))</f>
        <v/>
      </c>
      <c r="K258" s="44">
        <f>IF(_calc!$E$260="","",IF(LEN(INDEX('Checklist'!$G$4:$G$503,_calc!$E$260))=0,"",INDEX('Checklist'!$G$4:$G$503,_calc!$E$260)))</f>
        <v/>
      </c>
    </row>
    <row r="259">
      <c r="A259" s="44">
        <f>IF(_calc!$E$261="","","Survey check – "&amp;IF(LEN(INDEX('Checklist'!$C$4:$C$503,_calc!$E$261))=0,"",INDEX('Checklist'!$C$4:$C$503,_calc!$E$261)))</f>
        <v/>
      </c>
      <c r="B259" s="44">
        <f>IF(_calc!$E$261="","",IF(ISNUMBER(INDEX('Checklist'!$L$4:$L$503,_calc!$E$261)),TEXT(INDEX('Checklist'!$L$4:$L$503,_calc!$E$261),"yyyy-mm-dd"),""))</f>
        <v/>
      </c>
      <c r="C259" s="44">
        <f>IF(_calc!$E$261="","","Survey readiness")</f>
        <v/>
      </c>
      <c r="D259" s="44">
        <f>IF(_calc!$E$261="","",IF(ISNUMBER(INDEX('Checklist'!$H$4:$H$503,_calc!$E$261)),TEXT(INDEX('Checklist'!$H$4:$H$503,_calc!$E$261),"yyyy-mm-dd"),""))</f>
        <v/>
      </c>
      <c r="F259" s="44">
        <f>IF(_calc!$E$261="","",TRIM(IF(LEN(IF(LEN(INDEX('Checklist'!$A$4:$A$503,_calc!$E$261))=0,"",INDEX('Checklist'!$A$4:$A$503,_calc!$E$261)))=0,"","Group: "&amp;IF(LEN(INDEX('Checklist'!$A$4:$A$503,_calc!$E$261))=0,"",INDEX('Checklist'!$A$4:$A$503,_calc!$E$261))&amp;". ")&amp;IF(LEN(IF(LEN(INDEX('Checklist'!$E$4:$E$503,_calc!$E$261))=0,"",INDEX('Checklist'!$E$4:$E$503,_calc!$E$261)))=0,"","Owner: "&amp;IF(LEN(INDEX('Checklist'!$E$4:$E$503,_calc!$E$261))=0,"",INDEX('Checklist'!$E$4:$E$503,_calc!$E$261))&amp;". ")&amp;IF(LEN(IF(LEN(INDEX('Checklist'!$F$4:$F$503,_calc!$E$261))=0,"",INDEX('Checklist'!$F$4:$F$503,_calc!$E$261)))=0,"","Backup: "&amp;IF(LEN(INDEX('Checklist'!$F$4:$F$503,_calc!$E$261))=0,"",INDEX('Checklist'!$F$4:$F$503,_calc!$E$261))&amp;". ")&amp;IF(LEN(IF(LEN(INDEX('Checklist'!$J$4:$J$503,_calc!$E$261))=0,"",INDEX('Checklist'!$J$4:$J$503,_calc!$E$261)))=0,"","Evidence: "&amp;IF(LEN(INDEX('Checklist'!$J$4:$J$503,_calc!$E$261))=0,"",INDEX('Checklist'!$J$4:$J$503,_calc!$E$261))&amp;". ")&amp;IF(LEN(IF(LEN(INDEX('Checklist'!$D$4:$D$503,_calc!$E$261))=0,"",INDEX('Checklist'!$D$4:$D$503,_calc!$E$261)))=0,"","Rule example: "&amp;IF(LEN(INDEX('Checklist'!$D$4:$D$503,_calc!$E$261))=0,"",INDEX('Checklist'!$D$4:$D$503,_calc!$E$261))&amp;". ")&amp;IF(LEN(IF(LEN(INDEX('Checklist'!$P$4:$P$503,_calc!$E$261))=0,"",INDEX('Checklist'!$P$4:$P$503,_calc!$E$261)))=0,"",IF(LEN(INDEX('Checklist'!$P$4:$P$503,_calc!$E$261))=0,"",INDEX('Checklist'!$P$4:$P$503,_calc!$E$261)))))</f>
        <v/>
      </c>
      <c r="K259" s="44">
        <f>IF(_calc!$E$261="","",IF(LEN(INDEX('Checklist'!$G$4:$G$503,_calc!$E$261))=0,"",INDEX('Checklist'!$G$4:$G$503,_calc!$E$261)))</f>
        <v/>
      </c>
    </row>
    <row r="260">
      <c r="A260" s="44">
        <f>IF(_calc!$E$262="","","Survey check – "&amp;IF(LEN(INDEX('Checklist'!$C$4:$C$503,_calc!$E$262))=0,"",INDEX('Checklist'!$C$4:$C$503,_calc!$E$262)))</f>
        <v/>
      </c>
      <c r="B260" s="44">
        <f>IF(_calc!$E$262="","",IF(ISNUMBER(INDEX('Checklist'!$L$4:$L$503,_calc!$E$262)),TEXT(INDEX('Checklist'!$L$4:$L$503,_calc!$E$262),"yyyy-mm-dd"),""))</f>
        <v/>
      </c>
      <c r="C260" s="44">
        <f>IF(_calc!$E$262="","","Survey readiness")</f>
        <v/>
      </c>
      <c r="D260" s="44">
        <f>IF(_calc!$E$262="","",IF(ISNUMBER(INDEX('Checklist'!$H$4:$H$503,_calc!$E$262)),TEXT(INDEX('Checklist'!$H$4:$H$503,_calc!$E$262),"yyyy-mm-dd"),""))</f>
        <v/>
      </c>
      <c r="F260" s="44">
        <f>IF(_calc!$E$262="","",TRIM(IF(LEN(IF(LEN(INDEX('Checklist'!$A$4:$A$503,_calc!$E$262))=0,"",INDEX('Checklist'!$A$4:$A$503,_calc!$E$262)))=0,"","Group: "&amp;IF(LEN(INDEX('Checklist'!$A$4:$A$503,_calc!$E$262))=0,"",INDEX('Checklist'!$A$4:$A$503,_calc!$E$262))&amp;". ")&amp;IF(LEN(IF(LEN(INDEX('Checklist'!$E$4:$E$503,_calc!$E$262))=0,"",INDEX('Checklist'!$E$4:$E$503,_calc!$E$262)))=0,"","Owner: "&amp;IF(LEN(INDEX('Checklist'!$E$4:$E$503,_calc!$E$262))=0,"",INDEX('Checklist'!$E$4:$E$503,_calc!$E$262))&amp;". ")&amp;IF(LEN(IF(LEN(INDEX('Checklist'!$F$4:$F$503,_calc!$E$262))=0,"",INDEX('Checklist'!$F$4:$F$503,_calc!$E$262)))=0,"","Backup: "&amp;IF(LEN(INDEX('Checklist'!$F$4:$F$503,_calc!$E$262))=0,"",INDEX('Checklist'!$F$4:$F$503,_calc!$E$262))&amp;". ")&amp;IF(LEN(IF(LEN(INDEX('Checklist'!$J$4:$J$503,_calc!$E$262))=0,"",INDEX('Checklist'!$J$4:$J$503,_calc!$E$262)))=0,"","Evidence: "&amp;IF(LEN(INDEX('Checklist'!$J$4:$J$503,_calc!$E$262))=0,"",INDEX('Checklist'!$J$4:$J$503,_calc!$E$262))&amp;". ")&amp;IF(LEN(IF(LEN(INDEX('Checklist'!$D$4:$D$503,_calc!$E$262))=0,"",INDEX('Checklist'!$D$4:$D$503,_calc!$E$262)))=0,"","Rule example: "&amp;IF(LEN(INDEX('Checklist'!$D$4:$D$503,_calc!$E$262))=0,"",INDEX('Checklist'!$D$4:$D$503,_calc!$E$262))&amp;". ")&amp;IF(LEN(IF(LEN(INDEX('Checklist'!$P$4:$P$503,_calc!$E$262))=0,"",INDEX('Checklist'!$P$4:$P$503,_calc!$E$262)))=0,"",IF(LEN(INDEX('Checklist'!$P$4:$P$503,_calc!$E$262))=0,"",INDEX('Checklist'!$P$4:$P$503,_calc!$E$262)))))</f>
        <v/>
      </c>
      <c r="K260" s="44">
        <f>IF(_calc!$E$262="","",IF(LEN(INDEX('Checklist'!$G$4:$G$503,_calc!$E$262))=0,"",INDEX('Checklist'!$G$4:$G$503,_calc!$E$262)))</f>
        <v/>
      </c>
    </row>
    <row r="261">
      <c r="A261" s="44">
        <f>IF(_calc!$E$263="","","Survey check – "&amp;IF(LEN(INDEX('Checklist'!$C$4:$C$503,_calc!$E$263))=0,"",INDEX('Checklist'!$C$4:$C$503,_calc!$E$263)))</f>
        <v/>
      </c>
      <c r="B261" s="44">
        <f>IF(_calc!$E$263="","",IF(ISNUMBER(INDEX('Checklist'!$L$4:$L$503,_calc!$E$263)),TEXT(INDEX('Checklist'!$L$4:$L$503,_calc!$E$263),"yyyy-mm-dd"),""))</f>
        <v/>
      </c>
      <c r="C261" s="44">
        <f>IF(_calc!$E$263="","","Survey readiness")</f>
        <v/>
      </c>
      <c r="D261" s="44">
        <f>IF(_calc!$E$263="","",IF(ISNUMBER(INDEX('Checklist'!$H$4:$H$503,_calc!$E$263)),TEXT(INDEX('Checklist'!$H$4:$H$503,_calc!$E$263),"yyyy-mm-dd"),""))</f>
        <v/>
      </c>
      <c r="F261" s="44">
        <f>IF(_calc!$E$263="","",TRIM(IF(LEN(IF(LEN(INDEX('Checklist'!$A$4:$A$503,_calc!$E$263))=0,"",INDEX('Checklist'!$A$4:$A$503,_calc!$E$263)))=0,"","Group: "&amp;IF(LEN(INDEX('Checklist'!$A$4:$A$503,_calc!$E$263))=0,"",INDEX('Checklist'!$A$4:$A$503,_calc!$E$263))&amp;". ")&amp;IF(LEN(IF(LEN(INDEX('Checklist'!$E$4:$E$503,_calc!$E$263))=0,"",INDEX('Checklist'!$E$4:$E$503,_calc!$E$263)))=0,"","Owner: "&amp;IF(LEN(INDEX('Checklist'!$E$4:$E$503,_calc!$E$263))=0,"",INDEX('Checklist'!$E$4:$E$503,_calc!$E$263))&amp;". ")&amp;IF(LEN(IF(LEN(INDEX('Checklist'!$F$4:$F$503,_calc!$E$263))=0,"",INDEX('Checklist'!$F$4:$F$503,_calc!$E$263)))=0,"","Backup: "&amp;IF(LEN(INDEX('Checklist'!$F$4:$F$503,_calc!$E$263))=0,"",INDEX('Checklist'!$F$4:$F$503,_calc!$E$263))&amp;". ")&amp;IF(LEN(IF(LEN(INDEX('Checklist'!$J$4:$J$503,_calc!$E$263))=0,"",INDEX('Checklist'!$J$4:$J$503,_calc!$E$263)))=0,"","Evidence: "&amp;IF(LEN(INDEX('Checklist'!$J$4:$J$503,_calc!$E$263))=0,"",INDEX('Checklist'!$J$4:$J$503,_calc!$E$263))&amp;". ")&amp;IF(LEN(IF(LEN(INDEX('Checklist'!$D$4:$D$503,_calc!$E$263))=0,"",INDEX('Checklist'!$D$4:$D$503,_calc!$E$263)))=0,"","Rule example: "&amp;IF(LEN(INDEX('Checklist'!$D$4:$D$503,_calc!$E$263))=0,"",INDEX('Checklist'!$D$4:$D$503,_calc!$E$263))&amp;". ")&amp;IF(LEN(IF(LEN(INDEX('Checklist'!$P$4:$P$503,_calc!$E$263))=0,"",INDEX('Checklist'!$P$4:$P$503,_calc!$E$263)))=0,"",IF(LEN(INDEX('Checklist'!$P$4:$P$503,_calc!$E$263))=0,"",INDEX('Checklist'!$P$4:$P$503,_calc!$E$263)))))</f>
        <v/>
      </c>
      <c r="K261" s="44">
        <f>IF(_calc!$E$263="","",IF(LEN(INDEX('Checklist'!$G$4:$G$503,_calc!$E$263))=0,"",INDEX('Checklist'!$G$4:$G$503,_calc!$E$263)))</f>
        <v/>
      </c>
    </row>
    <row r="262">
      <c r="A262" s="44">
        <f>IF(_calc!$E$264="","","Survey check – "&amp;IF(LEN(INDEX('Checklist'!$C$4:$C$503,_calc!$E$264))=0,"",INDEX('Checklist'!$C$4:$C$503,_calc!$E$264)))</f>
        <v/>
      </c>
      <c r="B262" s="44">
        <f>IF(_calc!$E$264="","",IF(ISNUMBER(INDEX('Checklist'!$L$4:$L$503,_calc!$E$264)),TEXT(INDEX('Checklist'!$L$4:$L$503,_calc!$E$264),"yyyy-mm-dd"),""))</f>
        <v/>
      </c>
      <c r="C262" s="44">
        <f>IF(_calc!$E$264="","","Survey readiness")</f>
        <v/>
      </c>
      <c r="D262" s="44">
        <f>IF(_calc!$E$264="","",IF(ISNUMBER(INDEX('Checklist'!$H$4:$H$503,_calc!$E$264)),TEXT(INDEX('Checklist'!$H$4:$H$503,_calc!$E$264),"yyyy-mm-dd"),""))</f>
        <v/>
      </c>
      <c r="F262" s="44">
        <f>IF(_calc!$E$264="","",TRIM(IF(LEN(IF(LEN(INDEX('Checklist'!$A$4:$A$503,_calc!$E$264))=0,"",INDEX('Checklist'!$A$4:$A$503,_calc!$E$264)))=0,"","Group: "&amp;IF(LEN(INDEX('Checklist'!$A$4:$A$503,_calc!$E$264))=0,"",INDEX('Checklist'!$A$4:$A$503,_calc!$E$264))&amp;". ")&amp;IF(LEN(IF(LEN(INDEX('Checklist'!$E$4:$E$503,_calc!$E$264))=0,"",INDEX('Checklist'!$E$4:$E$503,_calc!$E$264)))=0,"","Owner: "&amp;IF(LEN(INDEX('Checklist'!$E$4:$E$503,_calc!$E$264))=0,"",INDEX('Checklist'!$E$4:$E$503,_calc!$E$264))&amp;". ")&amp;IF(LEN(IF(LEN(INDEX('Checklist'!$F$4:$F$503,_calc!$E$264))=0,"",INDEX('Checklist'!$F$4:$F$503,_calc!$E$264)))=0,"","Backup: "&amp;IF(LEN(INDEX('Checklist'!$F$4:$F$503,_calc!$E$264))=0,"",INDEX('Checklist'!$F$4:$F$503,_calc!$E$264))&amp;". ")&amp;IF(LEN(IF(LEN(INDEX('Checklist'!$J$4:$J$503,_calc!$E$264))=0,"",INDEX('Checklist'!$J$4:$J$503,_calc!$E$264)))=0,"","Evidence: "&amp;IF(LEN(INDEX('Checklist'!$J$4:$J$503,_calc!$E$264))=0,"",INDEX('Checklist'!$J$4:$J$503,_calc!$E$264))&amp;". ")&amp;IF(LEN(IF(LEN(INDEX('Checklist'!$D$4:$D$503,_calc!$E$264))=0,"",INDEX('Checklist'!$D$4:$D$503,_calc!$E$264)))=0,"","Rule example: "&amp;IF(LEN(INDEX('Checklist'!$D$4:$D$503,_calc!$E$264))=0,"",INDEX('Checklist'!$D$4:$D$503,_calc!$E$264))&amp;". ")&amp;IF(LEN(IF(LEN(INDEX('Checklist'!$P$4:$P$503,_calc!$E$264))=0,"",INDEX('Checklist'!$P$4:$P$503,_calc!$E$264)))=0,"",IF(LEN(INDEX('Checklist'!$P$4:$P$503,_calc!$E$264))=0,"",INDEX('Checklist'!$P$4:$P$503,_calc!$E$264)))))</f>
        <v/>
      </c>
      <c r="K262" s="44">
        <f>IF(_calc!$E$264="","",IF(LEN(INDEX('Checklist'!$G$4:$G$503,_calc!$E$264))=0,"",INDEX('Checklist'!$G$4:$G$503,_calc!$E$264)))</f>
        <v/>
      </c>
    </row>
    <row r="263">
      <c r="A263" s="44">
        <f>IF(_calc!$E$265="","","Survey check – "&amp;IF(LEN(INDEX('Checklist'!$C$4:$C$503,_calc!$E$265))=0,"",INDEX('Checklist'!$C$4:$C$503,_calc!$E$265)))</f>
        <v/>
      </c>
      <c r="B263" s="44">
        <f>IF(_calc!$E$265="","",IF(ISNUMBER(INDEX('Checklist'!$L$4:$L$503,_calc!$E$265)),TEXT(INDEX('Checklist'!$L$4:$L$503,_calc!$E$265),"yyyy-mm-dd"),""))</f>
        <v/>
      </c>
      <c r="C263" s="44">
        <f>IF(_calc!$E$265="","","Survey readiness")</f>
        <v/>
      </c>
      <c r="D263" s="44">
        <f>IF(_calc!$E$265="","",IF(ISNUMBER(INDEX('Checklist'!$H$4:$H$503,_calc!$E$265)),TEXT(INDEX('Checklist'!$H$4:$H$503,_calc!$E$265),"yyyy-mm-dd"),""))</f>
        <v/>
      </c>
      <c r="F263" s="44">
        <f>IF(_calc!$E$265="","",TRIM(IF(LEN(IF(LEN(INDEX('Checklist'!$A$4:$A$503,_calc!$E$265))=0,"",INDEX('Checklist'!$A$4:$A$503,_calc!$E$265)))=0,"","Group: "&amp;IF(LEN(INDEX('Checklist'!$A$4:$A$503,_calc!$E$265))=0,"",INDEX('Checklist'!$A$4:$A$503,_calc!$E$265))&amp;". ")&amp;IF(LEN(IF(LEN(INDEX('Checklist'!$E$4:$E$503,_calc!$E$265))=0,"",INDEX('Checklist'!$E$4:$E$503,_calc!$E$265)))=0,"","Owner: "&amp;IF(LEN(INDEX('Checklist'!$E$4:$E$503,_calc!$E$265))=0,"",INDEX('Checklist'!$E$4:$E$503,_calc!$E$265))&amp;". ")&amp;IF(LEN(IF(LEN(INDEX('Checklist'!$F$4:$F$503,_calc!$E$265))=0,"",INDEX('Checklist'!$F$4:$F$503,_calc!$E$265)))=0,"","Backup: "&amp;IF(LEN(INDEX('Checklist'!$F$4:$F$503,_calc!$E$265))=0,"",INDEX('Checklist'!$F$4:$F$503,_calc!$E$265))&amp;". ")&amp;IF(LEN(IF(LEN(INDEX('Checklist'!$J$4:$J$503,_calc!$E$265))=0,"",INDEX('Checklist'!$J$4:$J$503,_calc!$E$265)))=0,"","Evidence: "&amp;IF(LEN(INDEX('Checklist'!$J$4:$J$503,_calc!$E$265))=0,"",INDEX('Checklist'!$J$4:$J$503,_calc!$E$265))&amp;". ")&amp;IF(LEN(IF(LEN(INDEX('Checklist'!$D$4:$D$503,_calc!$E$265))=0,"",INDEX('Checklist'!$D$4:$D$503,_calc!$E$265)))=0,"","Rule example: "&amp;IF(LEN(INDEX('Checklist'!$D$4:$D$503,_calc!$E$265))=0,"",INDEX('Checklist'!$D$4:$D$503,_calc!$E$265))&amp;". ")&amp;IF(LEN(IF(LEN(INDEX('Checklist'!$P$4:$P$503,_calc!$E$265))=0,"",INDEX('Checklist'!$P$4:$P$503,_calc!$E$265)))=0,"",IF(LEN(INDEX('Checklist'!$P$4:$P$503,_calc!$E$265))=0,"",INDEX('Checklist'!$P$4:$P$503,_calc!$E$265)))))</f>
        <v/>
      </c>
      <c r="K263" s="44">
        <f>IF(_calc!$E$265="","",IF(LEN(INDEX('Checklist'!$G$4:$G$503,_calc!$E$265))=0,"",INDEX('Checklist'!$G$4:$G$503,_calc!$E$265)))</f>
        <v/>
      </c>
    </row>
    <row r="264">
      <c r="A264" s="44">
        <f>IF(_calc!$E$266="","","Survey check – "&amp;IF(LEN(INDEX('Checklist'!$C$4:$C$503,_calc!$E$266))=0,"",INDEX('Checklist'!$C$4:$C$503,_calc!$E$266)))</f>
        <v/>
      </c>
      <c r="B264" s="44">
        <f>IF(_calc!$E$266="","",IF(ISNUMBER(INDEX('Checklist'!$L$4:$L$503,_calc!$E$266)),TEXT(INDEX('Checklist'!$L$4:$L$503,_calc!$E$266),"yyyy-mm-dd"),""))</f>
        <v/>
      </c>
      <c r="C264" s="44">
        <f>IF(_calc!$E$266="","","Survey readiness")</f>
        <v/>
      </c>
      <c r="D264" s="44">
        <f>IF(_calc!$E$266="","",IF(ISNUMBER(INDEX('Checklist'!$H$4:$H$503,_calc!$E$266)),TEXT(INDEX('Checklist'!$H$4:$H$503,_calc!$E$266),"yyyy-mm-dd"),""))</f>
        <v/>
      </c>
      <c r="F264" s="44">
        <f>IF(_calc!$E$266="","",TRIM(IF(LEN(IF(LEN(INDEX('Checklist'!$A$4:$A$503,_calc!$E$266))=0,"",INDEX('Checklist'!$A$4:$A$503,_calc!$E$266)))=0,"","Group: "&amp;IF(LEN(INDEX('Checklist'!$A$4:$A$503,_calc!$E$266))=0,"",INDEX('Checklist'!$A$4:$A$503,_calc!$E$266))&amp;". ")&amp;IF(LEN(IF(LEN(INDEX('Checklist'!$E$4:$E$503,_calc!$E$266))=0,"",INDEX('Checklist'!$E$4:$E$503,_calc!$E$266)))=0,"","Owner: "&amp;IF(LEN(INDEX('Checklist'!$E$4:$E$503,_calc!$E$266))=0,"",INDEX('Checklist'!$E$4:$E$503,_calc!$E$266))&amp;". ")&amp;IF(LEN(IF(LEN(INDEX('Checklist'!$F$4:$F$503,_calc!$E$266))=0,"",INDEX('Checklist'!$F$4:$F$503,_calc!$E$266)))=0,"","Backup: "&amp;IF(LEN(INDEX('Checklist'!$F$4:$F$503,_calc!$E$266))=0,"",INDEX('Checklist'!$F$4:$F$503,_calc!$E$266))&amp;". ")&amp;IF(LEN(IF(LEN(INDEX('Checklist'!$J$4:$J$503,_calc!$E$266))=0,"",INDEX('Checklist'!$J$4:$J$503,_calc!$E$266)))=0,"","Evidence: "&amp;IF(LEN(INDEX('Checklist'!$J$4:$J$503,_calc!$E$266))=0,"",INDEX('Checklist'!$J$4:$J$503,_calc!$E$266))&amp;". ")&amp;IF(LEN(IF(LEN(INDEX('Checklist'!$D$4:$D$503,_calc!$E$266))=0,"",INDEX('Checklist'!$D$4:$D$503,_calc!$E$266)))=0,"","Rule example: "&amp;IF(LEN(INDEX('Checklist'!$D$4:$D$503,_calc!$E$266))=0,"",INDEX('Checklist'!$D$4:$D$503,_calc!$E$266))&amp;". ")&amp;IF(LEN(IF(LEN(INDEX('Checklist'!$P$4:$P$503,_calc!$E$266))=0,"",INDEX('Checklist'!$P$4:$P$503,_calc!$E$266)))=0,"",IF(LEN(INDEX('Checklist'!$P$4:$P$503,_calc!$E$266))=0,"",INDEX('Checklist'!$P$4:$P$503,_calc!$E$266)))))</f>
        <v/>
      </c>
      <c r="K264" s="44">
        <f>IF(_calc!$E$266="","",IF(LEN(INDEX('Checklist'!$G$4:$G$503,_calc!$E$266))=0,"",INDEX('Checklist'!$G$4:$G$503,_calc!$E$266)))</f>
        <v/>
      </c>
    </row>
    <row r="265">
      <c r="A265" s="44">
        <f>IF(_calc!$E$267="","","Survey check – "&amp;IF(LEN(INDEX('Checklist'!$C$4:$C$503,_calc!$E$267))=0,"",INDEX('Checklist'!$C$4:$C$503,_calc!$E$267)))</f>
        <v/>
      </c>
      <c r="B265" s="44">
        <f>IF(_calc!$E$267="","",IF(ISNUMBER(INDEX('Checklist'!$L$4:$L$503,_calc!$E$267)),TEXT(INDEX('Checklist'!$L$4:$L$503,_calc!$E$267),"yyyy-mm-dd"),""))</f>
        <v/>
      </c>
      <c r="C265" s="44">
        <f>IF(_calc!$E$267="","","Survey readiness")</f>
        <v/>
      </c>
      <c r="D265" s="44">
        <f>IF(_calc!$E$267="","",IF(ISNUMBER(INDEX('Checklist'!$H$4:$H$503,_calc!$E$267)),TEXT(INDEX('Checklist'!$H$4:$H$503,_calc!$E$267),"yyyy-mm-dd"),""))</f>
        <v/>
      </c>
      <c r="F265" s="44">
        <f>IF(_calc!$E$267="","",TRIM(IF(LEN(IF(LEN(INDEX('Checklist'!$A$4:$A$503,_calc!$E$267))=0,"",INDEX('Checklist'!$A$4:$A$503,_calc!$E$267)))=0,"","Group: "&amp;IF(LEN(INDEX('Checklist'!$A$4:$A$503,_calc!$E$267))=0,"",INDEX('Checklist'!$A$4:$A$503,_calc!$E$267))&amp;". ")&amp;IF(LEN(IF(LEN(INDEX('Checklist'!$E$4:$E$503,_calc!$E$267))=0,"",INDEX('Checklist'!$E$4:$E$503,_calc!$E$267)))=0,"","Owner: "&amp;IF(LEN(INDEX('Checklist'!$E$4:$E$503,_calc!$E$267))=0,"",INDEX('Checklist'!$E$4:$E$503,_calc!$E$267))&amp;". ")&amp;IF(LEN(IF(LEN(INDEX('Checklist'!$F$4:$F$503,_calc!$E$267))=0,"",INDEX('Checklist'!$F$4:$F$503,_calc!$E$267)))=0,"","Backup: "&amp;IF(LEN(INDEX('Checklist'!$F$4:$F$503,_calc!$E$267))=0,"",INDEX('Checklist'!$F$4:$F$503,_calc!$E$267))&amp;". ")&amp;IF(LEN(IF(LEN(INDEX('Checklist'!$J$4:$J$503,_calc!$E$267))=0,"",INDEX('Checklist'!$J$4:$J$503,_calc!$E$267)))=0,"","Evidence: "&amp;IF(LEN(INDEX('Checklist'!$J$4:$J$503,_calc!$E$267))=0,"",INDEX('Checklist'!$J$4:$J$503,_calc!$E$267))&amp;". ")&amp;IF(LEN(IF(LEN(INDEX('Checklist'!$D$4:$D$503,_calc!$E$267))=0,"",INDEX('Checklist'!$D$4:$D$503,_calc!$E$267)))=0,"","Rule example: "&amp;IF(LEN(INDEX('Checklist'!$D$4:$D$503,_calc!$E$267))=0,"",INDEX('Checklist'!$D$4:$D$503,_calc!$E$267))&amp;". ")&amp;IF(LEN(IF(LEN(INDEX('Checklist'!$P$4:$P$503,_calc!$E$267))=0,"",INDEX('Checklist'!$P$4:$P$503,_calc!$E$267)))=0,"",IF(LEN(INDEX('Checklist'!$P$4:$P$503,_calc!$E$267))=0,"",INDEX('Checklist'!$P$4:$P$503,_calc!$E$267)))))</f>
        <v/>
      </c>
      <c r="K265" s="44">
        <f>IF(_calc!$E$267="","",IF(LEN(INDEX('Checklist'!$G$4:$G$503,_calc!$E$267))=0,"",INDEX('Checklist'!$G$4:$G$503,_calc!$E$267)))</f>
        <v/>
      </c>
    </row>
    <row r="266">
      <c r="A266" s="44">
        <f>IF(_calc!$E$268="","","Survey check – "&amp;IF(LEN(INDEX('Checklist'!$C$4:$C$503,_calc!$E$268))=0,"",INDEX('Checklist'!$C$4:$C$503,_calc!$E$268)))</f>
        <v/>
      </c>
      <c r="B266" s="44">
        <f>IF(_calc!$E$268="","",IF(ISNUMBER(INDEX('Checklist'!$L$4:$L$503,_calc!$E$268)),TEXT(INDEX('Checklist'!$L$4:$L$503,_calc!$E$268),"yyyy-mm-dd"),""))</f>
        <v/>
      </c>
      <c r="C266" s="44">
        <f>IF(_calc!$E$268="","","Survey readiness")</f>
        <v/>
      </c>
      <c r="D266" s="44">
        <f>IF(_calc!$E$268="","",IF(ISNUMBER(INDEX('Checklist'!$H$4:$H$503,_calc!$E$268)),TEXT(INDEX('Checklist'!$H$4:$H$503,_calc!$E$268),"yyyy-mm-dd"),""))</f>
        <v/>
      </c>
      <c r="F266" s="44">
        <f>IF(_calc!$E$268="","",TRIM(IF(LEN(IF(LEN(INDEX('Checklist'!$A$4:$A$503,_calc!$E$268))=0,"",INDEX('Checklist'!$A$4:$A$503,_calc!$E$268)))=0,"","Group: "&amp;IF(LEN(INDEX('Checklist'!$A$4:$A$503,_calc!$E$268))=0,"",INDEX('Checklist'!$A$4:$A$503,_calc!$E$268))&amp;". ")&amp;IF(LEN(IF(LEN(INDEX('Checklist'!$E$4:$E$503,_calc!$E$268))=0,"",INDEX('Checklist'!$E$4:$E$503,_calc!$E$268)))=0,"","Owner: "&amp;IF(LEN(INDEX('Checklist'!$E$4:$E$503,_calc!$E$268))=0,"",INDEX('Checklist'!$E$4:$E$503,_calc!$E$268))&amp;". ")&amp;IF(LEN(IF(LEN(INDEX('Checklist'!$F$4:$F$503,_calc!$E$268))=0,"",INDEX('Checklist'!$F$4:$F$503,_calc!$E$268)))=0,"","Backup: "&amp;IF(LEN(INDEX('Checklist'!$F$4:$F$503,_calc!$E$268))=0,"",INDEX('Checklist'!$F$4:$F$503,_calc!$E$268))&amp;". ")&amp;IF(LEN(IF(LEN(INDEX('Checklist'!$J$4:$J$503,_calc!$E$268))=0,"",INDEX('Checklist'!$J$4:$J$503,_calc!$E$268)))=0,"","Evidence: "&amp;IF(LEN(INDEX('Checklist'!$J$4:$J$503,_calc!$E$268))=0,"",INDEX('Checklist'!$J$4:$J$503,_calc!$E$268))&amp;". ")&amp;IF(LEN(IF(LEN(INDEX('Checklist'!$D$4:$D$503,_calc!$E$268))=0,"",INDEX('Checklist'!$D$4:$D$503,_calc!$E$268)))=0,"","Rule example: "&amp;IF(LEN(INDEX('Checklist'!$D$4:$D$503,_calc!$E$268))=0,"",INDEX('Checklist'!$D$4:$D$503,_calc!$E$268))&amp;". ")&amp;IF(LEN(IF(LEN(INDEX('Checklist'!$P$4:$P$503,_calc!$E$268))=0,"",INDEX('Checklist'!$P$4:$P$503,_calc!$E$268)))=0,"",IF(LEN(INDEX('Checklist'!$P$4:$P$503,_calc!$E$268))=0,"",INDEX('Checklist'!$P$4:$P$503,_calc!$E$268)))))</f>
        <v/>
      </c>
      <c r="K266" s="44">
        <f>IF(_calc!$E$268="","",IF(LEN(INDEX('Checklist'!$G$4:$G$503,_calc!$E$268))=0,"",INDEX('Checklist'!$G$4:$G$503,_calc!$E$268)))</f>
        <v/>
      </c>
    </row>
    <row r="267">
      <c r="A267" s="44">
        <f>IF(_calc!$E$269="","","Survey check – "&amp;IF(LEN(INDEX('Checklist'!$C$4:$C$503,_calc!$E$269))=0,"",INDEX('Checklist'!$C$4:$C$503,_calc!$E$269)))</f>
        <v/>
      </c>
      <c r="B267" s="44">
        <f>IF(_calc!$E$269="","",IF(ISNUMBER(INDEX('Checklist'!$L$4:$L$503,_calc!$E$269)),TEXT(INDEX('Checklist'!$L$4:$L$503,_calc!$E$269),"yyyy-mm-dd"),""))</f>
        <v/>
      </c>
      <c r="C267" s="44">
        <f>IF(_calc!$E$269="","","Survey readiness")</f>
        <v/>
      </c>
      <c r="D267" s="44">
        <f>IF(_calc!$E$269="","",IF(ISNUMBER(INDEX('Checklist'!$H$4:$H$503,_calc!$E$269)),TEXT(INDEX('Checklist'!$H$4:$H$503,_calc!$E$269),"yyyy-mm-dd"),""))</f>
        <v/>
      </c>
      <c r="F267" s="44">
        <f>IF(_calc!$E$269="","",TRIM(IF(LEN(IF(LEN(INDEX('Checklist'!$A$4:$A$503,_calc!$E$269))=0,"",INDEX('Checklist'!$A$4:$A$503,_calc!$E$269)))=0,"","Group: "&amp;IF(LEN(INDEX('Checklist'!$A$4:$A$503,_calc!$E$269))=0,"",INDEX('Checklist'!$A$4:$A$503,_calc!$E$269))&amp;". ")&amp;IF(LEN(IF(LEN(INDEX('Checklist'!$E$4:$E$503,_calc!$E$269))=0,"",INDEX('Checklist'!$E$4:$E$503,_calc!$E$269)))=0,"","Owner: "&amp;IF(LEN(INDEX('Checklist'!$E$4:$E$503,_calc!$E$269))=0,"",INDEX('Checklist'!$E$4:$E$503,_calc!$E$269))&amp;". ")&amp;IF(LEN(IF(LEN(INDEX('Checklist'!$F$4:$F$503,_calc!$E$269))=0,"",INDEX('Checklist'!$F$4:$F$503,_calc!$E$269)))=0,"","Backup: "&amp;IF(LEN(INDEX('Checklist'!$F$4:$F$503,_calc!$E$269))=0,"",INDEX('Checklist'!$F$4:$F$503,_calc!$E$269))&amp;". ")&amp;IF(LEN(IF(LEN(INDEX('Checklist'!$J$4:$J$503,_calc!$E$269))=0,"",INDEX('Checklist'!$J$4:$J$503,_calc!$E$269)))=0,"","Evidence: "&amp;IF(LEN(INDEX('Checklist'!$J$4:$J$503,_calc!$E$269))=0,"",INDEX('Checklist'!$J$4:$J$503,_calc!$E$269))&amp;". ")&amp;IF(LEN(IF(LEN(INDEX('Checklist'!$D$4:$D$503,_calc!$E$269))=0,"",INDEX('Checklist'!$D$4:$D$503,_calc!$E$269)))=0,"","Rule example: "&amp;IF(LEN(INDEX('Checklist'!$D$4:$D$503,_calc!$E$269))=0,"",INDEX('Checklist'!$D$4:$D$503,_calc!$E$269))&amp;". ")&amp;IF(LEN(IF(LEN(INDEX('Checklist'!$P$4:$P$503,_calc!$E$269))=0,"",INDEX('Checklist'!$P$4:$P$503,_calc!$E$269)))=0,"",IF(LEN(INDEX('Checklist'!$P$4:$P$503,_calc!$E$269))=0,"",INDEX('Checklist'!$P$4:$P$503,_calc!$E$269)))))</f>
        <v/>
      </c>
      <c r="K267" s="44">
        <f>IF(_calc!$E$269="","",IF(LEN(INDEX('Checklist'!$G$4:$G$503,_calc!$E$269))=0,"",INDEX('Checklist'!$G$4:$G$503,_calc!$E$269)))</f>
        <v/>
      </c>
    </row>
    <row r="268">
      <c r="A268" s="44">
        <f>IF(_calc!$E$270="","","Survey check – "&amp;IF(LEN(INDEX('Checklist'!$C$4:$C$503,_calc!$E$270))=0,"",INDEX('Checklist'!$C$4:$C$503,_calc!$E$270)))</f>
        <v/>
      </c>
      <c r="B268" s="44">
        <f>IF(_calc!$E$270="","",IF(ISNUMBER(INDEX('Checklist'!$L$4:$L$503,_calc!$E$270)),TEXT(INDEX('Checklist'!$L$4:$L$503,_calc!$E$270),"yyyy-mm-dd"),""))</f>
        <v/>
      </c>
      <c r="C268" s="44">
        <f>IF(_calc!$E$270="","","Survey readiness")</f>
        <v/>
      </c>
      <c r="D268" s="44">
        <f>IF(_calc!$E$270="","",IF(ISNUMBER(INDEX('Checklist'!$H$4:$H$503,_calc!$E$270)),TEXT(INDEX('Checklist'!$H$4:$H$503,_calc!$E$270),"yyyy-mm-dd"),""))</f>
        <v/>
      </c>
      <c r="F268" s="44">
        <f>IF(_calc!$E$270="","",TRIM(IF(LEN(IF(LEN(INDEX('Checklist'!$A$4:$A$503,_calc!$E$270))=0,"",INDEX('Checklist'!$A$4:$A$503,_calc!$E$270)))=0,"","Group: "&amp;IF(LEN(INDEX('Checklist'!$A$4:$A$503,_calc!$E$270))=0,"",INDEX('Checklist'!$A$4:$A$503,_calc!$E$270))&amp;". ")&amp;IF(LEN(IF(LEN(INDEX('Checklist'!$E$4:$E$503,_calc!$E$270))=0,"",INDEX('Checklist'!$E$4:$E$503,_calc!$E$270)))=0,"","Owner: "&amp;IF(LEN(INDEX('Checklist'!$E$4:$E$503,_calc!$E$270))=0,"",INDEX('Checklist'!$E$4:$E$503,_calc!$E$270))&amp;". ")&amp;IF(LEN(IF(LEN(INDEX('Checklist'!$F$4:$F$503,_calc!$E$270))=0,"",INDEX('Checklist'!$F$4:$F$503,_calc!$E$270)))=0,"","Backup: "&amp;IF(LEN(INDEX('Checklist'!$F$4:$F$503,_calc!$E$270))=0,"",INDEX('Checklist'!$F$4:$F$503,_calc!$E$270))&amp;". ")&amp;IF(LEN(IF(LEN(INDEX('Checklist'!$J$4:$J$503,_calc!$E$270))=0,"",INDEX('Checklist'!$J$4:$J$503,_calc!$E$270)))=0,"","Evidence: "&amp;IF(LEN(INDEX('Checklist'!$J$4:$J$503,_calc!$E$270))=0,"",INDEX('Checklist'!$J$4:$J$503,_calc!$E$270))&amp;". ")&amp;IF(LEN(IF(LEN(INDEX('Checklist'!$D$4:$D$503,_calc!$E$270))=0,"",INDEX('Checklist'!$D$4:$D$503,_calc!$E$270)))=0,"","Rule example: "&amp;IF(LEN(INDEX('Checklist'!$D$4:$D$503,_calc!$E$270))=0,"",INDEX('Checklist'!$D$4:$D$503,_calc!$E$270))&amp;". ")&amp;IF(LEN(IF(LEN(INDEX('Checklist'!$P$4:$P$503,_calc!$E$270))=0,"",INDEX('Checklist'!$P$4:$P$503,_calc!$E$270)))=0,"",IF(LEN(INDEX('Checklist'!$P$4:$P$503,_calc!$E$270))=0,"",INDEX('Checklist'!$P$4:$P$503,_calc!$E$270)))))</f>
        <v/>
      </c>
      <c r="K268" s="44">
        <f>IF(_calc!$E$270="","",IF(LEN(INDEX('Checklist'!$G$4:$G$503,_calc!$E$270))=0,"",INDEX('Checklist'!$G$4:$G$503,_calc!$E$270)))</f>
        <v/>
      </c>
    </row>
    <row r="269">
      <c r="A269" s="44">
        <f>IF(_calc!$E$271="","","Survey check – "&amp;IF(LEN(INDEX('Checklist'!$C$4:$C$503,_calc!$E$271))=0,"",INDEX('Checklist'!$C$4:$C$503,_calc!$E$271)))</f>
        <v/>
      </c>
      <c r="B269" s="44">
        <f>IF(_calc!$E$271="","",IF(ISNUMBER(INDEX('Checklist'!$L$4:$L$503,_calc!$E$271)),TEXT(INDEX('Checklist'!$L$4:$L$503,_calc!$E$271),"yyyy-mm-dd"),""))</f>
        <v/>
      </c>
      <c r="C269" s="44">
        <f>IF(_calc!$E$271="","","Survey readiness")</f>
        <v/>
      </c>
      <c r="D269" s="44">
        <f>IF(_calc!$E$271="","",IF(ISNUMBER(INDEX('Checklist'!$H$4:$H$503,_calc!$E$271)),TEXT(INDEX('Checklist'!$H$4:$H$503,_calc!$E$271),"yyyy-mm-dd"),""))</f>
        <v/>
      </c>
      <c r="F269" s="44">
        <f>IF(_calc!$E$271="","",TRIM(IF(LEN(IF(LEN(INDEX('Checklist'!$A$4:$A$503,_calc!$E$271))=0,"",INDEX('Checklist'!$A$4:$A$503,_calc!$E$271)))=0,"","Group: "&amp;IF(LEN(INDEX('Checklist'!$A$4:$A$503,_calc!$E$271))=0,"",INDEX('Checklist'!$A$4:$A$503,_calc!$E$271))&amp;". ")&amp;IF(LEN(IF(LEN(INDEX('Checklist'!$E$4:$E$503,_calc!$E$271))=0,"",INDEX('Checklist'!$E$4:$E$503,_calc!$E$271)))=0,"","Owner: "&amp;IF(LEN(INDEX('Checklist'!$E$4:$E$503,_calc!$E$271))=0,"",INDEX('Checklist'!$E$4:$E$503,_calc!$E$271))&amp;". ")&amp;IF(LEN(IF(LEN(INDEX('Checklist'!$F$4:$F$503,_calc!$E$271))=0,"",INDEX('Checklist'!$F$4:$F$503,_calc!$E$271)))=0,"","Backup: "&amp;IF(LEN(INDEX('Checklist'!$F$4:$F$503,_calc!$E$271))=0,"",INDEX('Checklist'!$F$4:$F$503,_calc!$E$271))&amp;". ")&amp;IF(LEN(IF(LEN(INDEX('Checklist'!$J$4:$J$503,_calc!$E$271))=0,"",INDEX('Checklist'!$J$4:$J$503,_calc!$E$271)))=0,"","Evidence: "&amp;IF(LEN(INDEX('Checklist'!$J$4:$J$503,_calc!$E$271))=0,"",INDEX('Checklist'!$J$4:$J$503,_calc!$E$271))&amp;". ")&amp;IF(LEN(IF(LEN(INDEX('Checklist'!$D$4:$D$503,_calc!$E$271))=0,"",INDEX('Checklist'!$D$4:$D$503,_calc!$E$271)))=0,"","Rule example: "&amp;IF(LEN(INDEX('Checklist'!$D$4:$D$503,_calc!$E$271))=0,"",INDEX('Checklist'!$D$4:$D$503,_calc!$E$271))&amp;". ")&amp;IF(LEN(IF(LEN(INDEX('Checklist'!$P$4:$P$503,_calc!$E$271))=0,"",INDEX('Checklist'!$P$4:$P$503,_calc!$E$271)))=0,"",IF(LEN(INDEX('Checklist'!$P$4:$P$503,_calc!$E$271))=0,"",INDEX('Checklist'!$P$4:$P$503,_calc!$E$271)))))</f>
        <v/>
      </c>
      <c r="K269" s="44">
        <f>IF(_calc!$E$271="","",IF(LEN(INDEX('Checklist'!$G$4:$G$503,_calc!$E$271))=0,"",INDEX('Checklist'!$G$4:$G$503,_calc!$E$271)))</f>
        <v/>
      </c>
    </row>
    <row r="270">
      <c r="A270" s="44">
        <f>IF(_calc!$E$272="","","Survey check – "&amp;IF(LEN(INDEX('Checklist'!$C$4:$C$503,_calc!$E$272))=0,"",INDEX('Checklist'!$C$4:$C$503,_calc!$E$272)))</f>
        <v/>
      </c>
      <c r="B270" s="44">
        <f>IF(_calc!$E$272="","",IF(ISNUMBER(INDEX('Checklist'!$L$4:$L$503,_calc!$E$272)),TEXT(INDEX('Checklist'!$L$4:$L$503,_calc!$E$272),"yyyy-mm-dd"),""))</f>
        <v/>
      </c>
      <c r="C270" s="44">
        <f>IF(_calc!$E$272="","","Survey readiness")</f>
        <v/>
      </c>
      <c r="D270" s="44">
        <f>IF(_calc!$E$272="","",IF(ISNUMBER(INDEX('Checklist'!$H$4:$H$503,_calc!$E$272)),TEXT(INDEX('Checklist'!$H$4:$H$503,_calc!$E$272),"yyyy-mm-dd"),""))</f>
        <v/>
      </c>
      <c r="F270" s="44">
        <f>IF(_calc!$E$272="","",TRIM(IF(LEN(IF(LEN(INDEX('Checklist'!$A$4:$A$503,_calc!$E$272))=0,"",INDEX('Checklist'!$A$4:$A$503,_calc!$E$272)))=0,"","Group: "&amp;IF(LEN(INDEX('Checklist'!$A$4:$A$503,_calc!$E$272))=0,"",INDEX('Checklist'!$A$4:$A$503,_calc!$E$272))&amp;". ")&amp;IF(LEN(IF(LEN(INDEX('Checklist'!$E$4:$E$503,_calc!$E$272))=0,"",INDEX('Checklist'!$E$4:$E$503,_calc!$E$272)))=0,"","Owner: "&amp;IF(LEN(INDEX('Checklist'!$E$4:$E$503,_calc!$E$272))=0,"",INDEX('Checklist'!$E$4:$E$503,_calc!$E$272))&amp;". ")&amp;IF(LEN(IF(LEN(INDEX('Checklist'!$F$4:$F$503,_calc!$E$272))=0,"",INDEX('Checklist'!$F$4:$F$503,_calc!$E$272)))=0,"","Backup: "&amp;IF(LEN(INDEX('Checklist'!$F$4:$F$503,_calc!$E$272))=0,"",INDEX('Checklist'!$F$4:$F$503,_calc!$E$272))&amp;". ")&amp;IF(LEN(IF(LEN(INDEX('Checklist'!$J$4:$J$503,_calc!$E$272))=0,"",INDEX('Checklist'!$J$4:$J$503,_calc!$E$272)))=0,"","Evidence: "&amp;IF(LEN(INDEX('Checklist'!$J$4:$J$503,_calc!$E$272))=0,"",INDEX('Checklist'!$J$4:$J$503,_calc!$E$272))&amp;". ")&amp;IF(LEN(IF(LEN(INDEX('Checklist'!$D$4:$D$503,_calc!$E$272))=0,"",INDEX('Checklist'!$D$4:$D$503,_calc!$E$272)))=0,"","Rule example: "&amp;IF(LEN(INDEX('Checklist'!$D$4:$D$503,_calc!$E$272))=0,"",INDEX('Checklist'!$D$4:$D$503,_calc!$E$272))&amp;". ")&amp;IF(LEN(IF(LEN(INDEX('Checklist'!$P$4:$P$503,_calc!$E$272))=0,"",INDEX('Checklist'!$P$4:$P$503,_calc!$E$272)))=0,"",IF(LEN(INDEX('Checklist'!$P$4:$P$503,_calc!$E$272))=0,"",INDEX('Checklist'!$P$4:$P$503,_calc!$E$272)))))</f>
        <v/>
      </c>
      <c r="K270" s="44">
        <f>IF(_calc!$E$272="","",IF(LEN(INDEX('Checklist'!$G$4:$G$503,_calc!$E$272))=0,"",INDEX('Checklist'!$G$4:$G$503,_calc!$E$272)))</f>
        <v/>
      </c>
    </row>
    <row r="271">
      <c r="A271" s="44">
        <f>IF(_calc!$E$273="","","Survey check – "&amp;IF(LEN(INDEX('Checklist'!$C$4:$C$503,_calc!$E$273))=0,"",INDEX('Checklist'!$C$4:$C$503,_calc!$E$273)))</f>
        <v/>
      </c>
      <c r="B271" s="44">
        <f>IF(_calc!$E$273="","",IF(ISNUMBER(INDEX('Checklist'!$L$4:$L$503,_calc!$E$273)),TEXT(INDEX('Checklist'!$L$4:$L$503,_calc!$E$273),"yyyy-mm-dd"),""))</f>
        <v/>
      </c>
      <c r="C271" s="44">
        <f>IF(_calc!$E$273="","","Survey readiness")</f>
        <v/>
      </c>
      <c r="D271" s="44">
        <f>IF(_calc!$E$273="","",IF(ISNUMBER(INDEX('Checklist'!$H$4:$H$503,_calc!$E$273)),TEXT(INDEX('Checklist'!$H$4:$H$503,_calc!$E$273),"yyyy-mm-dd"),""))</f>
        <v/>
      </c>
      <c r="F271" s="44">
        <f>IF(_calc!$E$273="","",TRIM(IF(LEN(IF(LEN(INDEX('Checklist'!$A$4:$A$503,_calc!$E$273))=0,"",INDEX('Checklist'!$A$4:$A$503,_calc!$E$273)))=0,"","Group: "&amp;IF(LEN(INDEX('Checklist'!$A$4:$A$503,_calc!$E$273))=0,"",INDEX('Checklist'!$A$4:$A$503,_calc!$E$273))&amp;". ")&amp;IF(LEN(IF(LEN(INDEX('Checklist'!$E$4:$E$503,_calc!$E$273))=0,"",INDEX('Checklist'!$E$4:$E$503,_calc!$E$273)))=0,"","Owner: "&amp;IF(LEN(INDEX('Checklist'!$E$4:$E$503,_calc!$E$273))=0,"",INDEX('Checklist'!$E$4:$E$503,_calc!$E$273))&amp;". ")&amp;IF(LEN(IF(LEN(INDEX('Checklist'!$F$4:$F$503,_calc!$E$273))=0,"",INDEX('Checklist'!$F$4:$F$503,_calc!$E$273)))=0,"","Backup: "&amp;IF(LEN(INDEX('Checklist'!$F$4:$F$503,_calc!$E$273))=0,"",INDEX('Checklist'!$F$4:$F$503,_calc!$E$273))&amp;". ")&amp;IF(LEN(IF(LEN(INDEX('Checklist'!$J$4:$J$503,_calc!$E$273))=0,"",INDEX('Checklist'!$J$4:$J$503,_calc!$E$273)))=0,"","Evidence: "&amp;IF(LEN(INDEX('Checklist'!$J$4:$J$503,_calc!$E$273))=0,"",INDEX('Checklist'!$J$4:$J$503,_calc!$E$273))&amp;". ")&amp;IF(LEN(IF(LEN(INDEX('Checklist'!$D$4:$D$503,_calc!$E$273))=0,"",INDEX('Checklist'!$D$4:$D$503,_calc!$E$273)))=0,"","Rule example: "&amp;IF(LEN(INDEX('Checklist'!$D$4:$D$503,_calc!$E$273))=0,"",INDEX('Checklist'!$D$4:$D$503,_calc!$E$273))&amp;". ")&amp;IF(LEN(IF(LEN(INDEX('Checklist'!$P$4:$P$503,_calc!$E$273))=0,"",INDEX('Checklist'!$P$4:$P$503,_calc!$E$273)))=0,"",IF(LEN(INDEX('Checklist'!$P$4:$P$503,_calc!$E$273))=0,"",INDEX('Checklist'!$P$4:$P$503,_calc!$E$273)))))</f>
        <v/>
      </c>
      <c r="K271" s="44">
        <f>IF(_calc!$E$273="","",IF(LEN(INDEX('Checklist'!$G$4:$G$503,_calc!$E$273))=0,"",INDEX('Checklist'!$G$4:$G$503,_calc!$E$273)))</f>
        <v/>
      </c>
    </row>
    <row r="272">
      <c r="A272" s="44">
        <f>IF(_calc!$E$274="","","Survey check – "&amp;IF(LEN(INDEX('Checklist'!$C$4:$C$503,_calc!$E$274))=0,"",INDEX('Checklist'!$C$4:$C$503,_calc!$E$274)))</f>
        <v/>
      </c>
      <c r="B272" s="44">
        <f>IF(_calc!$E$274="","",IF(ISNUMBER(INDEX('Checklist'!$L$4:$L$503,_calc!$E$274)),TEXT(INDEX('Checklist'!$L$4:$L$503,_calc!$E$274),"yyyy-mm-dd"),""))</f>
        <v/>
      </c>
      <c r="C272" s="44">
        <f>IF(_calc!$E$274="","","Survey readiness")</f>
        <v/>
      </c>
      <c r="D272" s="44">
        <f>IF(_calc!$E$274="","",IF(ISNUMBER(INDEX('Checklist'!$H$4:$H$503,_calc!$E$274)),TEXT(INDEX('Checklist'!$H$4:$H$503,_calc!$E$274),"yyyy-mm-dd"),""))</f>
        <v/>
      </c>
      <c r="F272" s="44">
        <f>IF(_calc!$E$274="","",TRIM(IF(LEN(IF(LEN(INDEX('Checklist'!$A$4:$A$503,_calc!$E$274))=0,"",INDEX('Checklist'!$A$4:$A$503,_calc!$E$274)))=0,"","Group: "&amp;IF(LEN(INDEX('Checklist'!$A$4:$A$503,_calc!$E$274))=0,"",INDEX('Checklist'!$A$4:$A$503,_calc!$E$274))&amp;". ")&amp;IF(LEN(IF(LEN(INDEX('Checklist'!$E$4:$E$503,_calc!$E$274))=0,"",INDEX('Checklist'!$E$4:$E$503,_calc!$E$274)))=0,"","Owner: "&amp;IF(LEN(INDEX('Checklist'!$E$4:$E$503,_calc!$E$274))=0,"",INDEX('Checklist'!$E$4:$E$503,_calc!$E$274))&amp;". ")&amp;IF(LEN(IF(LEN(INDEX('Checklist'!$F$4:$F$503,_calc!$E$274))=0,"",INDEX('Checklist'!$F$4:$F$503,_calc!$E$274)))=0,"","Backup: "&amp;IF(LEN(INDEX('Checklist'!$F$4:$F$503,_calc!$E$274))=0,"",INDEX('Checklist'!$F$4:$F$503,_calc!$E$274))&amp;". ")&amp;IF(LEN(IF(LEN(INDEX('Checklist'!$J$4:$J$503,_calc!$E$274))=0,"",INDEX('Checklist'!$J$4:$J$503,_calc!$E$274)))=0,"","Evidence: "&amp;IF(LEN(INDEX('Checklist'!$J$4:$J$503,_calc!$E$274))=0,"",INDEX('Checklist'!$J$4:$J$503,_calc!$E$274))&amp;". ")&amp;IF(LEN(IF(LEN(INDEX('Checklist'!$D$4:$D$503,_calc!$E$274))=0,"",INDEX('Checklist'!$D$4:$D$503,_calc!$E$274)))=0,"","Rule example: "&amp;IF(LEN(INDEX('Checklist'!$D$4:$D$503,_calc!$E$274))=0,"",INDEX('Checklist'!$D$4:$D$503,_calc!$E$274))&amp;". ")&amp;IF(LEN(IF(LEN(INDEX('Checklist'!$P$4:$P$503,_calc!$E$274))=0,"",INDEX('Checklist'!$P$4:$P$503,_calc!$E$274)))=0,"",IF(LEN(INDEX('Checklist'!$P$4:$P$503,_calc!$E$274))=0,"",INDEX('Checklist'!$P$4:$P$503,_calc!$E$274)))))</f>
        <v/>
      </c>
      <c r="K272" s="44">
        <f>IF(_calc!$E$274="","",IF(LEN(INDEX('Checklist'!$G$4:$G$503,_calc!$E$274))=0,"",INDEX('Checklist'!$G$4:$G$503,_calc!$E$274)))</f>
        <v/>
      </c>
    </row>
    <row r="273">
      <c r="A273" s="44">
        <f>IF(_calc!$E$275="","","Survey check – "&amp;IF(LEN(INDEX('Checklist'!$C$4:$C$503,_calc!$E$275))=0,"",INDEX('Checklist'!$C$4:$C$503,_calc!$E$275)))</f>
        <v/>
      </c>
      <c r="B273" s="44">
        <f>IF(_calc!$E$275="","",IF(ISNUMBER(INDEX('Checklist'!$L$4:$L$503,_calc!$E$275)),TEXT(INDEX('Checklist'!$L$4:$L$503,_calc!$E$275),"yyyy-mm-dd"),""))</f>
        <v/>
      </c>
      <c r="C273" s="44">
        <f>IF(_calc!$E$275="","","Survey readiness")</f>
        <v/>
      </c>
      <c r="D273" s="44">
        <f>IF(_calc!$E$275="","",IF(ISNUMBER(INDEX('Checklist'!$H$4:$H$503,_calc!$E$275)),TEXT(INDEX('Checklist'!$H$4:$H$503,_calc!$E$275),"yyyy-mm-dd"),""))</f>
        <v/>
      </c>
      <c r="F273" s="44">
        <f>IF(_calc!$E$275="","",TRIM(IF(LEN(IF(LEN(INDEX('Checklist'!$A$4:$A$503,_calc!$E$275))=0,"",INDEX('Checklist'!$A$4:$A$503,_calc!$E$275)))=0,"","Group: "&amp;IF(LEN(INDEX('Checklist'!$A$4:$A$503,_calc!$E$275))=0,"",INDEX('Checklist'!$A$4:$A$503,_calc!$E$275))&amp;". ")&amp;IF(LEN(IF(LEN(INDEX('Checklist'!$E$4:$E$503,_calc!$E$275))=0,"",INDEX('Checklist'!$E$4:$E$503,_calc!$E$275)))=0,"","Owner: "&amp;IF(LEN(INDEX('Checklist'!$E$4:$E$503,_calc!$E$275))=0,"",INDEX('Checklist'!$E$4:$E$503,_calc!$E$275))&amp;". ")&amp;IF(LEN(IF(LEN(INDEX('Checklist'!$F$4:$F$503,_calc!$E$275))=0,"",INDEX('Checklist'!$F$4:$F$503,_calc!$E$275)))=0,"","Backup: "&amp;IF(LEN(INDEX('Checklist'!$F$4:$F$503,_calc!$E$275))=0,"",INDEX('Checklist'!$F$4:$F$503,_calc!$E$275))&amp;". ")&amp;IF(LEN(IF(LEN(INDEX('Checklist'!$J$4:$J$503,_calc!$E$275))=0,"",INDEX('Checklist'!$J$4:$J$503,_calc!$E$275)))=0,"","Evidence: "&amp;IF(LEN(INDEX('Checklist'!$J$4:$J$503,_calc!$E$275))=0,"",INDEX('Checklist'!$J$4:$J$503,_calc!$E$275))&amp;". ")&amp;IF(LEN(IF(LEN(INDEX('Checklist'!$D$4:$D$503,_calc!$E$275))=0,"",INDEX('Checklist'!$D$4:$D$503,_calc!$E$275)))=0,"","Rule example: "&amp;IF(LEN(INDEX('Checklist'!$D$4:$D$503,_calc!$E$275))=0,"",INDEX('Checklist'!$D$4:$D$503,_calc!$E$275))&amp;". ")&amp;IF(LEN(IF(LEN(INDEX('Checklist'!$P$4:$P$503,_calc!$E$275))=0,"",INDEX('Checklist'!$P$4:$P$503,_calc!$E$275)))=0,"",IF(LEN(INDEX('Checklist'!$P$4:$P$503,_calc!$E$275))=0,"",INDEX('Checklist'!$P$4:$P$503,_calc!$E$275)))))</f>
        <v/>
      </c>
      <c r="K273" s="44">
        <f>IF(_calc!$E$275="","",IF(LEN(INDEX('Checklist'!$G$4:$G$503,_calc!$E$275))=0,"",INDEX('Checklist'!$G$4:$G$503,_calc!$E$275)))</f>
        <v/>
      </c>
    </row>
    <row r="274">
      <c r="A274" s="44">
        <f>IF(_calc!$E$276="","","Survey check – "&amp;IF(LEN(INDEX('Checklist'!$C$4:$C$503,_calc!$E$276))=0,"",INDEX('Checklist'!$C$4:$C$503,_calc!$E$276)))</f>
        <v/>
      </c>
      <c r="B274" s="44">
        <f>IF(_calc!$E$276="","",IF(ISNUMBER(INDEX('Checklist'!$L$4:$L$503,_calc!$E$276)),TEXT(INDEX('Checklist'!$L$4:$L$503,_calc!$E$276),"yyyy-mm-dd"),""))</f>
        <v/>
      </c>
      <c r="C274" s="44">
        <f>IF(_calc!$E$276="","","Survey readiness")</f>
        <v/>
      </c>
      <c r="D274" s="44">
        <f>IF(_calc!$E$276="","",IF(ISNUMBER(INDEX('Checklist'!$H$4:$H$503,_calc!$E$276)),TEXT(INDEX('Checklist'!$H$4:$H$503,_calc!$E$276),"yyyy-mm-dd"),""))</f>
        <v/>
      </c>
      <c r="F274" s="44">
        <f>IF(_calc!$E$276="","",TRIM(IF(LEN(IF(LEN(INDEX('Checklist'!$A$4:$A$503,_calc!$E$276))=0,"",INDEX('Checklist'!$A$4:$A$503,_calc!$E$276)))=0,"","Group: "&amp;IF(LEN(INDEX('Checklist'!$A$4:$A$503,_calc!$E$276))=0,"",INDEX('Checklist'!$A$4:$A$503,_calc!$E$276))&amp;". ")&amp;IF(LEN(IF(LEN(INDEX('Checklist'!$E$4:$E$503,_calc!$E$276))=0,"",INDEX('Checklist'!$E$4:$E$503,_calc!$E$276)))=0,"","Owner: "&amp;IF(LEN(INDEX('Checklist'!$E$4:$E$503,_calc!$E$276))=0,"",INDEX('Checklist'!$E$4:$E$503,_calc!$E$276))&amp;". ")&amp;IF(LEN(IF(LEN(INDEX('Checklist'!$F$4:$F$503,_calc!$E$276))=0,"",INDEX('Checklist'!$F$4:$F$503,_calc!$E$276)))=0,"","Backup: "&amp;IF(LEN(INDEX('Checklist'!$F$4:$F$503,_calc!$E$276))=0,"",INDEX('Checklist'!$F$4:$F$503,_calc!$E$276))&amp;". ")&amp;IF(LEN(IF(LEN(INDEX('Checklist'!$J$4:$J$503,_calc!$E$276))=0,"",INDEX('Checklist'!$J$4:$J$503,_calc!$E$276)))=0,"","Evidence: "&amp;IF(LEN(INDEX('Checklist'!$J$4:$J$503,_calc!$E$276))=0,"",INDEX('Checklist'!$J$4:$J$503,_calc!$E$276))&amp;". ")&amp;IF(LEN(IF(LEN(INDEX('Checklist'!$D$4:$D$503,_calc!$E$276))=0,"",INDEX('Checklist'!$D$4:$D$503,_calc!$E$276)))=0,"","Rule example: "&amp;IF(LEN(INDEX('Checklist'!$D$4:$D$503,_calc!$E$276))=0,"",INDEX('Checklist'!$D$4:$D$503,_calc!$E$276))&amp;". ")&amp;IF(LEN(IF(LEN(INDEX('Checklist'!$P$4:$P$503,_calc!$E$276))=0,"",INDEX('Checklist'!$P$4:$P$503,_calc!$E$276)))=0,"",IF(LEN(INDEX('Checklist'!$P$4:$P$503,_calc!$E$276))=0,"",INDEX('Checklist'!$P$4:$P$503,_calc!$E$276)))))</f>
        <v/>
      </c>
      <c r="K274" s="44">
        <f>IF(_calc!$E$276="","",IF(LEN(INDEX('Checklist'!$G$4:$G$503,_calc!$E$276))=0,"",INDEX('Checklist'!$G$4:$G$503,_calc!$E$276)))</f>
        <v/>
      </c>
    </row>
    <row r="275">
      <c r="A275" s="44">
        <f>IF(_calc!$E$277="","","Survey check – "&amp;IF(LEN(INDEX('Checklist'!$C$4:$C$503,_calc!$E$277))=0,"",INDEX('Checklist'!$C$4:$C$503,_calc!$E$277)))</f>
        <v/>
      </c>
      <c r="B275" s="44">
        <f>IF(_calc!$E$277="","",IF(ISNUMBER(INDEX('Checklist'!$L$4:$L$503,_calc!$E$277)),TEXT(INDEX('Checklist'!$L$4:$L$503,_calc!$E$277),"yyyy-mm-dd"),""))</f>
        <v/>
      </c>
      <c r="C275" s="44">
        <f>IF(_calc!$E$277="","","Survey readiness")</f>
        <v/>
      </c>
      <c r="D275" s="44">
        <f>IF(_calc!$E$277="","",IF(ISNUMBER(INDEX('Checklist'!$H$4:$H$503,_calc!$E$277)),TEXT(INDEX('Checklist'!$H$4:$H$503,_calc!$E$277),"yyyy-mm-dd"),""))</f>
        <v/>
      </c>
      <c r="F275" s="44">
        <f>IF(_calc!$E$277="","",TRIM(IF(LEN(IF(LEN(INDEX('Checklist'!$A$4:$A$503,_calc!$E$277))=0,"",INDEX('Checklist'!$A$4:$A$503,_calc!$E$277)))=0,"","Group: "&amp;IF(LEN(INDEX('Checklist'!$A$4:$A$503,_calc!$E$277))=0,"",INDEX('Checklist'!$A$4:$A$503,_calc!$E$277))&amp;". ")&amp;IF(LEN(IF(LEN(INDEX('Checklist'!$E$4:$E$503,_calc!$E$277))=0,"",INDEX('Checklist'!$E$4:$E$503,_calc!$E$277)))=0,"","Owner: "&amp;IF(LEN(INDEX('Checklist'!$E$4:$E$503,_calc!$E$277))=0,"",INDEX('Checklist'!$E$4:$E$503,_calc!$E$277))&amp;". ")&amp;IF(LEN(IF(LEN(INDEX('Checklist'!$F$4:$F$503,_calc!$E$277))=0,"",INDEX('Checklist'!$F$4:$F$503,_calc!$E$277)))=0,"","Backup: "&amp;IF(LEN(INDEX('Checklist'!$F$4:$F$503,_calc!$E$277))=0,"",INDEX('Checklist'!$F$4:$F$503,_calc!$E$277))&amp;". ")&amp;IF(LEN(IF(LEN(INDEX('Checklist'!$J$4:$J$503,_calc!$E$277))=0,"",INDEX('Checklist'!$J$4:$J$503,_calc!$E$277)))=0,"","Evidence: "&amp;IF(LEN(INDEX('Checklist'!$J$4:$J$503,_calc!$E$277))=0,"",INDEX('Checklist'!$J$4:$J$503,_calc!$E$277))&amp;". ")&amp;IF(LEN(IF(LEN(INDEX('Checklist'!$D$4:$D$503,_calc!$E$277))=0,"",INDEX('Checklist'!$D$4:$D$503,_calc!$E$277)))=0,"","Rule example: "&amp;IF(LEN(INDEX('Checklist'!$D$4:$D$503,_calc!$E$277))=0,"",INDEX('Checklist'!$D$4:$D$503,_calc!$E$277))&amp;". ")&amp;IF(LEN(IF(LEN(INDEX('Checklist'!$P$4:$P$503,_calc!$E$277))=0,"",INDEX('Checklist'!$P$4:$P$503,_calc!$E$277)))=0,"",IF(LEN(INDEX('Checklist'!$P$4:$P$503,_calc!$E$277))=0,"",INDEX('Checklist'!$P$4:$P$503,_calc!$E$277)))))</f>
        <v/>
      </c>
      <c r="K275" s="44">
        <f>IF(_calc!$E$277="","",IF(LEN(INDEX('Checklist'!$G$4:$G$503,_calc!$E$277))=0,"",INDEX('Checklist'!$G$4:$G$503,_calc!$E$277)))</f>
        <v/>
      </c>
    </row>
    <row r="276">
      <c r="A276" s="44">
        <f>IF(_calc!$E$278="","","Survey check – "&amp;IF(LEN(INDEX('Checklist'!$C$4:$C$503,_calc!$E$278))=0,"",INDEX('Checklist'!$C$4:$C$503,_calc!$E$278)))</f>
        <v/>
      </c>
      <c r="B276" s="44">
        <f>IF(_calc!$E$278="","",IF(ISNUMBER(INDEX('Checklist'!$L$4:$L$503,_calc!$E$278)),TEXT(INDEX('Checklist'!$L$4:$L$503,_calc!$E$278),"yyyy-mm-dd"),""))</f>
        <v/>
      </c>
      <c r="C276" s="44">
        <f>IF(_calc!$E$278="","","Survey readiness")</f>
        <v/>
      </c>
      <c r="D276" s="44">
        <f>IF(_calc!$E$278="","",IF(ISNUMBER(INDEX('Checklist'!$H$4:$H$503,_calc!$E$278)),TEXT(INDEX('Checklist'!$H$4:$H$503,_calc!$E$278),"yyyy-mm-dd"),""))</f>
        <v/>
      </c>
      <c r="F276" s="44">
        <f>IF(_calc!$E$278="","",TRIM(IF(LEN(IF(LEN(INDEX('Checklist'!$A$4:$A$503,_calc!$E$278))=0,"",INDEX('Checklist'!$A$4:$A$503,_calc!$E$278)))=0,"","Group: "&amp;IF(LEN(INDEX('Checklist'!$A$4:$A$503,_calc!$E$278))=0,"",INDEX('Checklist'!$A$4:$A$503,_calc!$E$278))&amp;". ")&amp;IF(LEN(IF(LEN(INDEX('Checklist'!$E$4:$E$503,_calc!$E$278))=0,"",INDEX('Checklist'!$E$4:$E$503,_calc!$E$278)))=0,"","Owner: "&amp;IF(LEN(INDEX('Checklist'!$E$4:$E$503,_calc!$E$278))=0,"",INDEX('Checklist'!$E$4:$E$503,_calc!$E$278))&amp;". ")&amp;IF(LEN(IF(LEN(INDEX('Checklist'!$F$4:$F$503,_calc!$E$278))=0,"",INDEX('Checklist'!$F$4:$F$503,_calc!$E$278)))=0,"","Backup: "&amp;IF(LEN(INDEX('Checklist'!$F$4:$F$503,_calc!$E$278))=0,"",INDEX('Checklist'!$F$4:$F$503,_calc!$E$278))&amp;". ")&amp;IF(LEN(IF(LEN(INDEX('Checklist'!$J$4:$J$503,_calc!$E$278))=0,"",INDEX('Checklist'!$J$4:$J$503,_calc!$E$278)))=0,"","Evidence: "&amp;IF(LEN(INDEX('Checklist'!$J$4:$J$503,_calc!$E$278))=0,"",INDEX('Checklist'!$J$4:$J$503,_calc!$E$278))&amp;". ")&amp;IF(LEN(IF(LEN(INDEX('Checklist'!$D$4:$D$503,_calc!$E$278))=0,"",INDEX('Checklist'!$D$4:$D$503,_calc!$E$278)))=0,"","Rule example: "&amp;IF(LEN(INDEX('Checklist'!$D$4:$D$503,_calc!$E$278))=0,"",INDEX('Checklist'!$D$4:$D$503,_calc!$E$278))&amp;". ")&amp;IF(LEN(IF(LEN(INDEX('Checklist'!$P$4:$P$503,_calc!$E$278))=0,"",INDEX('Checklist'!$P$4:$P$503,_calc!$E$278)))=0,"",IF(LEN(INDEX('Checklist'!$P$4:$P$503,_calc!$E$278))=0,"",INDEX('Checklist'!$P$4:$P$503,_calc!$E$278)))))</f>
        <v/>
      </c>
      <c r="K276" s="44">
        <f>IF(_calc!$E$278="","",IF(LEN(INDEX('Checklist'!$G$4:$G$503,_calc!$E$278))=0,"",INDEX('Checklist'!$G$4:$G$503,_calc!$E$278)))</f>
        <v/>
      </c>
    </row>
    <row r="277">
      <c r="A277" s="44">
        <f>IF(_calc!$E$279="","","Survey check – "&amp;IF(LEN(INDEX('Checklist'!$C$4:$C$503,_calc!$E$279))=0,"",INDEX('Checklist'!$C$4:$C$503,_calc!$E$279)))</f>
        <v/>
      </c>
      <c r="B277" s="44">
        <f>IF(_calc!$E$279="","",IF(ISNUMBER(INDEX('Checklist'!$L$4:$L$503,_calc!$E$279)),TEXT(INDEX('Checklist'!$L$4:$L$503,_calc!$E$279),"yyyy-mm-dd"),""))</f>
        <v/>
      </c>
      <c r="C277" s="44">
        <f>IF(_calc!$E$279="","","Survey readiness")</f>
        <v/>
      </c>
      <c r="D277" s="44">
        <f>IF(_calc!$E$279="","",IF(ISNUMBER(INDEX('Checklist'!$H$4:$H$503,_calc!$E$279)),TEXT(INDEX('Checklist'!$H$4:$H$503,_calc!$E$279),"yyyy-mm-dd"),""))</f>
        <v/>
      </c>
      <c r="F277" s="44">
        <f>IF(_calc!$E$279="","",TRIM(IF(LEN(IF(LEN(INDEX('Checklist'!$A$4:$A$503,_calc!$E$279))=0,"",INDEX('Checklist'!$A$4:$A$503,_calc!$E$279)))=0,"","Group: "&amp;IF(LEN(INDEX('Checklist'!$A$4:$A$503,_calc!$E$279))=0,"",INDEX('Checklist'!$A$4:$A$503,_calc!$E$279))&amp;". ")&amp;IF(LEN(IF(LEN(INDEX('Checklist'!$E$4:$E$503,_calc!$E$279))=0,"",INDEX('Checklist'!$E$4:$E$503,_calc!$E$279)))=0,"","Owner: "&amp;IF(LEN(INDEX('Checklist'!$E$4:$E$503,_calc!$E$279))=0,"",INDEX('Checklist'!$E$4:$E$503,_calc!$E$279))&amp;". ")&amp;IF(LEN(IF(LEN(INDEX('Checklist'!$F$4:$F$503,_calc!$E$279))=0,"",INDEX('Checklist'!$F$4:$F$503,_calc!$E$279)))=0,"","Backup: "&amp;IF(LEN(INDEX('Checklist'!$F$4:$F$503,_calc!$E$279))=0,"",INDEX('Checklist'!$F$4:$F$503,_calc!$E$279))&amp;". ")&amp;IF(LEN(IF(LEN(INDEX('Checklist'!$J$4:$J$503,_calc!$E$279))=0,"",INDEX('Checklist'!$J$4:$J$503,_calc!$E$279)))=0,"","Evidence: "&amp;IF(LEN(INDEX('Checklist'!$J$4:$J$503,_calc!$E$279))=0,"",INDEX('Checklist'!$J$4:$J$503,_calc!$E$279))&amp;". ")&amp;IF(LEN(IF(LEN(INDEX('Checklist'!$D$4:$D$503,_calc!$E$279))=0,"",INDEX('Checklist'!$D$4:$D$503,_calc!$E$279)))=0,"","Rule example: "&amp;IF(LEN(INDEX('Checklist'!$D$4:$D$503,_calc!$E$279))=0,"",INDEX('Checklist'!$D$4:$D$503,_calc!$E$279))&amp;". ")&amp;IF(LEN(IF(LEN(INDEX('Checklist'!$P$4:$P$503,_calc!$E$279))=0,"",INDEX('Checklist'!$P$4:$P$503,_calc!$E$279)))=0,"",IF(LEN(INDEX('Checklist'!$P$4:$P$503,_calc!$E$279))=0,"",INDEX('Checklist'!$P$4:$P$503,_calc!$E$279)))))</f>
        <v/>
      </c>
      <c r="K277" s="44">
        <f>IF(_calc!$E$279="","",IF(LEN(INDEX('Checklist'!$G$4:$G$503,_calc!$E$279))=0,"",INDEX('Checklist'!$G$4:$G$503,_calc!$E$279)))</f>
        <v/>
      </c>
    </row>
    <row r="278">
      <c r="A278" s="44">
        <f>IF(_calc!$E$280="","","Survey check – "&amp;IF(LEN(INDEX('Checklist'!$C$4:$C$503,_calc!$E$280))=0,"",INDEX('Checklist'!$C$4:$C$503,_calc!$E$280)))</f>
        <v/>
      </c>
      <c r="B278" s="44">
        <f>IF(_calc!$E$280="","",IF(ISNUMBER(INDEX('Checklist'!$L$4:$L$503,_calc!$E$280)),TEXT(INDEX('Checklist'!$L$4:$L$503,_calc!$E$280),"yyyy-mm-dd"),""))</f>
        <v/>
      </c>
      <c r="C278" s="44">
        <f>IF(_calc!$E$280="","","Survey readiness")</f>
        <v/>
      </c>
      <c r="D278" s="44">
        <f>IF(_calc!$E$280="","",IF(ISNUMBER(INDEX('Checklist'!$H$4:$H$503,_calc!$E$280)),TEXT(INDEX('Checklist'!$H$4:$H$503,_calc!$E$280),"yyyy-mm-dd"),""))</f>
        <v/>
      </c>
      <c r="F278" s="44">
        <f>IF(_calc!$E$280="","",TRIM(IF(LEN(IF(LEN(INDEX('Checklist'!$A$4:$A$503,_calc!$E$280))=0,"",INDEX('Checklist'!$A$4:$A$503,_calc!$E$280)))=0,"","Group: "&amp;IF(LEN(INDEX('Checklist'!$A$4:$A$503,_calc!$E$280))=0,"",INDEX('Checklist'!$A$4:$A$503,_calc!$E$280))&amp;". ")&amp;IF(LEN(IF(LEN(INDEX('Checklist'!$E$4:$E$503,_calc!$E$280))=0,"",INDEX('Checklist'!$E$4:$E$503,_calc!$E$280)))=0,"","Owner: "&amp;IF(LEN(INDEX('Checklist'!$E$4:$E$503,_calc!$E$280))=0,"",INDEX('Checklist'!$E$4:$E$503,_calc!$E$280))&amp;". ")&amp;IF(LEN(IF(LEN(INDEX('Checklist'!$F$4:$F$503,_calc!$E$280))=0,"",INDEX('Checklist'!$F$4:$F$503,_calc!$E$280)))=0,"","Backup: "&amp;IF(LEN(INDEX('Checklist'!$F$4:$F$503,_calc!$E$280))=0,"",INDEX('Checklist'!$F$4:$F$503,_calc!$E$280))&amp;". ")&amp;IF(LEN(IF(LEN(INDEX('Checklist'!$J$4:$J$503,_calc!$E$280))=0,"",INDEX('Checklist'!$J$4:$J$503,_calc!$E$280)))=0,"","Evidence: "&amp;IF(LEN(INDEX('Checklist'!$J$4:$J$503,_calc!$E$280))=0,"",INDEX('Checklist'!$J$4:$J$503,_calc!$E$280))&amp;". ")&amp;IF(LEN(IF(LEN(INDEX('Checklist'!$D$4:$D$503,_calc!$E$280))=0,"",INDEX('Checklist'!$D$4:$D$503,_calc!$E$280)))=0,"","Rule example: "&amp;IF(LEN(INDEX('Checklist'!$D$4:$D$503,_calc!$E$280))=0,"",INDEX('Checklist'!$D$4:$D$503,_calc!$E$280))&amp;". ")&amp;IF(LEN(IF(LEN(INDEX('Checklist'!$P$4:$P$503,_calc!$E$280))=0,"",INDEX('Checklist'!$P$4:$P$503,_calc!$E$280)))=0,"",IF(LEN(INDEX('Checklist'!$P$4:$P$503,_calc!$E$280))=0,"",INDEX('Checklist'!$P$4:$P$503,_calc!$E$280)))))</f>
        <v/>
      </c>
      <c r="K278" s="44">
        <f>IF(_calc!$E$280="","",IF(LEN(INDEX('Checklist'!$G$4:$G$503,_calc!$E$280))=0,"",INDEX('Checklist'!$G$4:$G$503,_calc!$E$280)))</f>
        <v/>
      </c>
    </row>
    <row r="279">
      <c r="A279" s="44">
        <f>IF(_calc!$E$281="","","Survey check – "&amp;IF(LEN(INDEX('Checklist'!$C$4:$C$503,_calc!$E$281))=0,"",INDEX('Checklist'!$C$4:$C$503,_calc!$E$281)))</f>
        <v/>
      </c>
      <c r="B279" s="44">
        <f>IF(_calc!$E$281="","",IF(ISNUMBER(INDEX('Checklist'!$L$4:$L$503,_calc!$E$281)),TEXT(INDEX('Checklist'!$L$4:$L$503,_calc!$E$281),"yyyy-mm-dd"),""))</f>
        <v/>
      </c>
      <c r="C279" s="44">
        <f>IF(_calc!$E$281="","","Survey readiness")</f>
        <v/>
      </c>
      <c r="D279" s="44">
        <f>IF(_calc!$E$281="","",IF(ISNUMBER(INDEX('Checklist'!$H$4:$H$503,_calc!$E$281)),TEXT(INDEX('Checklist'!$H$4:$H$503,_calc!$E$281),"yyyy-mm-dd"),""))</f>
        <v/>
      </c>
      <c r="F279" s="44">
        <f>IF(_calc!$E$281="","",TRIM(IF(LEN(IF(LEN(INDEX('Checklist'!$A$4:$A$503,_calc!$E$281))=0,"",INDEX('Checklist'!$A$4:$A$503,_calc!$E$281)))=0,"","Group: "&amp;IF(LEN(INDEX('Checklist'!$A$4:$A$503,_calc!$E$281))=0,"",INDEX('Checklist'!$A$4:$A$503,_calc!$E$281))&amp;". ")&amp;IF(LEN(IF(LEN(INDEX('Checklist'!$E$4:$E$503,_calc!$E$281))=0,"",INDEX('Checklist'!$E$4:$E$503,_calc!$E$281)))=0,"","Owner: "&amp;IF(LEN(INDEX('Checklist'!$E$4:$E$503,_calc!$E$281))=0,"",INDEX('Checklist'!$E$4:$E$503,_calc!$E$281))&amp;". ")&amp;IF(LEN(IF(LEN(INDEX('Checklist'!$F$4:$F$503,_calc!$E$281))=0,"",INDEX('Checklist'!$F$4:$F$503,_calc!$E$281)))=0,"","Backup: "&amp;IF(LEN(INDEX('Checklist'!$F$4:$F$503,_calc!$E$281))=0,"",INDEX('Checklist'!$F$4:$F$503,_calc!$E$281))&amp;". ")&amp;IF(LEN(IF(LEN(INDEX('Checklist'!$J$4:$J$503,_calc!$E$281))=0,"",INDEX('Checklist'!$J$4:$J$503,_calc!$E$281)))=0,"","Evidence: "&amp;IF(LEN(INDEX('Checklist'!$J$4:$J$503,_calc!$E$281))=0,"",INDEX('Checklist'!$J$4:$J$503,_calc!$E$281))&amp;". ")&amp;IF(LEN(IF(LEN(INDEX('Checklist'!$D$4:$D$503,_calc!$E$281))=0,"",INDEX('Checklist'!$D$4:$D$503,_calc!$E$281)))=0,"","Rule example: "&amp;IF(LEN(INDEX('Checklist'!$D$4:$D$503,_calc!$E$281))=0,"",INDEX('Checklist'!$D$4:$D$503,_calc!$E$281))&amp;". ")&amp;IF(LEN(IF(LEN(INDEX('Checklist'!$P$4:$P$503,_calc!$E$281))=0,"",INDEX('Checklist'!$P$4:$P$503,_calc!$E$281)))=0,"",IF(LEN(INDEX('Checklist'!$P$4:$P$503,_calc!$E$281))=0,"",INDEX('Checklist'!$P$4:$P$503,_calc!$E$281)))))</f>
        <v/>
      </c>
      <c r="K279" s="44">
        <f>IF(_calc!$E$281="","",IF(LEN(INDEX('Checklist'!$G$4:$G$503,_calc!$E$281))=0,"",INDEX('Checklist'!$G$4:$G$503,_calc!$E$281)))</f>
        <v/>
      </c>
    </row>
    <row r="280">
      <c r="A280" s="44">
        <f>IF(_calc!$E$282="","","Survey check – "&amp;IF(LEN(INDEX('Checklist'!$C$4:$C$503,_calc!$E$282))=0,"",INDEX('Checklist'!$C$4:$C$503,_calc!$E$282)))</f>
        <v/>
      </c>
      <c r="B280" s="44">
        <f>IF(_calc!$E$282="","",IF(ISNUMBER(INDEX('Checklist'!$L$4:$L$503,_calc!$E$282)),TEXT(INDEX('Checklist'!$L$4:$L$503,_calc!$E$282),"yyyy-mm-dd"),""))</f>
        <v/>
      </c>
      <c r="C280" s="44">
        <f>IF(_calc!$E$282="","","Survey readiness")</f>
        <v/>
      </c>
      <c r="D280" s="44">
        <f>IF(_calc!$E$282="","",IF(ISNUMBER(INDEX('Checklist'!$H$4:$H$503,_calc!$E$282)),TEXT(INDEX('Checklist'!$H$4:$H$503,_calc!$E$282),"yyyy-mm-dd"),""))</f>
        <v/>
      </c>
      <c r="F280" s="44">
        <f>IF(_calc!$E$282="","",TRIM(IF(LEN(IF(LEN(INDEX('Checklist'!$A$4:$A$503,_calc!$E$282))=0,"",INDEX('Checklist'!$A$4:$A$503,_calc!$E$282)))=0,"","Group: "&amp;IF(LEN(INDEX('Checklist'!$A$4:$A$503,_calc!$E$282))=0,"",INDEX('Checklist'!$A$4:$A$503,_calc!$E$282))&amp;". ")&amp;IF(LEN(IF(LEN(INDEX('Checklist'!$E$4:$E$503,_calc!$E$282))=0,"",INDEX('Checklist'!$E$4:$E$503,_calc!$E$282)))=0,"","Owner: "&amp;IF(LEN(INDEX('Checklist'!$E$4:$E$503,_calc!$E$282))=0,"",INDEX('Checklist'!$E$4:$E$503,_calc!$E$282))&amp;". ")&amp;IF(LEN(IF(LEN(INDEX('Checklist'!$F$4:$F$503,_calc!$E$282))=0,"",INDEX('Checklist'!$F$4:$F$503,_calc!$E$282)))=0,"","Backup: "&amp;IF(LEN(INDEX('Checklist'!$F$4:$F$503,_calc!$E$282))=0,"",INDEX('Checklist'!$F$4:$F$503,_calc!$E$282))&amp;". ")&amp;IF(LEN(IF(LEN(INDEX('Checklist'!$J$4:$J$503,_calc!$E$282))=0,"",INDEX('Checklist'!$J$4:$J$503,_calc!$E$282)))=0,"","Evidence: "&amp;IF(LEN(INDEX('Checklist'!$J$4:$J$503,_calc!$E$282))=0,"",INDEX('Checklist'!$J$4:$J$503,_calc!$E$282))&amp;". ")&amp;IF(LEN(IF(LEN(INDEX('Checklist'!$D$4:$D$503,_calc!$E$282))=0,"",INDEX('Checklist'!$D$4:$D$503,_calc!$E$282)))=0,"","Rule example: "&amp;IF(LEN(INDEX('Checklist'!$D$4:$D$503,_calc!$E$282))=0,"",INDEX('Checklist'!$D$4:$D$503,_calc!$E$282))&amp;". ")&amp;IF(LEN(IF(LEN(INDEX('Checklist'!$P$4:$P$503,_calc!$E$282))=0,"",INDEX('Checklist'!$P$4:$P$503,_calc!$E$282)))=0,"",IF(LEN(INDEX('Checklist'!$P$4:$P$503,_calc!$E$282))=0,"",INDEX('Checklist'!$P$4:$P$503,_calc!$E$282)))))</f>
        <v/>
      </c>
      <c r="K280" s="44">
        <f>IF(_calc!$E$282="","",IF(LEN(INDEX('Checklist'!$G$4:$G$503,_calc!$E$282))=0,"",INDEX('Checklist'!$G$4:$G$503,_calc!$E$282)))</f>
        <v/>
      </c>
    </row>
    <row r="281">
      <c r="A281" s="44">
        <f>IF(_calc!$E$283="","","Survey check – "&amp;IF(LEN(INDEX('Checklist'!$C$4:$C$503,_calc!$E$283))=0,"",INDEX('Checklist'!$C$4:$C$503,_calc!$E$283)))</f>
        <v/>
      </c>
      <c r="B281" s="44">
        <f>IF(_calc!$E$283="","",IF(ISNUMBER(INDEX('Checklist'!$L$4:$L$503,_calc!$E$283)),TEXT(INDEX('Checklist'!$L$4:$L$503,_calc!$E$283),"yyyy-mm-dd"),""))</f>
        <v/>
      </c>
      <c r="C281" s="44">
        <f>IF(_calc!$E$283="","","Survey readiness")</f>
        <v/>
      </c>
      <c r="D281" s="44">
        <f>IF(_calc!$E$283="","",IF(ISNUMBER(INDEX('Checklist'!$H$4:$H$503,_calc!$E$283)),TEXT(INDEX('Checklist'!$H$4:$H$503,_calc!$E$283),"yyyy-mm-dd"),""))</f>
        <v/>
      </c>
      <c r="F281" s="44">
        <f>IF(_calc!$E$283="","",TRIM(IF(LEN(IF(LEN(INDEX('Checklist'!$A$4:$A$503,_calc!$E$283))=0,"",INDEX('Checklist'!$A$4:$A$503,_calc!$E$283)))=0,"","Group: "&amp;IF(LEN(INDEX('Checklist'!$A$4:$A$503,_calc!$E$283))=0,"",INDEX('Checklist'!$A$4:$A$503,_calc!$E$283))&amp;". ")&amp;IF(LEN(IF(LEN(INDEX('Checklist'!$E$4:$E$503,_calc!$E$283))=0,"",INDEX('Checklist'!$E$4:$E$503,_calc!$E$283)))=0,"","Owner: "&amp;IF(LEN(INDEX('Checklist'!$E$4:$E$503,_calc!$E$283))=0,"",INDEX('Checklist'!$E$4:$E$503,_calc!$E$283))&amp;". ")&amp;IF(LEN(IF(LEN(INDEX('Checklist'!$F$4:$F$503,_calc!$E$283))=0,"",INDEX('Checklist'!$F$4:$F$503,_calc!$E$283)))=0,"","Backup: "&amp;IF(LEN(INDEX('Checklist'!$F$4:$F$503,_calc!$E$283))=0,"",INDEX('Checklist'!$F$4:$F$503,_calc!$E$283))&amp;". ")&amp;IF(LEN(IF(LEN(INDEX('Checklist'!$J$4:$J$503,_calc!$E$283))=0,"",INDEX('Checklist'!$J$4:$J$503,_calc!$E$283)))=0,"","Evidence: "&amp;IF(LEN(INDEX('Checklist'!$J$4:$J$503,_calc!$E$283))=0,"",INDEX('Checklist'!$J$4:$J$503,_calc!$E$283))&amp;". ")&amp;IF(LEN(IF(LEN(INDEX('Checklist'!$D$4:$D$503,_calc!$E$283))=0,"",INDEX('Checklist'!$D$4:$D$503,_calc!$E$283)))=0,"","Rule example: "&amp;IF(LEN(INDEX('Checklist'!$D$4:$D$503,_calc!$E$283))=0,"",INDEX('Checklist'!$D$4:$D$503,_calc!$E$283))&amp;". ")&amp;IF(LEN(IF(LEN(INDEX('Checklist'!$P$4:$P$503,_calc!$E$283))=0,"",INDEX('Checklist'!$P$4:$P$503,_calc!$E$283)))=0,"",IF(LEN(INDEX('Checklist'!$P$4:$P$503,_calc!$E$283))=0,"",INDEX('Checklist'!$P$4:$P$503,_calc!$E$283)))))</f>
        <v/>
      </c>
      <c r="K281" s="44">
        <f>IF(_calc!$E$283="","",IF(LEN(INDEX('Checklist'!$G$4:$G$503,_calc!$E$283))=0,"",INDEX('Checklist'!$G$4:$G$503,_calc!$E$283)))</f>
        <v/>
      </c>
    </row>
    <row r="282">
      <c r="A282" s="44">
        <f>IF(_calc!$E$284="","","Survey check – "&amp;IF(LEN(INDEX('Checklist'!$C$4:$C$503,_calc!$E$284))=0,"",INDEX('Checklist'!$C$4:$C$503,_calc!$E$284)))</f>
        <v/>
      </c>
      <c r="B282" s="44">
        <f>IF(_calc!$E$284="","",IF(ISNUMBER(INDEX('Checklist'!$L$4:$L$503,_calc!$E$284)),TEXT(INDEX('Checklist'!$L$4:$L$503,_calc!$E$284),"yyyy-mm-dd"),""))</f>
        <v/>
      </c>
      <c r="C282" s="44">
        <f>IF(_calc!$E$284="","","Survey readiness")</f>
        <v/>
      </c>
      <c r="D282" s="44">
        <f>IF(_calc!$E$284="","",IF(ISNUMBER(INDEX('Checklist'!$H$4:$H$503,_calc!$E$284)),TEXT(INDEX('Checklist'!$H$4:$H$503,_calc!$E$284),"yyyy-mm-dd"),""))</f>
        <v/>
      </c>
      <c r="F282" s="44">
        <f>IF(_calc!$E$284="","",TRIM(IF(LEN(IF(LEN(INDEX('Checklist'!$A$4:$A$503,_calc!$E$284))=0,"",INDEX('Checklist'!$A$4:$A$503,_calc!$E$284)))=0,"","Group: "&amp;IF(LEN(INDEX('Checklist'!$A$4:$A$503,_calc!$E$284))=0,"",INDEX('Checklist'!$A$4:$A$503,_calc!$E$284))&amp;". ")&amp;IF(LEN(IF(LEN(INDEX('Checklist'!$E$4:$E$503,_calc!$E$284))=0,"",INDEX('Checklist'!$E$4:$E$503,_calc!$E$284)))=0,"","Owner: "&amp;IF(LEN(INDEX('Checklist'!$E$4:$E$503,_calc!$E$284))=0,"",INDEX('Checklist'!$E$4:$E$503,_calc!$E$284))&amp;". ")&amp;IF(LEN(IF(LEN(INDEX('Checklist'!$F$4:$F$503,_calc!$E$284))=0,"",INDEX('Checklist'!$F$4:$F$503,_calc!$E$284)))=0,"","Backup: "&amp;IF(LEN(INDEX('Checklist'!$F$4:$F$503,_calc!$E$284))=0,"",INDEX('Checklist'!$F$4:$F$503,_calc!$E$284))&amp;". ")&amp;IF(LEN(IF(LEN(INDEX('Checklist'!$J$4:$J$503,_calc!$E$284))=0,"",INDEX('Checklist'!$J$4:$J$503,_calc!$E$284)))=0,"","Evidence: "&amp;IF(LEN(INDEX('Checklist'!$J$4:$J$503,_calc!$E$284))=0,"",INDEX('Checklist'!$J$4:$J$503,_calc!$E$284))&amp;". ")&amp;IF(LEN(IF(LEN(INDEX('Checklist'!$D$4:$D$503,_calc!$E$284))=0,"",INDEX('Checklist'!$D$4:$D$503,_calc!$E$284)))=0,"","Rule example: "&amp;IF(LEN(INDEX('Checklist'!$D$4:$D$503,_calc!$E$284))=0,"",INDEX('Checklist'!$D$4:$D$503,_calc!$E$284))&amp;". ")&amp;IF(LEN(IF(LEN(INDEX('Checklist'!$P$4:$P$503,_calc!$E$284))=0,"",INDEX('Checklist'!$P$4:$P$503,_calc!$E$284)))=0,"",IF(LEN(INDEX('Checklist'!$P$4:$P$503,_calc!$E$284))=0,"",INDEX('Checklist'!$P$4:$P$503,_calc!$E$284)))))</f>
        <v/>
      </c>
      <c r="K282" s="44">
        <f>IF(_calc!$E$284="","",IF(LEN(INDEX('Checklist'!$G$4:$G$503,_calc!$E$284))=0,"",INDEX('Checklist'!$G$4:$G$503,_calc!$E$284)))</f>
        <v/>
      </c>
    </row>
    <row r="283">
      <c r="A283" s="44">
        <f>IF(_calc!$E$285="","","Survey check – "&amp;IF(LEN(INDEX('Checklist'!$C$4:$C$503,_calc!$E$285))=0,"",INDEX('Checklist'!$C$4:$C$503,_calc!$E$285)))</f>
        <v/>
      </c>
      <c r="B283" s="44">
        <f>IF(_calc!$E$285="","",IF(ISNUMBER(INDEX('Checklist'!$L$4:$L$503,_calc!$E$285)),TEXT(INDEX('Checklist'!$L$4:$L$503,_calc!$E$285),"yyyy-mm-dd"),""))</f>
        <v/>
      </c>
      <c r="C283" s="44">
        <f>IF(_calc!$E$285="","","Survey readiness")</f>
        <v/>
      </c>
      <c r="D283" s="44">
        <f>IF(_calc!$E$285="","",IF(ISNUMBER(INDEX('Checklist'!$H$4:$H$503,_calc!$E$285)),TEXT(INDEX('Checklist'!$H$4:$H$503,_calc!$E$285),"yyyy-mm-dd"),""))</f>
        <v/>
      </c>
      <c r="F283" s="44">
        <f>IF(_calc!$E$285="","",TRIM(IF(LEN(IF(LEN(INDEX('Checklist'!$A$4:$A$503,_calc!$E$285))=0,"",INDEX('Checklist'!$A$4:$A$503,_calc!$E$285)))=0,"","Group: "&amp;IF(LEN(INDEX('Checklist'!$A$4:$A$503,_calc!$E$285))=0,"",INDEX('Checklist'!$A$4:$A$503,_calc!$E$285))&amp;". ")&amp;IF(LEN(IF(LEN(INDEX('Checklist'!$E$4:$E$503,_calc!$E$285))=0,"",INDEX('Checklist'!$E$4:$E$503,_calc!$E$285)))=0,"","Owner: "&amp;IF(LEN(INDEX('Checklist'!$E$4:$E$503,_calc!$E$285))=0,"",INDEX('Checklist'!$E$4:$E$503,_calc!$E$285))&amp;". ")&amp;IF(LEN(IF(LEN(INDEX('Checklist'!$F$4:$F$503,_calc!$E$285))=0,"",INDEX('Checklist'!$F$4:$F$503,_calc!$E$285)))=0,"","Backup: "&amp;IF(LEN(INDEX('Checklist'!$F$4:$F$503,_calc!$E$285))=0,"",INDEX('Checklist'!$F$4:$F$503,_calc!$E$285))&amp;". ")&amp;IF(LEN(IF(LEN(INDEX('Checklist'!$J$4:$J$503,_calc!$E$285))=0,"",INDEX('Checklist'!$J$4:$J$503,_calc!$E$285)))=0,"","Evidence: "&amp;IF(LEN(INDEX('Checklist'!$J$4:$J$503,_calc!$E$285))=0,"",INDEX('Checklist'!$J$4:$J$503,_calc!$E$285))&amp;". ")&amp;IF(LEN(IF(LEN(INDEX('Checklist'!$D$4:$D$503,_calc!$E$285))=0,"",INDEX('Checklist'!$D$4:$D$503,_calc!$E$285)))=0,"","Rule example: "&amp;IF(LEN(INDEX('Checklist'!$D$4:$D$503,_calc!$E$285))=0,"",INDEX('Checklist'!$D$4:$D$503,_calc!$E$285))&amp;". ")&amp;IF(LEN(IF(LEN(INDEX('Checklist'!$P$4:$P$503,_calc!$E$285))=0,"",INDEX('Checklist'!$P$4:$P$503,_calc!$E$285)))=0,"",IF(LEN(INDEX('Checklist'!$P$4:$P$503,_calc!$E$285))=0,"",INDEX('Checklist'!$P$4:$P$503,_calc!$E$285)))))</f>
        <v/>
      </c>
      <c r="K283" s="44">
        <f>IF(_calc!$E$285="","",IF(LEN(INDEX('Checklist'!$G$4:$G$503,_calc!$E$285))=0,"",INDEX('Checklist'!$G$4:$G$503,_calc!$E$285)))</f>
        <v/>
      </c>
    </row>
    <row r="284">
      <c r="A284" s="44">
        <f>IF(_calc!$E$286="","","Survey check – "&amp;IF(LEN(INDEX('Checklist'!$C$4:$C$503,_calc!$E$286))=0,"",INDEX('Checklist'!$C$4:$C$503,_calc!$E$286)))</f>
        <v/>
      </c>
      <c r="B284" s="44">
        <f>IF(_calc!$E$286="","",IF(ISNUMBER(INDEX('Checklist'!$L$4:$L$503,_calc!$E$286)),TEXT(INDEX('Checklist'!$L$4:$L$503,_calc!$E$286),"yyyy-mm-dd"),""))</f>
        <v/>
      </c>
      <c r="C284" s="44">
        <f>IF(_calc!$E$286="","","Survey readiness")</f>
        <v/>
      </c>
      <c r="D284" s="44">
        <f>IF(_calc!$E$286="","",IF(ISNUMBER(INDEX('Checklist'!$H$4:$H$503,_calc!$E$286)),TEXT(INDEX('Checklist'!$H$4:$H$503,_calc!$E$286),"yyyy-mm-dd"),""))</f>
        <v/>
      </c>
      <c r="F284" s="44">
        <f>IF(_calc!$E$286="","",TRIM(IF(LEN(IF(LEN(INDEX('Checklist'!$A$4:$A$503,_calc!$E$286))=0,"",INDEX('Checklist'!$A$4:$A$503,_calc!$E$286)))=0,"","Group: "&amp;IF(LEN(INDEX('Checklist'!$A$4:$A$503,_calc!$E$286))=0,"",INDEX('Checklist'!$A$4:$A$503,_calc!$E$286))&amp;". ")&amp;IF(LEN(IF(LEN(INDEX('Checklist'!$E$4:$E$503,_calc!$E$286))=0,"",INDEX('Checklist'!$E$4:$E$503,_calc!$E$286)))=0,"","Owner: "&amp;IF(LEN(INDEX('Checklist'!$E$4:$E$503,_calc!$E$286))=0,"",INDEX('Checklist'!$E$4:$E$503,_calc!$E$286))&amp;". ")&amp;IF(LEN(IF(LEN(INDEX('Checklist'!$F$4:$F$503,_calc!$E$286))=0,"",INDEX('Checklist'!$F$4:$F$503,_calc!$E$286)))=0,"","Backup: "&amp;IF(LEN(INDEX('Checklist'!$F$4:$F$503,_calc!$E$286))=0,"",INDEX('Checklist'!$F$4:$F$503,_calc!$E$286))&amp;". ")&amp;IF(LEN(IF(LEN(INDEX('Checklist'!$J$4:$J$503,_calc!$E$286))=0,"",INDEX('Checklist'!$J$4:$J$503,_calc!$E$286)))=0,"","Evidence: "&amp;IF(LEN(INDEX('Checklist'!$J$4:$J$503,_calc!$E$286))=0,"",INDEX('Checklist'!$J$4:$J$503,_calc!$E$286))&amp;". ")&amp;IF(LEN(IF(LEN(INDEX('Checklist'!$D$4:$D$503,_calc!$E$286))=0,"",INDEX('Checklist'!$D$4:$D$503,_calc!$E$286)))=0,"","Rule example: "&amp;IF(LEN(INDEX('Checklist'!$D$4:$D$503,_calc!$E$286))=0,"",INDEX('Checklist'!$D$4:$D$503,_calc!$E$286))&amp;". ")&amp;IF(LEN(IF(LEN(INDEX('Checklist'!$P$4:$P$503,_calc!$E$286))=0,"",INDEX('Checklist'!$P$4:$P$503,_calc!$E$286)))=0,"",IF(LEN(INDEX('Checklist'!$P$4:$P$503,_calc!$E$286))=0,"",INDEX('Checklist'!$P$4:$P$503,_calc!$E$286)))))</f>
        <v/>
      </c>
      <c r="K284" s="44">
        <f>IF(_calc!$E$286="","",IF(LEN(INDEX('Checklist'!$G$4:$G$503,_calc!$E$286))=0,"",INDEX('Checklist'!$G$4:$G$503,_calc!$E$286)))</f>
        <v/>
      </c>
    </row>
    <row r="285">
      <c r="A285" s="44">
        <f>IF(_calc!$E$287="","","Survey check – "&amp;IF(LEN(INDEX('Checklist'!$C$4:$C$503,_calc!$E$287))=0,"",INDEX('Checklist'!$C$4:$C$503,_calc!$E$287)))</f>
        <v/>
      </c>
      <c r="B285" s="44">
        <f>IF(_calc!$E$287="","",IF(ISNUMBER(INDEX('Checklist'!$L$4:$L$503,_calc!$E$287)),TEXT(INDEX('Checklist'!$L$4:$L$503,_calc!$E$287),"yyyy-mm-dd"),""))</f>
        <v/>
      </c>
      <c r="C285" s="44">
        <f>IF(_calc!$E$287="","","Survey readiness")</f>
        <v/>
      </c>
      <c r="D285" s="44">
        <f>IF(_calc!$E$287="","",IF(ISNUMBER(INDEX('Checklist'!$H$4:$H$503,_calc!$E$287)),TEXT(INDEX('Checklist'!$H$4:$H$503,_calc!$E$287),"yyyy-mm-dd"),""))</f>
        <v/>
      </c>
      <c r="F285" s="44">
        <f>IF(_calc!$E$287="","",TRIM(IF(LEN(IF(LEN(INDEX('Checklist'!$A$4:$A$503,_calc!$E$287))=0,"",INDEX('Checklist'!$A$4:$A$503,_calc!$E$287)))=0,"","Group: "&amp;IF(LEN(INDEX('Checklist'!$A$4:$A$503,_calc!$E$287))=0,"",INDEX('Checklist'!$A$4:$A$503,_calc!$E$287))&amp;". ")&amp;IF(LEN(IF(LEN(INDEX('Checklist'!$E$4:$E$503,_calc!$E$287))=0,"",INDEX('Checklist'!$E$4:$E$503,_calc!$E$287)))=0,"","Owner: "&amp;IF(LEN(INDEX('Checklist'!$E$4:$E$503,_calc!$E$287))=0,"",INDEX('Checklist'!$E$4:$E$503,_calc!$E$287))&amp;". ")&amp;IF(LEN(IF(LEN(INDEX('Checklist'!$F$4:$F$503,_calc!$E$287))=0,"",INDEX('Checklist'!$F$4:$F$503,_calc!$E$287)))=0,"","Backup: "&amp;IF(LEN(INDEX('Checklist'!$F$4:$F$503,_calc!$E$287))=0,"",INDEX('Checklist'!$F$4:$F$503,_calc!$E$287))&amp;". ")&amp;IF(LEN(IF(LEN(INDEX('Checklist'!$J$4:$J$503,_calc!$E$287))=0,"",INDEX('Checklist'!$J$4:$J$503,_calc!$E$287)))=0,"","Evidence: "&amp;IF(LEN(INDEX('Checklist'!$J$4:$J$503,_calc!$E$287))=0,"",INDEX('Checklist'!$J$4:$J$503,_calc!$E$287))&amp;". ")&amp;IF(LEN(IF(LEN(INDEX('Checklist'!$D$4:$D$503,_calc!$E$287))=0,"",INDEX('Checklist'!$D$4:$D$503,_calc!$E$287)))=0,"","Rule example: "&amp;IF(LEN(INDEX('Checklist'!$D$4:$D$503,_calc!$E$287))=0,"",INDEX('Checklist'!$D$4:$D$503,_calc!$E$287))&amp;". ")&amp;IF(LEN(IF(LEN(INDEX('Checklist'!$P$4:$P$503,_calc!$E$287))=0,"",INDEX('Checklist'!$P$4:$P$503,_calc!$E$287)))=0,"",IF(LEN(INDEX('Checklist'!$P$4:$P$503,_calc!$E$287))=0,"",INDEX('Checklist'!$P$4:$P$503,_calc!$E$287)))))</f>
        <v/>
      </c>
      <c r="K285" s="44">
        <f>IF(_calc!$E$287="","",IF(LEN(INDEX('Checklist'!$G$4:$G$503,_calc!$E$287))=0,"",INDEX('Checklist'!$G$4:$G$503,_calc!$E$287)))</f>
        <v/>
      </c>
    </row>
    <row r="286">
      <c r="A286" s="44">
        <f>IF(_calc!$E$288="","","Survey check – "&amp;IF(LEN(INDEX('Checklist'!$C$4:$C$503,_calc!$E$288))=0,"",INDEX('Checklist'!$C$4:$C$503,_calc!$E$288)))</f>
        <v/>
      </c>
      <c r="B286" s="44">
        <f>IF(_calc!$E$288="","",IF(ISNUMBER(INDEX('Checklist'!$L$4:$L$503,_calc!$E$288)),TEXT(INDEX('Checklist'!$L$4:$L$503,_calc!$E$288),"yyyy-mm-dd"),""))</f>
        <v/>
      </c>
      <c r="C286" s="44">
        <f>IF(_calc!$E$288="","","Survey readiness")</f>
        <v/>
      </c>
      <c r="D286" s="44">
        <f>IF(_calc!$E$288="","",IF(ISNUMBER(INDEX('Checklist'!$H$4:$H$503,_calc!$E$288)),TEXT(INDEX('Checklist'!$H$4:$H$503,_calc!$E$288),"yyyy-mm-dd"),""))</f>
        <v/>
      </c>
      <c r="F286" s="44">
        <f>IF(_calc!$E$288="","",TRIM(IF(LEN(IF(LEN(INDEX('Checklist'!$A$4:$A$503,_calc!$E$288))=0,"",INDEX('Checklist'!$A$4:$A$503,_calc!$E$288)))=0,"","Group: "&amp;IF(LEN(INDEX('Checklist'!$A$4:$A$503,_calc!$E$288))=0,"",INDEX('Checklist'!$A$4:$A$503,_calc!$E$288))&amp;". ")&amp;IF(LEN(IF(LEN(INDEX('Checklist'!$E$4:$E$503,_calc!$E$288))=0,"",INDEX('Checklist'!$E$4:$E$503,_calc!$E$288)))=0,"","Owner: "&amp;IF(LEN(INDEX('Checklist'!$E$4:$E$503,_calc!$E$288))=0,"",INDEX('Checklist'!$E$4:$E$503,_calc!$E$288))&amp;". ")&amp;IF(LEN(IF(LEN(INDEX('Checklist'!$F$4:$F$503,_calc!$E$288))=0,"",INDEX('Checklist'!$F$4:$F$503,_calc!$E$288)))=0,"","Backup: "&amp;IF(LEN(INDEX('Checklist'!$F$4:$F$503,_calc!$E$288))=0,"",INDEX('Checklist'!$F$4:$F$503,_calc!$E$288))&amp;". ")&amp;IF(LEN(IF(LEN(INDEX('Checklist'!$J$4:$J$503,_calc!$E$288))=0,"",INDEX('Checklist'!$J$4:$J$503,_calc!$E$288)))=0,"","Evidence: "&amp;IF(LEN(INDEX('Checklist'!$J$4:$J$503,_calc!$E$288))=0,"",INDEX('Checklist'!$J$4:$J$503,_calc!$E$288))&amp;". ")&amp;IF(LEN(IF(LEN(INDEX('Checklist'!$D$4:$D$503,_calc!$E$288))=0,"",INDEX('Checklist'!$D$4:$D$503,_calc!$E$288)))=0,"","Rule example: "&amp;IF(LEN(INDEX('Checklist'!$D$4:$D$503,_calc!$E$288))=0,"",INDEX('Checklist'!$D$4:$D$503,_calc!$E$288))&amp;". ")&amp;IF(LEN(IF(LEN(INDEX('Checklist'!$P$4:$P$503,_calc!$E$288))=0,"",INDEX('Checklist'!$P$4:$P$503,_calc!$E$288)))=0,"",IF(LEN(INDEX('Checklist'!$P$4:$P$503,_calc!$E$288))=0,"",INDEX('Checklist'!$P$4:$P$503,_calc!$E$288)))))</f>
        <v/>
      </c>
      <c r="K286" s="44">
        <f>IF(_calc!$E$288="","",IF(LEN(INDEX('Checklist'!$G$4:$G$503,_calc!$E$288))=0,"",INDEX('Checklist'!$G$4:$G$503,_calc!$E$288)))</f>
        <v/>
      </c>
    </row>
    <row r="287">
      <c r="A287" s="44">
        <f>IF(_calc!$E$289="","","Survey check – "&amp;IF(LEN(INDEX('Checklist'!$C$4:$C$503,_calc!$E$289))=0,"",INDEX('Checklist'!$C$4:$C$503,_calc!$E$289)))</f>
        <v/>
      </c>
      <c r="B287" s="44">
        <f>IF(_calc!$E$289="","",IF(ISNUMBER(INDEX('Checklist'!$L$4:$L$503,_calc!$E$289)),TEXT(INDEX('Checklist'!$L$4:$L$503,_calc!$E$289),"yyyy-mm-dd"),""))</f>
        <v/>
      </c>
      <c r="C287" s="44">
        <f>IF(_calc!$E$289="","","Survey readiness")</f>
        <v/>
      </c>
      <c r="D287" s="44">
        <f>IF(_calc!$E$289="","",IF(ISNUMBER(INDEX('Checklist'!$H$4:$H$503,_calc!$E$289)),TEXT(INDEX('Checklist'!$H$4:$H$503,_calc!$E$289),"yyyy-mm-dd"),""))</f>
        <v/>
      </c>
      <c r="F287" s="44">
        <f>IF(_calc!$E$289="","",TRIM(IF(LEN(IF(LEN(INDEX('Checklist'!$A$4:$A$503,_calc!$E$289))=0,"",INDEX('Checklist'!$A$4:$A$503,_calc!$E$289)))=0,"","Group: "&amp;IF(LEN(INDEX('Checklist'!$A$4:$A$503,_calc!$E$289))=0,"",INDEX('Checklist'!$A$4:$A$503,_calc!$E$289))&amp;". ")&amp;IF(LEN(IF(LEN(INDEX('Checklist'!$E$4:$E$503,_calc!$E$289))=0,"",INDEX('Checklist'!$E$4:$E$503,_calc!$E$289)))=0,"","Owner: "&amp;IF(LEN(INDEX('Checklist'!$E$4:$E$503,_calc!$E$289))=0,"",INDEX('Checklist'!$E$4:$E$503,_calc!$E$289))&amp;". ")&amp;IF(LEN(IF(LEN(INDEX('Checklist'!$F$4:$F$503,_calc!$E$289))=0,"",INDEX('Checklist'!$F$4:$F$503,_calc!$E$289)))=0,"","Backup: "&amp;IF(LEN(INDEX('Checklist'!$F$4:$F$503,_calc!$E$289))=0,"",INDEX('Checklist'!$F$4:$F$503,_calc!$E$289))&amp;". ")&amp;IF(LEN(IF(LEN(INDEX('Checklist'!$J$4:$J$503,_calc!$E$289))=0,"",INDEX('Checklist'!$J$4:$J$503,_calc!$E$289)))=0,"","Evidence: "&amp;IF(LEN(INDEX('Checklist'!$J$4:$J$503,_calc!$E$289))=0,"",INDEX('Checklist'!$J$4:$J$503,_calc!$E$289))&amp;". ")&amp;IF(LEN(IF(LEN(INDEX('Checklist'!$D$4:$D$503,_calc!$E$289))=0,"",INDEX('Checklist'!$D$4:$D$503,_calc!$E$289)))=0,"","Rule example: "&amp;IF(LEN(INDEX('Checklist'!$D$4:$D$503,_calc!$E$289))=0,"",INDEX('Checklist'!$D$4:$D$503,_calc!$E$289))&amp;". ")&amp;IF(LEN(IF(LEN(INDEX('Checklist'!$P$4:$P$503,_calc!$E$289))=0,"",INDEX('Checklist'!$P$4:$P$503,_calc!$E$289)))=0,"",IF(LEN(INDEX('Checklist'!$P$4:$P$503,_calc!$E$289))=0,"",INDEX('Checklist'!$P$4:$P$503,_calc!$E$289)))))</f>
        <v/>
      </c>
      <c r="K287" s="44">
        <f>IF(_calc!$E$289="","",IF(LEN(INDEX('Checklist'!$G$4:$G$503,_calc!$E$289))=0,"",INDEX('Checklist'!$G$4:$G$503,_calc!$E$289)))</f>
        <v/>
      </c>
    </row>
    <row r="288">
      <c r="A288" s="44">
        <f>IF(_calc!$E$290="","","Survey check – "&amp;IF(LEN(INDEX('Checklist'!$C$4:$C$503,_calc!$E$290))=0,"",INDEX('Checklist'!$C$4:$C$503,_calc!$E$290)))</f>
        <v/>
      </c>
      <c r="B288" s="44">
        <f>IF(_calc!$E$290="","",IF(ISNUMBER(INDEX('Checklist'!$L$4:$L$503,_calc!$E$290)),TEXT(INDEX('Checklist'!$L$4:$L$503,_calc!$E$290),"yyyy-mm-dd"),""))</f>
        <v/>
      </c>
      <c r="C288" s="44">
        <f>IF(_calc!$E$290="","","Survey readiness")</f>
        <v/>
      </c>
      <c r="D288" s="44">
        <f>IF(_calc!$E$290="","",IF(ISNUMBER(INDEX('Checklist'!$H$4:$H$503,_calc!$E$290)),TEXT(INDEX('Checklist'!$H$4:$H$503,_calc!$E$290),"yyyy-mm-dd"),""))</f>
        <v/>
      </c>
      <c r="F288" s="44">
        <f>IF(_calc!$E$290="","",TRIM(IF(LEN(IF(LEN(INDEX('Checklist'!$A$4:$A$503,_calc!$E$290))=0,"",INDEX('Checklist'!$A$4:$A$503,_calc!$E$290)))=0,"","Group: "&amp;IF(LEN(INDEX('Checklist'!$A$4:$A$503,_calc!$E$290))=0,"",INDEX('Checklist'!$A$4:$A$503,_calc!$E$290))&amp;". ")&amp;IF(LEN(IF(LEN(INDEX('Checklist'!$E$4:$E$503,_calc!$E$290))=0,"",INDEX('Checklist'!$E$4:$E$503,_calc!$E$290)))=0,"","Owner: "&amp;IF(LEN(INDEX('Checklist'!$E$4:$E$503,_calc!$E$290))=0,"",INDEX('Checklist'!$E$4:$E$503,_calc!$E$290))&amp;". ")&amp;IF(LEN(IF(LEN(INDEX('Checklist'!$F$4:$F$503,_calc!$E$290))=0,"",INDEX('Checklist'!$F$4:$F$503,_calc!$E$290)))=0,"","Backup: "&amp;IF(LEN(INDEX('Checklist'!$F$4:$F$503,_calc!$E$290))=0,"",INDEX('Checklist'!$F$4:$F$503,_calc!$E$290))&amp;". ")&amp;IF(LEN(IF(LEN(INDEX('Checklist'!$J$4:$J$503,_calc!$E$290))=0,"",INDEX('Checklist'!$J$4:$J$503,_calc!$E$290)))=0,"","Evidence: "&amp;IF(LEN(INDEX('Checklist'!$J$4:$J$503,_calc!$E$290))=0,"",INDEX('Checklist'!$J$4:$J$503,_calc!$E$290))&amp;". ")&amp;IF(LEN(IF(LEN(INDEX('Checklist'!$D$4:$D$503,_calc!$E$290))=0,"",INDEX('Checklist'!$D$4:$D$503,_calc!$E$290)))=0,"","Rule example: "&amp;IF(LEN(INDEX('Checklist'!$D$4:$D$503,_calc!$E$290))=0,"",INDEX('Checklist'!$D$4:$D$503,_calc!$E$290))&amp;". ")&amp;IF(LEN(IF(LEN(INDEX('Checklist'!$P$4:$P$503,_calc!$E$290))=0,"",INDEX('Checklist'!$P$4:$P$503,_calc!$E$290)))=0,"",IF(LEN(INDEX('Checklist'!$P$4:$P$503,_calc!$E$290))=0,"",INDEX('Checklist'!$P$4:$P$503,_calc!$E$290)))))</f>
        <v/>
      </c>
      <c r="K288" s="44">
        <f>IF(_calc!$E$290="","",IF(LEN(INDEX('Checklist'!$G$4:$G$503,_calc!$E$290))=0,"",INDEX('Checklist'!$G$4:$G$503,_calc!$E$290)))</f>
        <v/>
      </c>
    </row>
    <row r="289">
      <c r="A289" s="44">
        <f>IF(_calc!$E$291="","","Survey check – "&amp;IF(LEN(INDEX('Checklist'!$C$4:$C$503,_calc!$E$291))=0,"",INDEX('Checklist'!$C$4:$C$503,_calc!$E$291)))</f>
        <v/>
      </c>
      <c r="B289" s="44">
        <f>IF(_calc!$E$291="","",IF(ISNUMBER(INDEX('Checklist'!$L$4:$L$503,_calc!$E$291)),TEXT(INDEX('Checklist'!$L$4:$L$503,_calc!$E$291),"yyyy-mm-dd"),""))</f>
        <v/>
      </c>
      <c r="C289" s="44">
        <f>IF(_calc!$E$291="","","Survey readiness")</f>
        <v/>
      </c>
      <c r="D289" s="44">
        <f>IF(_calc!$E$291="","",IF(ISNUMBER(INDEX('Checklist'!$H$4:$H$503,_calc!$E$291)),TEXT(INDEX('Checklist'!$H$4:$H$503,_calc!$E$291),"yyyy-mm-dd"),""))</f>
        <v/>
      </c>
      <c r="F289" s="44">
        <f>IF(_calc!$E$291="","",TRIM(IF(LEN(IF(LEN(INDEX('Checklist'!$A$4:$A$503,_calc!$E$291))=0,"",INDEX('Checklist'!$A$4:$A$503,_calc!$E$291)))=0,"","Group: "&amp;IF(LEN(INDEX('Checklist'!$A$4:$A$503,_calc!$E$291))=0,"",INDEX('Checklist'!$A$4:$A$503,_calc!$E$291))&amp;". ")&amp;IF(LEN(IF(LEN(INDEX('Checklist'!$E$4:$E$503,_calc!$E$291))=0,"",INDEX('Checklist'!$E$4:$E$503,_calc!$E$291)))=0,"","Owner: "&amp;IF(LEN(INDEX('Checklist'!$E$4:$E$503,_calc!$E$291))=0,"",INDEX('Checklist'!$E$4:$E$503,_calc!$E$291))&amp;". ")&amp;IF(LEN(IF(LEN(INDEX('Checklist'!$F$4:$F$503,_calc!$E$291))=0,"",INDEX('Checklist'!$F$4:$F$503,_calc!$E$291)))=0,"","Backup: "&amp;IF(LEN(INDEX('Checklist'!$F$4:$F$503,_calc!$E$291))=0,"",INDEX('Checklist'!$F$4:$F$503,_calc!$E$291))&amp;". ")&amp;IF(LEN(IF(LEN(INDEX('Checklist'!$J$4:$J$503,_calc!$E$291))=0,"",INDEX('Checklist'!$J$4:$J$503,_calc!$E$291)))=0,"","Evidence: "&amp;IF(LEN(INDEX('Checklist'!$J$4:$J$503,_calc!$E$291))=0,"",INDEX('Checklist'!$J$4:$J$503,_calc!$E$291))&amp;". ")&amp;IF(LEN(IF(LEN(INDEX('Checklist'!$D$4:$D$503,_calc!$E$291))=0,"",INDEX('Checklist'!$D$4:$D$503,_calc!$E$291)))=0,"","Rule example: "&amp;IF(LEN(INDEX('Checklist'!$D$4:$D$503,_calc!$E$291))=0,"",INDEX('Checklist'!$D$4:$D$503,_calc!$E$291))&amp;". ")&amp;IF(LEN(IF(LEN(INDEX('Checklist'!$P$4:$P$503,_calc!$E$291))=0,"",INDEX('Checklist'!$P$4:$P$503,_calc!$E$291)))=0,"",IF(LEN(INDEX('Checklist'!$P$4:$P$503,_calc!$E$291))=0,"",INDEX('Checklist'!$P$4:$P$503,_calc!$E$291)))))</f>
        <v/>
      </c>
      <c r="K289" s="44">
        <f>IF(_calc!$E$291="","",IF(LEN(INDEX('Checklist'!$G$4:$G$503,_calc!$E$291))=0,"",INDEX('Checklist'!$G$4:$G$503,_calc!$E$291)))</f>
        <v/>
      </c>
    </row>
    <row r="290">
      <c r="A290" s="44">
        <f>IF(_calc!$E$292="","","Survey check – "&amp;IF(LEN(INDEX('Checklist'!$C$4:$C$503,_calc!$E$292))=0,"",INDEX('Checklist'!$C$4:$C$503,_calc!$E$292)))</f>
        <v/>
      </c>
      <c r="B290" s="44">
        <f>IF(_calc!$E$292="","",IF(ISNUMBER(INDEX('Checklist'!$L$4:$L$503,_calc!$E$292)),TEXT(INDEX('Checklist'!$L$4:$L$503,_calc!$E$292),"yyyy-mm-dd"),""))</f>
        <v/>
      </c>
      <c r="C290" s="44">
        <f>IF(_calc!$E$292="","","Survey readiness")</f>
        <v/>
      </c>
      <c r="D290" s="44">
        <f>IF(_calc!$E$292="","",IF(ISNUMBER(INDEX('Checklist'!$H$4:$H$503,_calc!$E$292)),TEXT(INDEX('Checklist'!$H$4:$H$503,_calc!$E$292),"yyyy-mm-dd"),""))</f>
        <v/>
      </c>
      <c r="F290" s="44">
        <f>IF(_calc!$E$292="","",TRIM(IF(LEN(IF(LEN(INDEX('Checklist'!$A$4:$A$503,_calc!$E$292))=0,"",INDEX('Checklist'!$A$4:$A$503,_calc!$E$292)))=0,"","Group: "&amp;IF(LEN(INDEX('Checklist'!$A$4:$A$503,_calc!$E$292))=0,"",INDEX('Checklist'!$A$4:$A$503,_calc!$E$292))&amp;". ")&amp;IF(LEN(IF(LEN(INDEX('Checklist'!$E$4:$E$503,_calc!$E$292))=0,"",INDEX('Checklist'!$E$4:$E$503,_calc!$E$292)))=0,"","Owner: "&amp;IF(LEN(INDEX('Checklist'!$E$4:$E$503,_calc!$E$292))=0,"",INDEX('Checklist'!$E$4:$E$503,_calc!$E$292))&amp;". ")&amp;IF(LEN(IF(LEN(INDEX('Checklist'!$F$4:$F$503,_calc!$E$292))=0,"",INDEX('Checklist'!$F$4:$F$503,_calc!$E$292)))=0,"","Backup: "&amp;IF(LEN(INDEX('Checklist'!$F$4:$F$503,_calc!$E$292))=0,"",INDEX('Checklist'!$F$4:$F$503,_calc!$E$292))&amp;". ")&amp;IF(LEN(IF(LEN(INDEX('Checklist'!$J$4:$J$503,_calc!$E$292))=0,"",INDEX('Checklist'!$J$4:$J$503,_calc!$E$292)))=0,"","Evidence: "&amp;IF(LEN(INDEX('Checklist'!$J$4:$J$503,_calc!$E$292))=0,"",INDEX('Checklist'!$J$4:$J$503,_calc!$E$292))&amp;". ")&amp;IF(LEN(IF(LEN(INDEX('Checklist'!$D$4:$D$503,_calc!$E$292))=0,"",INDEX('Checklist'!$D$4:$D$503,_calc!$E$292)))=0,"","Rule example: "&amp;IF(LEN(INDEX('Checklist'!$D$4:$D$503,_calc!$E$292))=0,"",INDEX('Checklist'!$D$4:$D$503,_calc!$E$292))&amp;". ")&amp;IF(LEN(IF(LEN(INDEX('Checklist'!$P$4:$P$503,_calc!$E$292))=0,"",INDEX('Checklist'!$P$4:$P$503,_calc!$E$292)))=0,"",IF(LEN(INDEX('Checklist'!$P$4:$P$503,_calc!$E$292))=0,"",INDEX('Checklist'!$P$4:$P$503,_calc!$E$292)))))</f>
        <v/>
      </c>
      <c r="K290" s="44">
        <f>IF(_calc!$E$292="","",IF(LEN(INDEX('Checklist'!$G$4:$G$503,_calc!$E$292))=0,"",INDEX('Checklist'!$G$4:$G$503,_calc!$E$292)))</f>
        <v/>
      </c>
    </row>
    <row r="291">
      <c r="A291" s="44">
        <f>IF(_calc!$E$293="","","Survey check – "&amp;IF(LEN(INDEX('Checklist'!$C$4:$C$503,_calc!$E$293))=0,"",INDEX('Checklist'!$C$4:$C$503,_calc!$E$293)))</f>
        <v/>
      </c>
      <c r="B291" s="44">
        <f>IF(_calc!$E$293="","",IF(ISNUMBER(INDEX('Checklist'!$L$4:$L$503,_calc!$E$293)),TEXT(INDEX('Checklist'!$L$4:$L$503,_calc!$E$293),"yyyy-mm-dd"),""))</f>
        <v/>
      </c>
      <c r="C291" s="44">
        <f>IF(_calc!$E$293="","","Survey readiness")</f>
        <v/>
      </c>
      <c r="D291" s="44">
        <f>IF(_calc!$E$293="","",IF(ISNUMBER(INDEX('Checklist'!$H$4:$H$503,_calc!$E$293)),TEXT(INDEX('Checklist'!$H$4:$H$503,_calc!$E$293),"yyyy-mm-dd"),""))</f>
        <v/>
      </c>
      <c r="F291" s="44">
        <f>IF(_calc!$E$293="","",TRIM(IF(LEN(IF(LEN(INDEX('Checklist'!$A$4:$A$503,_calc!$E$293))=0,"",INDEX('Checklist'!$A$4:$A$503,_calc!$E$293)))=0,"","Group: "&amp;IF(LEN(INDEX('Checklist'!$A$4:$A$503,_calc!$E$293))=0,"",INDEX('Checklist'!$A$4:$A$503,_calc!$E$293))&amp;". ")&amp;IF(LEN(IF(LEN(INDEX('Checklist'!$E$4:$E$503,_calc!$E$293))=0,"",INDEX('Checklist'!$E$4:$E$503,_calc!$E$293)))=0,"","Owner: "&amp;IF(LEN(INDEX('Checklist'!$E$4:$E$503,_calc!$E$293))=0,"",INDEX('Checklist'!$E$4:$E$503,_calc!$E$293))&amp;". ")&amp;IF(LEN(IF(LEN(INDEX('Checklist'!$F$4:$F$503,_calc!$E$293))=0,"",INDEX('Checklist'!$F$4:$F$503,_calc!$E$293)))=0,"","Backup: "&amp;IF(LEN(INDEX('Checklist'!$F$4:$F$503,_calc!$E$293))=0,"",INDEX('Checklist'!$F$4:$F$503,_calc!$E$293))&amp;". ")&amp;IF(LEN(IF(LEN(INDEX('Checklist'!$J$4:$J$503,_calc!$E$293))=0,"",INDEX('Checklist'!$J$4:$J$503,_calc!$E$293)))=0,"","Evidence: "&amp;IF(LEN(INDEX('Checklist'!$J$4:$J$503,_calc!$E$293))=0,"",INDEX('Checklist'!$J$4:$J$503,_calc!$E$293))&amp;". ")&amp;IF(LEN(IF(LEN(INDEX('Checklist'!$D$4:$D$503,_calc!$E$293))=0,"",INDEX('Checklist'!$D$4:$D$503,_calc!$E$293)))=0,"","Rule example: "&amp;IF(LEN(INDEX('Checklist'!$D$4:$D$503,_calc!$E$293))=0,"",INDEX('Checklist'!$D$4:$D$503,_calc!$E$293))&amp;". ")&amp;IF(LEN(IF(LEN(INDEX('Checklist'!$P$4:$P$503,_calc!$E$293))=0,"",INDEX('Checklist'!$P$4:$P$503,_calc!$E$293)))=0,"",IF(LEN(INDEX('Checklist'!$P$4:$P$503,_calc!$E$293))=0,"",INDEX('Checklist'!$P$4:$P$503,_calc!$E$293)))))</f>
        <v/>
      </c>
      <c r="K291" s="44">
        <f>IF(_calc!$E$293="","",IF(LEN(INDEX('Checklist'!$G$4:$G$503,_calc!$E$293))=0,"",INDEX('Checklist'!$G$4:$G$503,_calc!$E$293)))</f>
        <v/>
      </c>
    </row>
    <row r="292">
      <c r="A292" s="44">
        <f>IF(_calc!$E$294="","","Survey check – "&amp;IF(LEN(INDEX('Checklist'!$C$4:$C$503,_calc!$E$294))=0,"",INDEX('Checklist'!$C$4:$C$503,_calc!$E$294)))</f>
        <v/>
      </c>
      <c r="B292" s="44">
        <f>IF(_calc!$E$294="","",IF(ISNUMBER(INDEX('Checklist'!$L$4:$L$503,_calc!$E$294)),TEXT(INDEX('Checklist'!$L$4:$L$503,_calc!$E$294),"yyyy-mm-dd"),""))</f>
        <v/>
      </c>
      <c r="C292" s="44">
        <f>IF(_calc!$E$294="","","Survey readiness")</f>
        <v/>
      </c>
      <c r="D292" s="44">
        <f>IF(_calc!$E$294="","",IF(ISNUMBER(INDEX('Checklist'!$H$4:$H$503,_calc!$E$294)),TEXT(INDEX('Checklist'!$H$4:$H$503,_calc!$E$294),"yyyy-mm-dd"),""))</f>
        <v/>
      </c>
      <c r="F292" s="44">
        <f>IF(_calc!$E$294="","",TRIM(IF(LEN(IF(LEN(INDEX('Checklist'!$A$4:$A$503,_calc!$E$294))=0,"",INDEX('Checklist'!$A$4:$A$503,_calc!$E$294)))=0,"","Group: "&amp;IF(LEN(INDEX('Checklist'!$A$4:$A$503,_calc!$E$294))=0,"",INDEX('Checklist'!$A$4:$A$503,_calc!$E$294))&amp;". ")&amp;IF(LEN(IF(LEN(INDEX('Checklist'!$E$4:$E$503,_calc!$E$294))=0,"",INDEX('Checklist'!$E$4:$E$503,_calc!$E$294)))=0,"","Owner: "&amp;IF(LEN(INDEX('Checklist'!$E$4:$E$503,_calc!$E$294))=0,"",INDEX('Checklist'!$E$4:$E$503,_calc!$E$294))&amp;". ")&amp;IF(LEN(IF(LEN(INDEX('Checklist'!$F$4:$F$503,_calc!$E$294))=0,"",INDEX('Checklist'!$F$4:$F$503,_calc!$E$294)))=0,"","Backup: "&amp;IF(LEN(INDEX('Checklist'!$F$4:$F$503,_calc!$E$294))=0,"",INDEX('Checklist'!$F$4:$F$503,_calc!$E$294))&amp;". ")&amp;IF(LEN(IF(LEN(INDEX('Checklist'!$J$4:$J$503,_calc!$E$294))=0,"",INDEX('Checklist'!$J$4:$J$503,_calc!$E$294)))=0,"","Evidence: "&amp;IF(LEN(INDEX('Checklist'!$J$4:$J$503,_calc!$E$294))=0,"",INDEX('Checklist'!$J$4:$J$503,_calc!$E$294))&amp;". ")&amp;IF(LEN(IF(LEN(INDEX('Checklist'!$D$4:$D$503,_calc!$E$294))=0,"",INDEX('Checklist'!$D$4:$D$503,_calc!$E$294)))=0,"","Rule example: "&amp;IF(LEN(INDEX('Checklist'!$D$4:$D$503,_calc!$E$294))=0,"",INDEX('Checklist'!$D$4:$D$503,_calc!$E$294))&amp;". ")&amp;IF(LEN(IF(LEN(INDEX('Checklist'!$P$4:$P$503,_calc!$E$294))=0,"",INDEX('Checklist'!$P$4:$P$503,_calc!$E$294)))=0,"",IF(LEN(INDEX('Checklist'!$P$4:$P$503,_calc!$E$294))=0,"",INDEX('Checklist'!$P$4:$P$503,_calc!$E$294)))))</f>
        <v/>
      </c>
      <c r="K292" s="44">
        <f>IF(_calc!$E$294="","",IF(LEN(INDEX('Checklist'!$G$4:$G$503,_calc!$E$294))=0,"",INDEX('Checklist'!$G$4:$G$503,_calc!$E$294)))</f>
        <v/>
      </c>
    </row>
    <row r="293">
      <c r="A293" s="44">
        <f>IF(_calc!$E$295="","","Survey check – "&amp;IF(LEN(INDEX('Checklist'!$C$4:$C$503,_calc!$E$295))=0,"",INDEX('Checklist'!$C$4:$C$503,_calc!$E$295)))</f>
        <v/>
      </c>
      <c r="B293" s="44">
        <f>IF(_calc!$E$295="","",IF(ISNUMBER(INDEX('Checklist'!$L$4:$L$503,_calc!$E$295)),TEXT(INDEX('Checklist'!$L$4:$L$503,_calc!$E$295),"yyyy-mm-dd"),""))</f>
        <v/>
      </c>
      <c r="C293" s="44">
        <f>IF(_calc!$E$295="","","Survey readiness")</f>
        <v/>
      </c>
      <c r="D293" s="44">
        <f>IF(_calc!$E$295="","",IF(ISNUMBER(INDEX('Checklist'!$H$4:$H$503,_calc!$E$295)),TEXT(INDEX('Checklist'!$H$4:$H$503,_calc!$E$295),"yyyy-mm-dd"),""))</f>
        <v/>
      </c>
      <c r="F293" s="44">
        <f>IF(_calc!$E$295="","",TRIM(IF(LEN(IF(LEN(INDEX('Checklist'!$A$4:$A$503,_calc!$E$295))=0,"",INDEX('Checklist'!$A$4:$A$503,_calc!$E$295)))=0,"","Group: "&amp;IF(LEN(INDEX('Checklist'!$A$4:$A$503,_calc!$E$295))=0,"",INDEX('Checklist'!$A$4:$A$503,_calc!$E$295))&amp;". ")&amp;IF(LEN(IF(LEN(INDEX('Checklist'!$E$4:$E$503,_calc!$E$295))=0,"",INDEX('Checklist'!$E$4:$E$503,_calc!$E$295)))=0,"","Owner: "&amp;IF(LEN(INDEX('Checklist'!$E$4:$E$503,_calc!$E$295))=0,"",INDEX('Checklist'!$E$4:$E$503,_calc!$E$295))&amp;". ")&amp;IF(LEN(IF(LEN(INDEX('Checklist'!$F$4:$F$503,_calc!$E$295))=0,"",INDEX('Checklist'!$F$4:$F$503,_calc!$E$295)))=0,"","Backup: "&amp;IF(LEN(INDEX('Checklist'!$F$4:$F$503,_calc!$E$295))=0,"",INDEX('Checklist'!$F$4:$F$503,_calc!$E$295))&amp;". ")&amp;IF(LEN(IF(LEN(INDEX('Checklist'!$J$4:$J$503,_calc!$E$295))=0,"",INDEX('Checklist'!$J$4:$J$503,_calc!$E$295)))=0,"","Evidence: "&amp;IF(LEN(INDEX('Checklist'!$J$4:$J$503,_calc!$E$295))=0,"",INDEX('Checklist'!$J$4:$J$503,_calc!$E$295))&amp;". ")&amp;IF(LEN(IF(LEN(INDEX('Checklist'!$D$4:$D$503,_calc!$E$295))=0,"",INDEX('Checklist'!$D$4:$D$503,_calc!$E$295)))=0,"","Rule example: "&amp;IF(LEN(INDEX('Checklist'!$D$4:$D$503,_calc!$E$295))=0,"",INDEX('Checklist'!$D$4:$D$503,_calc!$E$295))&amp;". ")&amp;IF(LEN(IF(LEN(INDEX('Checklist'!$P$4:$P$503,_calc!$E$295))=0,"",INDEX('Checklist'!$P$4:$P$503,_calc!$E$295)))=0,"",IF(LEN(INDEX('Checklist'!$P$4:$P$503,_calc!$E$295))=0,"",INDEX('Checklist'!$P$4:$P$503,_calc!$E$295)))))</f>
        <v/>
      </c>
      <c r="K293" s="44">
        <f>IF(_calc!$E$295="","",IF(LEN(INDEX('Checklist'!$G$4:$G$503,_calc!$E$295))=0,"",INDEX('Checklist'!$G$4:$G$503,_calc!$E$295)))</f>
        <v/>
      </c>
    </row>
    <row r="294">
      <c r="A294" s="44">
        <f>IF(_calc!$E$296="","","Survey check – "&amp;IF(LEN(INDEX('Checklist'!$C$4:$C$503,_calc!$E$296))=0,"",INDEX('Checklist'!$C$4:$C$503,_calc!$E$296)))</f>
        <v/>
      </c>
      <c r="B294" s="44">
        <f>IF(_calc!$E$296="","",IF(ISNUMBER(INDEX('Checklist'!$L$4:$L$503,_calc!$E$296)),TEXT(INDEX('Checklist'!$L$4:$L$503,_calc!$E$296),"yyyy-mm-dd"),""))</f>
        <v/>
      </c>
      <c r="C294" s="44">
        <f>IF(_calc!$E$296="","","Survey readiness")</f>
        <v/>
      </c>
      <c r="D294" s="44">
        <f>IF(_calc!$E$296="","",IF(ISNUMBER(INDEX('Checklist'!$H$4:$H$503,_calc!$E$296)),TEXT(INDEX('Checklist'!$H$4:$H$503,_calc!$E$296),"yyyy-mm-dd"),""))</f>
        <v/>
      </c>
      <c r="F294" s="44">
        <f>IF(_calc!$E$296="","",TRIM(IF(LEN(IF(LEN(INDEX('Checklist'!$A$4:$A$503,_calc!$E$296))=0,"",INDEX('Checklist'!$A$4:$A$503,_calc!$E$296)))=0,"","Group: "&amp;IF(LEN(INDEX('Checklist'!$A$4:$A$503,_calc!$E$296))=0,"",INDEX('Checklist'!$A$4:$A$503,_calc!$E$296))&amp;". ")&amp;IF(LEN(IF(LEN(INDEX('Checklist'!$E$4:$E$503,_calc!$E$296))=0,"",INDEX('Checklist'!$E$4:$E$503,_calc!$E$296)))=0,"","Owner: "&amp;IF(LEN(INDEX('Checklist'!$E$4:$E$503,_calc!$E$296))=0,"",INDEX('Checklist'!$E$4:$E$503,_calc!$E$296))&amp;". ")&amp;IF(LEN(IF(LEN(INDEX('Checklist'!$F$4:$F$503,_calc!$E$296))=0,"",INDEX('Checklist'!$F$4:$F$503,_calc!$E$296)))=0,"","Backup: "&amp;IF(LEN(INDEX('Checklist'!$F$4:$F$503,_calc!$E$296))=0,"",INDEX('Checklist'!$F$4:$F$503,_calc!$E$296))&amp;". ")&amp;IF(LEN(IF(LEN(INDEX('Checklist'!$J$4:$J$503,_calc!$E$296))=0,"",INDEX('Checklist'!$J$4:$J$503,_calc!$E$296)))=0,"","Evidence: "&amp;IF(LEN(INDEX('Checklist'!$J$4:$J$503,_calc!$E$296))=0,"",INDEX('Checklist'!$J$4:$J$503,_calc!$E$296))&amp;". ")&amp;IF(LEN(IF(LEN(INDEX('Checklist'!$D$4:$D$503,_calc!$E$296))=0,"",INDEX('Checklist'!$D$4:$D$503,_calc!$E$296)))=0,"","Rule example: "&amp;IF(LEN(INDEX('Checklist'!$D$4:$D$503,_calc!$E$296))=0,"",INDEX('Checklist'!$D$4:$D$503,_calc!$E$296))&amp;". ")&amp;IF(LEN(IF(LEN(INDEX('Checklist'!$P$4:$P$503,_calc!$E$296))=0,"",INDEX('Checklist'!$P$4:$P$503,_calc!$E$296)))=0,"",IF(LEN(INDEX('Checklist'!$P$4:$P$503,_calc!$E$296))=0,"",INDEX('Checklist'!$P$4:$P$503,_calc!$E$296)))))</f>
        <v/>
      </c>
      <c r="K294" s="44">
        <f>IF(_calc!$E$296="","",IF(LEN(INDEX('Checklist'!$G$4:$G$503,_calc!$E$296))=0,"",INDEX('Checklist'!$G$4:$G$503,_calc!$E$296)))</f>
        <v/>
      </c>
    </row>
    <row r="295">
      <c r="A295" s="44">
        <f>IF(_calc!$E$297="","","Survey check – "&amp;IF(LEN(INDEX('Checklist'!$C$4:$C$503,_calc!$E$297))=0,"",INDEX('Checklist'!$C$4:$C$503,_calc!$E$297)))</f>
        <v/>
      </c>
      <c r="B295" s="44">
        <f>IF(_calc!$E$297="","",IF(ISNUMBER(INDEX('Checklist'!$L$4:$L$503,_calc!$E$297)),TEXT(INDEX('Checklist'!$L$4:$L$503,_calc!$E$297),"yyyy-mm-dd"),""))</f>
        <v/>
      </c>
      <c r="C295" s="44">
        <f>IF(_calc!$E$297="","","Survey readiness")</f>
        <v/>
      </c>
      <c r="D295" s="44">
        <f>IF(_calc!$E$297="","",IF(ISNUMBER(INDEX('Checklist'!$H$4:$H$503,_calc!$E$297)),TEXT(INDEX('Checklist'!$H$4:$H$503,_calc!$E$297),"yyyy-mm-dd"),""))</f>
        <v/>
      </c>
      <c r="F295" s="44">
        <f>IF(_calc!$E$297="","",TRIM(IF(LEN(IF(LEN(INDEX('Checklist'!$A$4:$A$503,_calc!$E$297))=0,"",INDEX('Checklist'!$A$4:$A$503,_calc!$E$297)))=0,"","Group: "&amp;IF(LEN(INDEX('Checklist'!$A$4:$A$503,_calc!$E$297))=0,"",INDEX('Checklist'!$A$4:$A$503,_calc!$E$297))&amp;". ")&amp;IF(LEN(IF(LEN(INDEX('Checklist'!$E$4:$E$503,_calc!$E$297))=0,"",INDEX('Checklist'!$E$4:$E$503,_calc!$E$297)))=0,"","Owner: "&amp;IF(LEN(INDEX('Checklist'!$E$4:$E$503,_calc!$E$297))=0,"",INDEX('Checklist'!$E$4:$E$503,_calc!$E$297))&amp;". ")&amp;IF(LEN(IF(LEN(INDEX('Checklist'!$F$4:$F$503,_calc!$E$297))=0,"",INDEX('Checklist'!$F$4:$F$503,_calc!$E$297)))=0,"","Backup: "&amp;IF(LEN(INDEX('Checklist'!$F$4:$F$503,_calc!$E$297))=0,"",INDEX('Checklist'!$F$4:$F$503,_calc!$E$297))&amp;". ")&amp;IF(LEN(IF(LEN(INDEX('Checklist'!$J$4:$J$503,_calc!$E$297))=0,"",INDEX('Checklist'!$J$4:$J$503,_calc!$E$297)))=0,"","Evidence: "&amp;IF(LEN(INDEX('Checklist'!$J$4:$J$503,_calc!$E$297))=0,"",INDEX('Checklist'!$J$4:$J$503,_calc!$E$297))&amp;". ")&amp;IF(LEN(IF(LEN(INDEX('Checklist'!$D$4:$D$503,_calc!$E$297))=0,"",INDEX('Checklist'!$D$4:$D$503,_calc!$E$297)))=0,"","Rule example: "&amp;IF(LEN(INDEX('Checklist'!$D$4:$D$503,_calc!$E$297))=0,"",INDEX('Checklist'!$D$4:$D$503,_calc!$E$297))&amp;". ")&amp;IF(LEN(IF(LEN(INDEX('Checklist'!$P$4:$P$503,_calc!$E$297))=0,"",INDEX('Checklist'!$P$4:$P$503,_calc!$E$297)))=0,"",IF(LEN(INDEX('Checklist'!$P$4:$P$503,_calc!$E$297))=0,"",INDEX('Checklist'!$P$4:$P$503,_calc!$E$297)))))</f>
        <v/>
      </c>
      <c r="K295" s="44">
        <f>IF(_calc!$E$297="","",IF(LEN(INDEX('Checklist'!$G$4:$G$503,_calc!$E$297))=0,"",INDEX('Checklist'!$G$4:$G$503,_calc!$E$297)))</f>
        <v/>
      </c>
    </row>
    <row r="296">
      <c r="A296" s="44">
        <f>IF(_calc!$E$298="","","Survey check – "&amp;IF(LEN(INDEX('Checklist'!$C$4:$C$503,_calc!$E$298))=0,"",INDEX('Checklist'!$C$4:$C$503,_calc!$E$298)))</f>
        <v/>
      </c>
      <c r="B296" s="44">
        <f>IF(_calc!$E$298="","",IF(ISNUMBER(INDEX('Checklist'!$L$4:$L$503,_calc!$E$298)),TEXT(INDEX('Checklist'!$L$4:$L$503,_calc!$E$298),"yyyy-mm-dd"),""))</f>
        <v/>
      </c>
      <c r="C296" s="44">
        <f>IF(_calc!$E$298="","","Survey readiness")</f>
        <v/>
      </c>
      <c r="D296" s="44">
        <f>IF(_calc!$E$298="","",IF(ISNUMBER(INDEX('Checklist'!$H$4:$H$503,_calc!$E$298)),TEXT(INDEX('Checklist'!$H$4:$H$503,_calc!$E$298),"yyyy-mm-dd"),""))</f>
        <v/>
      </c>
      <c r="F296" s="44">
        <f>IF(_calc!$E$298="","",TRIM(IF(LEN(IF(LEN(INDEX('Checklist'!$A$4:$A$503,_calc!$E$298))=0,"",INDEX('Checklist'!$A$4:$A$503,_calc!$E$298)))=0,"","Group: "&amp;IF(LEN(INDEX('Checklist'!$A$4:$A$503,_calc!$E$298))=0,"",INDEX('Checklist'!$A$4:$A$503,_calc!$E$298))&amp;". ")&amp;IF(LEN(IF(LEN(INDEX('Checklist'!$E$4:$E$503,_calc!$E$298))=0,"",INDEX('Checklist'!$E$4:$E$503,_calc!$E$298)))=0,"","Owner: "&amp;IF(LEN(INDEX('Checklist'!$E$4:$E$503,_calc!$E$298))=0,"",INDEX('Checklist'!$E$4:$E$503,_calc!$E$298))&amp;". ")&amp;IF(LEN(IF(LEN(INDEX('Checklist'!$F$4:$F$503,_calc!$E$298))=0,"",INDEX('Checklist'!$F$4:$F$503,_calc!$E$298)))=0,"","Backup: "&amp;IF(LEN(INDEX('Checklist'!$F$4:$F$503,_calc!$E$298))=0,"",INDEX('Checklist'!$F$4:$F$503,_calc!$E$298))&amp;". ")&amp;IF(LEN(IF(LEN(INDEX('Checklist'!$J$4:$J$503,_calc!$E$298))=0,"",INDEX('Checklist'!$J$4:$J$503,_calc!$E$298)))=0,"","Evidence: "&amp;IF(LEN(INDEX('Checklist'!$J$4:$J$503,_calc!$E$298))=0,"",INDEX('Checklist'!$J$4:$J$503,_calc!$E$298))&amp;". ")&amp;IF(LEN(IF(LEN(INDEX('Checklist'!$D$4:$D$503,_calc!$E$298))=0,"",INDEX('Checklist'!$D$4:$D$503,_calc!$E$298)))=0,"","Rule example: "&amp;IF(LEN(INDEX('Checklist'!$D$4:$D$503,_calc!$E$298))=0,"",INDEX('Checklist'!$D$4:$D$503,_calc!$E$298))&amp;". ")&amp;IF(LEN(IF(LEN(INDEX('Checklist'!$P$4:$P$503,_calc!$E$298))=0,"",INDEX('Checklist'!$P$4:$P$503,_calc!$E$298)))=0,"",IF(LEN(INDEX('Checklist'!$P$4:$P$503,_calc!$E$298))=0,"",INDEX('Checklist'!$P$4:$P$503,_calc!$E$298)))))</f>
        <v/>
      </c>
      <c r="K296" s="44">
        <f>IF(_calc!$E$298="","",IF(LEN(INDEX('Checklist'!$G$4:$G$503,_calc!$E$298))=0,"",INDEX('Checklist'!$G$4:$G$503,_calc!$E$298)))</f>
        <v/>
      </c>
    </row>
    <row r="297">
      <c r="A297" s="44">
        <f>IF(_calc!$E$299="","","Survey check – "&amp;IF(LEN(INDEX('Checklist'!$C$4:$C$503,_calc!$E$299))=0,"",INDEX('Checklist'!$C$4:$C$503,_calc!$E$299)))</f>
        <v/>
      </c>
      <c r="B297" s="44">
        <f>IF(_calc!$E$299="","",IF(ISNUMBER(INDEX('Checklist'!$L$4:$L$503,_calc!$E$299)),TEXT(INDEX('Checklist'!$L$4:$L$503,_calc!$E$299),"yyyy-mm-dd"),""))</f>
        <v/>
      </c>
      <c r="C297" s="44">
        <f>IF(_calc!$E$299="","","Survey readiness")</f>
        <v/>
      </c>
      <c r="D297" s="44">
        <f>IF(_calc!$E$299="","",IF(ISNUMBER(INDEX('Checklist'!$H$4:$H$503,_calc!$E$299)),TEXT(INDEX('Checklist'!$H$4:$H$503,_calc!$E$299),"yyyy-mm-dd"),""))</f>
        <v/>
      </c>
      <c r="F297" s="44">
        <f>IF(_calc!$E$299="","",TRIM(IF(LEN(IF(LEN(INDEX('Checklist'!$A$4:$A$503,_calc!$E$299))=0,"",INDEX('Checklist'!$A$4:$A$503,_calc!$E$299)))=0,"","Group: "&amp;IF(LEN(INDEX('Checklist'!$A$4:$A$503,_calc!$E$299))=0,"",INDEX('Checklist'!$A$4:$A$503,_calc!$E$299))&amp;". ")&amp;IF(LEN(IF(LEN(INDEX('Checklist'!$E$4:$E$503,_calc!$E$299))=0,"",INDEX('Checklist'!$E$4:$E$503,_calc!$E$299)))=0,"","Owner: "&amp;IF(LEN(INDEX('Checklist'!$E$4:$E$503,_calc!$E$299))=0,"",INDEX('Checklist'!$E$4:$E$503,_calc!$E$299))&amp;". ")&amp;IF(LEN(IF(LEN(INDEX('Checklist'!$F$4:$F$503,_calc!$E$299))=0,"",INDEX('Checklist'!$F$4:$F$503,_calc!$E$299)))=0,"","Backup: "&amp;IF(LEN(INDEX('Checklist'!$F$4:$F$503,_calc!$E$299))=0,"",INDEX('Checklist'!$F$4:$F$503,_calc!$E$299))&amp;". ")&amp;IF(LEN(IF(LEN(INDEX('Checklist'!$J$4:$J$503,_calc!$E$299))=0,"",INDEX('Checklist'!$J$4:$J$503,_calc!$E$299)))=0,"","Evidence: "&amp;IF(LEN(INDEX('Checklist'!$J$4:$J$503,_calc!$E$299))=0,"",INDEX('Checklist'!$J$4:$J$503,_calc!$E$299))&amp;". ")&amp;IF(LEN(IF(LEN(INDEX('Checklist'!$D$4:$D$503,_calc!$E$299))=0,"",INDEX('Checklist'!$D$4:$D$503,_calc!$E$299)))=0,"","Rule example: "&amp;IF(LEN(INDEX('Checklist'!$D$4:$D$503,_calc!$E$299))=0,"",INDEX('Checklist'!$D$4:$D$503,_calc!$E$299))&amp;". ")&amp;IF(LEN(IF(LEN(INDEX('Checklist'!$P$4:$P$503,_calc!$E$299))=0,"",INDEX('Checklist'!$P$4:$P$503,_calc!$E$299)))=0,"",IF(LEN(INDEX('Checklist'!$P$4:$P$503,_calc!$E$299))=0,"",INDEX('Checklist'!$P$4:$P$503,_calc!$E$299)))))</f>
        <v/>
      </c>
      <c r="K297" s="44">
        <f>IF(_calc!$E$299="","",IF(LEN(INDEX('Checklist'!$G$4:$G$503,_calc!$E$299))=0,"",INDEX('Checklist'!$G$4:$G$503,_calc!$E$299)))</f>
        <v/>
      </c>
    </row>
    <row r="298">
      <c r="A298" s="44">
        <f>IF(_calc!$E$300="","","Survey check – "&amp;IF(LEN(INDEX('Checklist'!$C$4:$C$503,_calc!$E$300))=0,"",INDEX('Checklist'!$C$4:$C$503,_calc!$E$300)))</f>
        <v/>
      </c>
      <c r="B298" s="44">
        <f>IF(_calc!$E$300="","",IF(ISNUMBER(INDEX('Checklist'!$L$4:$L$503,_calc!$E$300)),TEXT(INDEX('Checklist'!$L$4:$L$503,_calc!$E$300),"yyyy-mm-dd"),""))</f>
        <v/>
      </c>
      <c r="C298" s="44">
        <f>IF(_calc!$E$300="","","Survey readiness")</f>
        <v/>
      </c>
      <c r="D298" s="44">
        <f>IF(_calc!$E$300="","",IF(ISNUMBER(INDEX('Checklist'!$H$4:$H$503,_calc!$E$300)),TEXT(INDEX('Checklist'!$H$4:$H$503,_calc!$E$300),"yyyy-mm-dd"),""))</f>
        <v/>
      </c>
      <c r="F298" s="44">
        <f>IF(_calc!$E$300="","",TRIM(IF(LEN(IF(LEN(INDEX('Checklist'!$A$4:$A$503,_calc!$E$300))=0,"",INDEX('Checklist'!$A$4:$A$503,_calc!$E$300)))=0,"","Group: "&amp;IF(LEN(INDEX('Checklist'!$A$4:$A$503,_calc!$E$300))=0,"",INDEX('Checklist'!$A$4:$A$503,_calc!$E$300))&amp;". ")&amp;IF(LEN(IF(LEN(INDEX('Checklist'!$E$4:$E$503,_calc!$E$300))=0,"",INDEX('Checklist'!$E$4:$E$503,_calc!$E$300)))=0,"","Owner: "&amp;IF(LEN(INDEX('Checklist'!$E$4:$E$503,_calc!$E$300))=0,"",INDEX('Checklist'!$E$4:$E$503,_calc!$E$300))&amp;". ")&amp;IF(LEN(IF(LEN(INDEX('Checklist'!$F$4:$F$503,_calc!$E$300))=0,"",INDEX('Checklist'!$F$4:$F$503,_calc!$E$300)))=0,"","Backup: "&amp;IF(LEN(INDEX('Checklist'!$F$4:$F$503,_calc!$E$300))=0,"",INDEX('Checklist'!$F$4:$F$503,_calc!$E$300))&amp;". ")&amp;IF(LEN(IF(LEN(INDEX('Checklist'!$J$4:$J$503,_calc!$E$300))=0,"",INDEX('Checklist'!$J$4:$J$503,_calc!$E$300)))=0,"","Evidence: "&amp;IF(LEN(INDEX('Checklist'!$J$4:$J$503,_calc!$E$300))=0,"",INDEX('Checklist'!$J$4:$J$503,_calc!$E$300))&amp;". ")&amp;IF(LEN(IF(LEN(INDEX('Checklist'!$D$4:$D$503,_calc!$E$300))=0,"",INDEX('Checklist'!$D$4:$D$503,_calc!$E$300)))=0,"","Rule example: "&amp;IF(LEN(INDEX('Checklist'!$D$4:$D$503,_calc!$E$300))=0,"",INDEX('Checklist'!$D$4:$D$503,_calc!$E$300))&amp;". ")&amp;IF(LEN(IF(LEN(INDEX('Checklist'!$P$4:$P$503,_calc!$E$300))=0,"",INDEX('Checklist'!$P$4:$P$503,_calc!$E$300)))=0,"",IF(LEN(INDEX('Checklist'!$P$4:$P$503,_calc!$E$300))=0,"",INDEX('Checklist'!$P$4:$P$503,_calc!$E$300)))))</f>
        <v/>
      </c>
      <c r="K298" s="44">
        <f>IF(_calc!$E$300="","",IF(LEN(INDEX('Checklist'!$G$4:$G$503,_calc!$E$300))=0,"",INDEX('Checklist'!$G$4:$G$503,_calc!$E$300)))</f>
        <v/>
      </c>
    </row>
    <row r="299">
      <c r="A299" s="44">
        <f>IF(_calc!$E$301="","","Survey check – "&amp;IF(LEN(INDEX('Checklist'!$C$4:$C$503,_calc!$E$301))=0,"",INDEX('Checklist'!$C$4:$C$503,_calc!$E$301)))</f>
        <v/>
      </c>
      <c r="B299" s="44">
        <f>IF(_calc!$E$301="","",IF(ISNUMBER(INDEX('Checklist'!$L$4:$L$503,_calc!$E$301)),TEXT(INDEX('Checklist'!$L$4:$L$503,_calc!$E$301),"yyyy-mm-dd"),""))</f>
        <v/>
      </c>
      <c r="C299" s="44">
        <f>IF(_calc!$E$301="","","Survey readiness")</f>
        <v/>
      </c>
      <c r="D299" s="44">
        <f>IF(_calc!$E$301="","",IF(ISNUMBER(INDEX('Checklist'!$H$4:$H$503,_calc!$E$301)),TEXT(INDEX('Checklist'!$H$4:$H$503,_calc!$E$301),"yyyy-mm-dd"),""))</f>
        <v/>
      </c>
      <c r="F299" s="44">
        <f>IF(_calc!$E$301="","",TRIM(IF(LEN(IF(LEN(INDEX('Checklist'!$A$4:$A$503,_calc!$E$301))=0,"",INDEX('Checklist'!$A$4:$A$503,_calc!$E$301)))=0,"","Group: "&amp;IF(LEN(INDEX('Checklist'!$A$4:$A$503,_calc!$E$301))=0,"",INDEX('Checklist'!$A$4:$A$503,_calc!$E$301))&amp;". ")&amp;IF(LEN(IF(LEN(INDEX('Checklist'!$E$4:$E$503,_calc!$E$301))=0,"",INDEX('Checklist'!$E$4:$E$503,_calc!$E$301)))=0,"","Owner: "&amp;IF(LEN(INDEX('Checklist'!$E$4:$E$503,_calc!$E$301))=0,"",INDEX('Checklist'!$E$4:$E$503,_calc!$E$301))&amp;". ")&amp;IF(LEN(IF(LEN(INDEX('Checklist'!$F$4:$F$503,_calc!$E$301))=0,"",INDEX('Checklist'!$F$4:$F$503,_calc!$E$301)))=0,"","Backup: "&amp;IF(LEN(INDEX('Checklist'!$F$4:$F$503,_calc!$E$301))=0,"",INDEX('Checklist'!$F$4:$F$503,_calc!$E$301))&amp;". ")&amp;IF(LEN(IF(LEN(INDEX('Checklist'!$J$4:$J$503,_calc!$E$301))=0,"",INDEX('Checklist'!$J$4:$J$503,_calc!$E$301)))=0,"","Evidence: "&amp;IF(LEN(INDEX('Checklist'!$J$4:$J$503,_calc!$E$301))=0,"",INDEX('Checklist'!$J$4:$J$503,_calc!$E$301))&amp;". ")&amp;IF(LEN(IF(LEN(INDEX('Checklist'!$D$4:$D$503,_calc!$E$301))=0,"",INDEX('Checklist'!$D$4:$D$503,_calc!$E$301)))=0,"","Rule example: "&amp;IF(LEN(INDEX('Checklist'!$D$4:$D$503,_calc!$E$301))=0,"",INDEX('Checklist'!$D$4:$D$503,_calc!$E$301))&amp;". ")&amp;IF(LEN(IF(LEN(INDEX('Checklist'!$P$4:$P$503,_calc!$E$301))=0,"",INDEX('Checklist'!$P$4:$P$503,_calc!$E$301)))=0,"",IF(LEN(INDEX('Checklist'!$P$4:$P$503,_calc!$E$301))=0,"",INDEX('Checklist'!$P$4:$P$503,_calc!$E$301)))))</f>
        <v/>
      </c>
      <c r="K299" s="44">
        <f>IF(_calc!$E$301="","",IF(LEN(INDEX('Checklist'!$G$4:$G$503,_calc!$E$301))=0,"",INDEX('Checklist'!$G$4:$G$503,_calc!$E$301)))</f>
        <v/>
      </c>
    </row>
    <row r="300">
      <c r="A300" s="44">
        <f>IF(_calc!$E$302="","","Survey check – "&amp;IF(LEN(INDEX('Checklist'!$C$4:$C$503,_calc!$E$302))=0,"",INDEX('Checklist'!$C$4:$C$503,_calc!$E$302)))</f>
        <v/>
      </c>
      <c r="B300" s="44">
        <f>IF(_calc!$E$302="","",IF(ISNUMBER(INDEX('Checklist'!$L$4:$L$503,_calc!$E$302)),TEXT(INDEX('Checklist'!$L$4:$L$503,_calc!$E$302),"yyyy-mm-dd"),""))</f>
        <v/>
      </c>
      <c r="C300" s="44">
        <f>IF(_calc!$E$302="","","Survey readiness")</f>
        <v/>
      </c>
      <c r="D300" s="44">
        <f>IF(_calc!$E$302="","",IF(ISNUMBER(INDEX('Checklist'!$H$4:$H$503,_calc!$E$302)),TEXT(INDEX('Checklist'!$H$4:$H$503,_calc!$E$302),"yyyy-mm-dd"),""))</f>
        <v/>
      </c>
      <c r="F300" s="44">
        <f>IF(_calc!$E$302="","",TRIM(IF(LEN(IF(LEN(INDEX('Checklist'!$A$4:$A$503,_calc!$E$302))=0,"",INDEX('Checklist'!$A$4:$A$503,_calc!$E$302)))=0,"","Group: "&amp;IF(LEN(INDEX('Checklist'!$A$4:$A$503,_calc!$E$302))=0,"",INDEX('Checklist'!$A$4:$A$503,_calc!$E$302))&amp;". ")&amp;IF(LEN(IF(LEN(INDEX('Checklist'!$E$4:$E$503,_calc!$E$302))=0,"",INDEX('Checklist'!$E$4:$E$503,_calc!$E$302)))=0,"","Owner: "&amp;IF(LEN(INDEX('Checklist'!$E$4:$E$503,_calc!$E$302))=0,"",INDEX('Checklist'!$E$4:$E$503,_calc!$E$302))&amp;". ")&amp;IF(LEN(IF(LEN(INDEX('Checklist'!$F$4:$F$503,_calc!$E$302))=0,"",INDEX('Checklist'!$F$4:$F$503,_calc!$E$302)))=0,"","Backup: "&amp;IF(LEN(INDEX('Checklist'!$F$4:$F$503,_calc!$E$302))=0,"",INDEX('Checklist'!$F$4:$F$503,_calc!$E$302))&amp;". ")&amp;IF(LEN(IF(LEN(INDEX('Checklist'!$J$4:$J$503,_calc!$E$302))=0,"",INDEX('Checklist'!$J$4:$J$503,_calc!$E$302)))=0,"","Evidence: "&amp;IF(LEN(INDEX('Checklist'!$J$4:$J$503,_calc!$E$302))=0,"",INDEX('Checklist'!$J$4:$J$503,_calc!$E$302))&amp;". ")&amp;IF(LEN(IF(LEN(INDEX('Checklist'!$D$4:$D$503,_calc!$E$302))=0,"",INDEX('Checklist'!$D$4:$D$503,_calc!$E$302)))=0,"","Rule example: "&amp;IF(LEN(INDEX('Checklist'!$D$4:$D$503,_calc!$E$302))=0,"",INDEX('Checklist'!$D$4:$D$503,_calc!$E$302))&amp;". ")&amp;IF(LEN(IF(LEN(INDEX('Checklist'!$P$4:$P$503,_calc!$E$302))=0,"",INDEX('Checklist'!$P$4:$P$503,_calc!$E$302)))=0,"",IF(LEN(INDEX('Checklist'!$P$4:$P$503,_calc!$E$302))=0,"",INDEX('Checklist'!$P$4:$P$503,_calc!$E$302)))))</f>
        <v/>
      </c>
      <c r="K300" s="44">
        <f>IF(_calc!$E$302="","",IF(LEN(INDEX('Checklist'!$G$4:$G$503,_calc!$E$302))=0,"",INDEX('Checklist'!$G$4:$G$503,_calc!$E$302)))</f>
        <v/>
      </c>
    </row>
    <row r="301">
      <c r="A301" s="44">
        <f>IF(_calc!$E$303="","","Survey check – "&amp;IF(LEN(INDEX('Checklist'!$C$4:$C$503,_calc!$E$303))=0,"",INDEX('Checklist'!$C$4:$C$503,_calc!$E$303)))</f>
        <v/>
      </c>
      <c r="B301" s="44">
        <f>IF(_calc!$E$303="","",IF(ISNUMBER(INDEX('Checklist'!$L$4:$L$503,_calc!$E$303)),TEXT(INDEX('Checklist'!$L$4:$L$503,_calc!$E$303),"yyyy-mm-dd"),""))</f>
        <v/>
      </c>
      <c r="C301" s="44">
        <f>IF(_calc!$E$303="","","Survey readiness")</f>
        <v/>
      </c>
      <c r="D301" s="44">
        <f>IF(_calc!$E$303="","",IF(ISNUMBER(INDEX('Checklist'!$H$4:$H$503,_calc!$E$303)),TEXT(INDEX('Checklist'!$H$4:$H$503,_calc!$E$303),"yyyy-mm-dd"),""))</f>
        <v/>
      </c>
      <c r="F301" s="44">
        <f>IF(_calc!$E$303="","",TRIM(IF(LEN(IF(LEN(INDEX('Checklist'!$A$4:$A$503,_calc!$E$303))=0,"",INDEX('Checklist'!$A$4:$A$503,_calc!$E$303)))=0,"","Group: "&amp;IF(LEN(INDEX('Checklist'!$A$4:$A$503,_calc!$E$303))=0,"",INDEX('Checklist'!$A$4:$A$503,_calc!$E$303))&amp;". ")&amp;IF(LEN(IF(LEN(INDEX('Checklist'!$E$4:$E$503,_calc!$E$303))=0,"",INDEX('Checklist'!$E$4:$E$503,_calc!$E$303)))=0,"","Owner: "&amp;IF(LEN(INDEX('Checklist'!$E$4:$E$503,_calc!$E$303))=0,"",INDEX('Checklist'!$E$4:$E$503,_calc!$E$303))&amp;". ")&amp;IF(LEN(IF(LEN(INDEX('Checklist'!$F$4:$F$503,_calc!$E$303))=0,"",INDEX('Checklist'!$F$4:$F$503,_calc!$E$303)))=0,"","Backup: "&amp;IF(LEN(INDEX('Checklist'!$F$4:$F$503,_calc!$E$303))=0,"",INDEX('Checklist'!$F$4:$F$503,_calc!$E$303))&amp;". ")&amp;IF(LEN(IF(LEN(INDEX('Checklist'!$J$4:$J$503,_calc!$E$303))=0,"",INDEX('Checklist'!$J$4:$J$503,_calc!$E$303)))=0,"","Evidence: "&amp;IF(LEN(INDEX('Checklist'!$J$4:$J$503,_calc!$E$303))=0,"",INDEX('Checklist'!$J$4:$J$503,_calc!$E$303))&amp;". ")&amp;IF(LEN(IF(LEN(INDEX('Checklist'!$D$4:$D$503,_calc!$E$303))=0,"",INDEX('Checklist'!$D$4:$D$503,_calc!$E$303)))=0,"","Rule example: "&amp;IF(LEN(INDEX('Checklist'!$D$4:$D$503,_calc!$E$303))=0,"",INDEX('Checklist'!$D$4:$D$503,_calc!$E$303))&amp;". ")&amp;IF(LEN(IF(LEN(INDEX('Checklist'!$P$4:$P$503,_calc!$E$303))=0,"",INDEX('Checklist'!$P$4:$P$503,_calc!$E$303)))=0,"",IF(LEN(INDEX('Checklist'!$P$4:$P$503,_calc!$E$303))=0,"",INDEX('Checklist'!$P$4:$P$503,_calc!$E$303)))))</f>
        <v/>
      </c>
      <c r="K301" s="44">
        <f>IF(_calc!$E$303="","",IF(LEN(INDEX('Checklist'!$G$4:$G$503,_calc!$E$303))=0,"",INDEX('Checklist'!$G$4:$G$503,_calc!$E$303)))</f>
        <v/>
      </c>
    </row>
    <row r="302">
      <c r="A302" s="44">
        <f>IF(_calc!$E$304="","","Survey check – "&amp;IF(LEN(INDEX('Checklist'!$C$4:$C$503,_calc!$E$304))=0,"",INDEX('Checklist'!$C$4:$C$503,_calc!$E$304)))</f>
        <v/>
      </c>
      <c r="B302" s="44">
        <f>IF(_calc!$E$304="","",IF(ISNUMBER(INDEX('Checklist'!$L$4:$L$503,_calc!$E$304)),TEXT(INDEX('Checklist'!$L$4:$L$503,_calc!$E$304),"yyyy-mm-dd"),""))</f>
        <v/>
      </c>
      <c r="C302" s="44">
        <f>IF(_calc!$E$304="","","Survey readiness")</f>
        <v/>
      </c>
      <c r="D302" s="44">
        <f>IF(_calc!$E$304="","",IF(ISNUMBER(INDEX('Checklist'!$H$4:$H$503,_calc!$E$304)),TEXT(INDEX('Checklist'!$H$4:$H$503,_calc!$E$304),"yyyy-mm-dd"),""))</f>
        <v/>
      </c>
      <c r="F302" s="44">
        <f>IF(_calc!$E$304="","",TRIM(IF(LEN(IF(LEN(INDEX('Checklist'!$A$4:$A$503,_calc!$E$304))=0,"",INDEX('Checklist'!$A$4:$A$503,_calc!$E$304)))=0,"","Group: "&amp;IF(LEN(INDEX('Checklist'!$A$4:$A$503,_calc!$E$304))=0,"",INDEX('Checklist'!$A$4:$A$503,_calc!$E$304))&amp;". ")&amp;IF(LEN(IF(LEN(INDEX('Checklist'!$E$4:$E$503,_calc!$E$304))=0,"",INDEX('Checklist'!$E$4:$E$503,_calc!$E$304)))=0,"","Owner: "&amp;IF(LEN(INDEX('Checklist'!$E$4:$E$503,_calc!$E$304))=0,"",INDEX('Checklist'!$E$4:$E$503,_calc!$E$304))&amp;". ")&amp;IF(LEN(IF(LEN(INDEX('Checklist'!$F$4:$F$503,_calc!$E$304))=0,"",INDEX('Checklist'!$F$4:$F$503,_calc!$E$304)))=0,"","Backup: "&amp;IF(LEN(INDEX('Checklist'!$F$4:$F$503,_calc!$E$304))=0,"",INDEX('Checklist'!$F$4:$F$503,_calc!$E$304))&amp;". ")&amp;IF(LEN(IF(LEN(INDEX('Checklist'!$J$4:$J$503,_calc!$E$304))=0,"",INDEX('Checklist'!$J$4:$J$503,_calc!$E$304)))=0,"","Evidence: "&amp;IF(LEN(INDEX('Checklist'!$J$4:$J$503,_calc!$E$304))=0,"",INDEX('Checklist'!$J$4:$J$503,_calc!$E$304))&amp;". ")&amp;IF(LEN(IF(LEN(INDEX('Checklist'!$D$4:$D$503,_calc!$E$304))=0,"",INDEX('Checklist'!$D$4:$D$503,_calc!$E$304)))=0,"","Rule example: "&amp;IF(LEN(INDEX('Checklist'!$D$4:$D$503,_calc!$E$304))=0,"",INDEX('Checklist'!$D$4:$D$503,_calc!$E$304))&amp;". ")&amp;IF(LEN(IF(LEN(INDEX('Checklist'!$P$4:$P$503,_calc!$E$304))=0,"",INDEX('Checklist'!$P$4:$P$503,_calc!$E$304)))=0,"",IF(LEN(INDEX('Checklist'!$P$4:$P$503,_calc!$E$304))=0,"",INDEX('Checklist'!$P$4:$P$503,_calc!$E$304)))))</f>
        <v/>
      </c>
      <c r="K302" s="44">
        <f>IF(_calc!$E$304="","",IF(LEN(INDEX('Checklist'!$G$4:$G$503,_calc!$E$304))=0,"",INDEX('Checklist'!$G$4:$G$503,_calc!$E$304)))</f>
        <v/>
      </c>
    </row>
    <row r="303">
      <c r="A303" s="44">
        <f>IF(_calc!$E$305="","","Survey check – "&amp;IF(LEN(INDEX('Checklist'!$C$4:$C$503,_calc!$E$305))=0,"",INDEX('Checklist'!$C$4:$C$503,_calc!$E$305)))</f>
        <v/>
      </c>
      <c r="B303" s="44">
        <f>IF(_calc!$E$305="","",IF(ISNUMBER(INDEX('Checklist'!$L$4:$L$503,_calc!$E$305)),TEXT(INDEX('Checklist'!$L$4:$L$503,_calc!$E$305),"yyyy-mm-dd"),""))</f>
        <v/>
      </c>
      <c r="C303" s="44">
        <f>IF(_calc!$E$305="","","Survey readiness")</f>
        <v/>
      </c>
      <c r="D303" s="44">
        <f>IF(_calc!$E$305="","",IF(ISNUMBER(INDEX('Checklist'!$H$4:$H$503,_calc!$E$305)),TEXT(INDEX('Checklist'!$H$4:$H$503,_calc!$E$305),"yyyy-mm-dd"),""))</f>
        <v/>
      </c>
      <c r="F303" s="44">
        <f>IF(_calc!$E$305="","",TRIM(IF(LEN(IF(LEN(INDEX('Checklist'!$A$4:$A$503,_calc!$E$305))=0,"",INDEX('Checklist'!$A$4:$A$503,_calc!$E$305)))=0,"","Group: "&amp;IF(LEN(INDEX('Checklist'!$A$4:$A$503,_calc!$E$305))=0,"",INDEX('Checklist'!$A$4:$A$503,_calc!$E$305))&amp;". ")&amp;IF(LEN(IF(LEN(INDEX('Checklist'!$E$4:$E$503,_calc!$E$305))=0,"",INDEX('Checklist'!$E$4:$E$503,_calc!$E$305)))=0,"","Owner: "&amp;IF(LEN(INDEX('Checklist'!$E$4:$E$503,_calc!$E$305))=0,"",INDEX('Checklist'!$E$4:$E$503,_calc!$E$305))&amp;". ")&amp;IF(LEN(IF(LEN(INDEX('Checklist'!$F$4:$F$503,_calc!$E$305))=0,"",INDEX('Checklist'!$F$4:$F$503,_calc!$E$305)))=0,"","Backup: "&amp;IF(LEN(INDEX('Checklist'!$F$4:$F$503,_calc!$E$305))=0,"",INDEX('Checklist'!$F$4:$F$503,_calc!$E$305))&amp;". ")&amp;IF(LEN(IF(LEN(INDEX('Checklist'!$J$4:$J$503,_calc!$E$305))=0,"",INDEX('Checklist'!$J$4:$J$503,_calc!$E$305)))=0,"","Evidence: "&amp;IF(LEN(INDEX('Checklist'!$J$4:$J$503,_calc!$E$305))=0,"",INDEX('Checklist'!$J$4:$J$503,_calc!$E$305))&amp;". ")&amp;IF(LEN(IF(LEN(INDEX('Checklist'!$D$4:$D$503,_calc!$E$305))=0,"",INDEX('Checklist'!$D$4:$D$503,_calc!$E$305)))=0,"","Rule example: "&amp;IF(LEN(INDEX('Checklist'!$D$4:$D$503,_calc!$E$305))=0,"",INDEX('Checklist'!$D$4:$D$503,_calc!$E$305))&amp;". ")&amp;IF(LEN(IF(LEN(INDEX('Checklist'!$P$4:$P$503,_calc!$E$305))=0,"",INDEX('Checklist'!$P$4:$P$503,_calc!$E$305)))=0,"",IF(LEN(INDEX('Checklist'!$P$4:$P$503,_calc!$E$305))=0,"",INDEX('Checklist'!$P$4:$P$503,_calc!$E$305)))))</f>
        <v/>
      </c>
      <c r="K303" s="44">
        <f>IF(_calc!$E$305="","",IF(LEN(INDEX('Checklist'!$G$4:$G$503,_calc!$E$305))=0,"",INDEX('Checklist'!$G$4:$G$503,_calc!$E$305)))</f>
        <v/>
      </c>
    </row>
    <row r="304">
      <c r="A304" s="44">
        <f>IF(_calc!$E$306="","","Survey check – "&amp;IF(LEN(INDEX('Checklist'!$C$4:$C$503,_calc!$E$306))=0,"",INDEX('Checklist'!$C$4:$C$503,_calc!$E$306)))</f>
        <v/>
      </c>
      <c r="B304" s="44">
        <f>IF(_calc!$E$306="","",IF(ISNUMBER(INDEX('Checklist'!$L$4:$L$503,_calc!$E$306)),TEXT(INDEX('Checklist'!$L$4:$L$503,_calc!$E$306),"yyyy-mm-dd"),""))</f>
        <v/>
      </c>
      <c r="C304" s="44">
        <f>IF(_calc!$E$306="","","Survey readiness")</f>
        <v/>
      </c>
      <c r="D304" s="44">
        <f>IF(_calc!$E$306="","",IF(ISNUMBER(INDEX('Checklist'!$H$4:$H$503,_calc!$E$306)),TEXT(INDEX('Checklist'!$H$4:$H$503,_calc!$E$306),"yyyy-mm-dd"),""))</f>
        <v/>
      </c>
      <c r="F304" s="44">
        <f>IF(_calc!$E$306="","",TRIM(IF(LEN(IF(LEN(INDEX('Checklist'!$A$4:$A$503,_calc!$E$306))=0,"",INDEX('Checklist'!$A$4:$A$503,_calc!$E$306)))=0,"","Group: "&amp;IF(LEN(INDEX('Checklist'!$A$4:$A$503,_calc!$E$306))=0,"",INDEX('Checklist'!$A$4:$A$503,_calc!$E$306))&amp;". ")&amp;IF(LEN(IF(LEN(INDEX('Checklist'!$E$4:$E$503,_calc!$E$306))=0,"",INDEX('Checklist'!$E$4:$E$503,_calc!$E$306)))=0,"","Owner: "&amp;IF(LEN(INDEX('Checklist'!$E$4:$E$503,_calc!$E$306))=0,"",INDEX('Checklist'!$E$4:$E$503,_calc!$E$306))&amp;". ")&amp;IF(LEN(IF(LEN(INDEX('Checklist'!$F$4:$F$503,_calc!$E$306))=0,"",INDEX('Checklist'!$F$4:$F$503,_calc!$E$306)))=0,"","Backup: "&amp;IF(LEN(INDEX('Checklist'!$F$4:$F$503,_calc!$E$306))=0,"",INDEX('Checklist'!$F$4:$F$503,_calc!$E$306))&amp;". ")&amp;IF(LEN(IF(LEN(INDEX('Checklist'!$J$4:$J$503,_calc!$E$306))=0,"",INDEX('Checklist'!$J$4:$J$503,_calc!$E$306)))=0,"","Evidence: "&amp;IF(LEN(INDEX('Checklist'!$J$4:$J$503,_calc!$E$306))=0,"",INDEX('Checklist'!$J$4:$J$503,_calc!$E$306))&amp;". ")&amp;IF(LEN(IF(LEN(INDEX('Checklist'!$D$4:$D$503,_calc!$E$306))=0,"",INDEX('Checklist'!$D$4:$D$503,_calc!$E$306)))=0,"","Rule example: "&amp;IF(LEN(INDEX('Checklist'!$D$4:$D$503,_calc!$E$306))=0,"",INDEX('Checklist'!$D$4:$D$503,_calc!$E$306))&amp;". ")&amp;IF(LEN(IF(LEN(INDEX('Checklist'!$P$4:$P$503,_calc!$E$306))=0,"",INDEX('Checklist'!$P$4:$P$503,_calc!$E$306)))=0,"",IF(LEN(INDEX('Checklist'!$P$4:$P$503,_calc!$E$306))=0,"",INDEX('Checklist'!$P$4:$P$503,_calc!$E$306)))))</f>
        <v/>
      </c>
      <c r="K304" s="44">
        <f>IF(_calc!$E$306="","",IF(LEN(INDEX('Checklist'!$G$4:$G$503,_calc!$E$306))=0,"",INDEX('Checklist'!$G$4:$G$503,_calc!$E$306)))</f>
        <v/>
      </c>
    </row>
    <row r="305">
      <c r="A305" s="44">
        <f>IF(_calc!$E$307="","","Survey check – "&amp;IF(LEN(INDEX('Checklist'!$C$4:$C$503,_calc!$E$307))=0,"",INDEX('Checklist'!$C$4:$C$503,_calc!$E$307)))</f>
        <v/>
      </c>
      <c r="B305" s="44">
        <f>IF(_calc!$E$307="","",IF(ISNUMBER(INDEX('Checklist'!$L$4:$L$503,_calc!$E$307)),TEXT(INDEX('Checklist'!$L$4:$L$503,_calc!$E$307),"yyyy-mm-dd"),""))</f>
        <v/>
      </c>
      <c r="C305" s="44">
        <f>IF(_calc!$E$307="","","Survey readiness")</f>
        <v/>
      </c>
      <c r="D305" s="44">
        <f>IF(_calc!$E$307="","",IF(ISNUMBER(INDEX('Checklist'!$H$4:$H$503,_calc!$E$307)),TEXT(INDEX('Checklist'!$H$4:$H$503,_calc!$E$307),"yyyy-mm-dd"),""))</f>
        <v/>
      </c>
      <c r="F305" s="44">
        <f>IF(_calc!$E$307="","",TRIM(IF(LEN(IF(LEN(INDEX('Checklist'!$A$4:$A$503,_calc!$E$307))=0,"",INDEX('Checklist'!$A$4:$A$503,_calc!$E$307)))=0,"","Group: "&amp;IF(LEN(INDEX('Checklist'!$A$4:$A$503,_calc!$E$307))=0,"",INDEX('Checklist'!$A$4:$A$503,_calc!$E$307))&amp;". ")&amp;IF(LEN(IF(LEN(INDEX('Checklist'!$E$4:$E$503,_calc!$E$307))=0,"",INDEX('Checklist'!$E$4:$E$503,_calc!$E$307)))=0,"","Owner: "&amp;IF(LEN(INDEX('Checklist'!$E$4:$E$503,_calc!$E$307))=0,"",INDEX('Checklist'!$E$4:$E$503,_calc!$E$307))&amp;". ")&amp;IF(LEN(IF(LEN(INDEX('Checklist'!$F$4:$F$503,_calc!$E$307))=0,"",INDEX('Checklist'!$F$4:$F$503,_calc!$E$307)))=0,"","Backup: "&amp;IF(LEN(INDEX('Checklist'!$F$4:$F$503,_calc!$E$307))=0,"",INDEX('Checklist'!$F$4:$F$503,_calc!$E$307))&amp;". ")&amp;IF(LEN(IF(LEN(INDEX('Checklist'!$J$4:$J$503,_calc!$E$307))=0,"",INDEX('Checklist'!$J$4:$J$503,_calc!$E$307)))=0,"","Evidence: "&amp;IF(LEN(INDEX('Checklist'!$J$4:$J$503,_calc!$E$307))=0,"",INDEX('Checklist'!$J$4:$J$503,_calc!$E$307))&amp;". ")&amp;IF(LEN(IF(LEN(INDEX('Checklist'!$D$4:$D$503,_calc!$E$307))=0,"",INDEX('Checklist'!$D$4:$D$503,_calc!$E$307)))=0,"","Rule example: "&amp;IF(LEN(INDEX('Checklist'!$D$4:$D$503,_calc!$E$307))=0,"",INDEX('Checklist'!$D$4:$D$503,_calc!$E$307))&amp;". ")&amp;IF(LEN(IF(LEN(INDEX('Checklist'!$P$4:$P$503,_calc!$E$307))=0,"",INDEX('Checklist'!$P$4:$P$503,_calc!$E$307)))=0,"",IF(LEN(INDEX('Checklist'!$P$4:$P$503,_calc!$E$307))=0,"",INDEX('Checklist'!$P$4:$P$503,_calc!$E$307)))))</f>
        <v/>
      </c>
      <c r="K305" s="44">
        <f>IF(_calc!$E$307="","",IF(LEN(INDEX('Checklist'!$G$4:$G$503,_calc!$E$307))=0,"",INDEX('Checklist'!$G$4:$G$503,_calc!$E$307)))</f>
        <v/>
      </c>
    </row>
    <row r="306">
      <c r="A306" s="44">
        <f>IF(_calc!$E$308="","","Survey check – "&amp;IF(LEN(INDEX('Checklist'!$C$4:$C$503,_calc!$E$308))=0,"",INDEX('Checklist'!$C$4:$C$503,_calc!$E$308)))</f>
        <v/>
      </c>
      <c r="B306" s="44">
        <f>IF(_calc!$E$308="","",IF(ISNUMBER(INDEX('Checklist'!$L$4:$L$503,_calc!$E$308)),TEXT(INDEX('Checklist'!$L$4:$L$503,_calc!$E$308),"yyyy-mm-dd"),""))</f>
        <v/>
      </c>
      <c r="C306" s="44">
        <f>IF(_calc!$E$308="","","Survey readiness")</f>
        <v/>
      </c>
      <c r="D306" s="44">
        <f>IF(_calc!$E$308="","",IF(ISNUMBER(INDEX('Checklist'!$H$4:$H$503,_calc!$E$308)),TEXT(INDEX('Checklist'!$H$4:$H$503,_calc!$E$308),"yyyy-mm-dd"),""))</f>
        <v/>
      </c>
      <c r="F306" s="44">
        <f>IF(_calc!$E$308="","",TRIM(IF(LEN(IF(LEN(INDEX('Checklist'!$A$4:$A$503,_calc!$E$308))=0,"",INDEX('Checklist'!$A$4:$A$503,_calc!$E$308)))=0,"","Group: "&amp;IF(LEN(INDEX('Checklist'!$A$4:$A$503,_calc!$E$308))=0,"",INDEX('Checklist'!$A$4:$A$503,_calc!$E$308))&amp;". ")&amp;IF(LEN(IF(LEN(INDEX('Checklist'!$E$4:$E$503,_calc!$E$308))=0,"",INDEX('Checklist'!$E$4:$E$503,_calc!$E$308)))=0,"","Owner: "&amp;IF(LEN(INDEX('Checklist'!$E$4:$E$503,_calc!$E$308))=0,"",INDEX('Checklist'!$E$4:$E$503,_calc!$E$308))&amp;". ")&amp;IF(LEN(IF(LEN(INDEX('Checklist'!$F$4:$F$503,_calc!$E$308))=0,"",INDEX('Checklist'!$F$4:$F$503,_calc!$E$308)))=0,"","Backup: "&amp;IF(LEN(INDEX('Checklist'!$F$4:$F$503,_calc!$E$308))=0,"",INDEX('Checklist'!$F$4:$F$503,_calc!$E$308))&amp;". ")&amp;IF(LEN(IF(LEN(INDEX('Checklist'!$J$4:$J$503,_calc!$E$308))=0,"",INDEX('Checklist'!$J$4:$J$503,_calc!$E$308)))=0,"","Evidence: "&amp;IF(LEN(INDEX('Checklist'!$J$4:$J$503,_calc!$E$308))=0,"",INDEX('Checklist'!$J$4:$J$503,_calc!$E$308))&amp;". ")&amp;IF(LEN(IF(LEN(INDEX('Checklist'!$D$4:$D$503,_calc!$E$308))=0,"",INDEX('Checklist'!$D$4:$D$503,_calc!$E$308)))=0,"","Rule example: "&amp;IF(LEN(INDEX('Checklist'!$D$4:$D$503,_calc!$E$308))=0,"",INDEX('Checklist'!$D$4:$D$503,_calc!$E$308))&amp;". ")&amp;IF(LEN(IF(LEN(INDEX('Checklist'!$P$4:$P$503,_calc!$E$308))=0,"",INDEX('Checklist'!$P$4:$P$503,_calc!$E$308)))=0,"",IF(LEN(INDEX('Checklist'!$P$4:$P$503,_calc!$E$308))=0,"",INDEX('Checklist'!$P$4:$P$503,_calc!$E$308)))))</f>
        <v/>
      </c>
      <c r="K306" s="44">
        <f>IF(_calc!$E$308="","",IF(LEN(INDEX('Checklist'!$G$4:$G$503,_calc!$E$308))=0,"",INDEX('Checklist'!$G$4:$G$503,_calc!$E$308)))</f>
        <v/>
      </c>
    </row>
    <row r="307">
      <c r="A307" s="44">
        <f>IF(_calc!$E$309="","","Survey check – "&amp;IF(LEN(INDEX('Checklist'!$C$4:$C$503,_calc!$E$309))=0,"",INDEX('Checklist'!$C$4:$C$503,_calc!$E$309)))</f>
        <v/>
      </c>
      <c r="B307" s="44">
        <f>IF(_calc!$E$309="","",IF(ISNUMBER(INDEX('Checklist'!$L$4:$L$503,_calc!$E$309)),TEXT(INDEX('Checklist'!$L$4:$L$503,_calc!$E$309),"yyyy-mm-dd"),""))</f>
        <v/>
      </c>
      <c r="C307" s="44">
        <f>IF(_calc!$E$309="","","Survey readiness")</f>
        <v/>
      </c>
      <c r="D307" s="44">
        <f>IF(_calc!$E$309="","",IF(ISNUMBER(INDEX('Checklist'!$H$4:$H$503,_calc!$E$309)),TEXT(INDEX('Checklist'!$H$4:$H$503,_calc!$E$309),"yyyy-mm-dd"),""))</f>
        <v/>
      </c>
      <c r="F307" s="44">
        <f>IF(_calc!$E$309="","",TRIM(IF(LEN(IF(LEN(INDEX('Checklist'!$A$4:$A$503,_calc!$E$309))=0,"",INDEX('Checklist'!$A$4:$A$503,_calc!$E$309)))=0,"","Group: "&amp;IF(LEN(INDEX('Checklist'!$A$4:$A$503,_calc!$E$309))=0,"",INDEX('Checklist'!$A$4:$A$503,_calc!$E$309))&amp;". ")&amp;IF(LEN(IF(LEN(INDEX('Checklist'!$E$4:$E$503,_calc!$E$309))=0,"",INDEX('Checklist'!$E$4:$E$503,_calc!$E$309)))=0,"","Owner: "&amp;IF(LEN(INDEX('Checklist'!$E$4:$E$503,_calc!$E$309))=0,"",INDEX('Checklist'!$E$4:$E$503,_calc!$E$309))&amp;". ")&amp;IF(LEN(IF(LEN(INDEX('Checklist'!$F$4:$F$503,_calc!$E$309))=0,"",INDEX('Checklist'!$F$4:$F$503,_calc!$E$309)))=0,"","Backup: "&amp;IF(LEN(INDEX('Checklist'!$F$4:$F$503,_calc!$E$309))=0,"",INDEX('Checklist'!$F$4:$F$503,_calc!$E$309))&amp;". ")&amp;IF(LEN(IF(LEN(INDEX('Checklist'!$J$4:$J$503,_calc!$E$309))=0,"",INDEX('Checklist'!$J$4:$J$503,_calc!$E$309)))=0,"","Evidence: "&amp;IF(LEN(INDEX('Checklist'!$J$4:$J$503,_calc!$E$309))=0,"",INDEX('Checklist'!$J$4:$J$503,_calc!$E$309))&amp;". ")&amp;IF(LEN(IF(LEN(INDEX('Checklist'!$D$4:$D$503,_calc!$E$309))=0,"",INDEX('Checklist'!$D$4:$D$503,_calc!$E$309)))=0,"","Rule example: "&amp;IF(LEN(INDEX('Checklist'!$D$4:$D$503,_calc!$E$309))=0,"",INDEX('Checklist'!$D$4:$D$503,_calc!$E$309))&amp;". ")&amp;IF(LEN(IF(LEN(INDEX('Checklist'!$P$4:$P$503,_calc!$E$309))=0,"",INDEX('Checklist'!$P$4:$P$503,_calc!$E$309)))=0,"",IF(LEN(INDEX('Checklist'!$P$4:$P$503,_calc!$E$309))=0,"",INDEX('Checklist'!$P$4:$P$503,_calc!$E$309)))))</f>
        <v/>
      </c>
      <c r="K307" s="44">
        <f>IF(_calc!$E$309="","",IF(LEN(INDEX('Checklist'!$G$4:$G$503,_calc!$E$309))=0,"",INDEX('Checklist'!$G$4:$G$503,_calc!$E$309)))</f>
        <v/>
      </c>
    </row>
    <row r="308">
      <c r="A308" s="44">
        <f>IF(_calc!$E$310="","","Survey check – "&amp;IF(LEN(INDEX('Checklist'!$C$4:$C$503,_calc!$E$310))=0,"",INDEX('Checklist'!$C$4:$C$503,_calc!$E$310)))</f>
        <v/>
      </c>
      <c r="B308" s="44">
        <f>IF(_calc!$E$310="","",IF(ISNUMBER(INDEX('Checklist'!$L$4:$L$503,_calc!$E$310)),TEXT(INDEX('Checklist'!$L$4:$L$503,_calc!$E$310),"yyyy-mm-dd"),""))</f>
        <v/>
      </c>
      <c r="C308" s="44">
        <f>IF(_calc!$E$310="","","Survey readiness")</f>
        <v/>
      </c>
      <c r="D308" s="44">
        <f>IF(_calc!$E$310="","",IF(ISNUMBER(INDEX('Checklist'!$H$4:$H$503,_calc!$E$310)),TEXT(INDEX('Checklist'!$H$4:$H$503,_calc!$E$310),"yyyy-mm-dd"),""))</f>
        <v/>
      </c>
      <c r="F308" s="44">
        <f>IF(_calc!$E$310="","",TRIM(IF(LEN(IF(LEN(INDEX('Checklist'!$A$4:$A$503,_calc!$E$310))=0,"",INDEX('Checklist'!$A$4:$A$503,_calc!$E$310)))=0,"","Group: "&amp;IF(LEN(INDEX('Checklist'!$A$4:$A$503,_calc!$E$310))=0,"",INDEX('Checklist'!$A$4:$A$503,_calc!$E$310))&amp;". ")&amp;IF(LEN(IF(LEN(INDEX('Checklist'!$E$4:$E$503,_calc!$E$310))=0,"",INDEX('Checklist'!$E$4:$E$503,_calc!$E$310)))=0,"","Owner: "&amp;IF(LEN(INDEX('Checklist'!$E$4:$E$503,_calc!$E$310))=0,"",INDEX('Checklist'!$E$4:$E$503,_calc!$E$310))&amp;". ")&amp;IF(LEN(IF(LEN(INDEX('Checklist'!$F$4:$F$503,_calc!$E$310))=0,"",INDEX('Checklist'!$F$4:$F$503,_calc!$E$310)))=0,"","Backup: "&amp;IF(LEN(INDEX('Checklist'!$F$4:$F$503,_calc!$E$310))=0,"",INDEX('Checklist'!$F$4:$F$503,_calc!$E$310))&amp;". ")&amp;IF(LEN(IF(LEN(INDEX('Checklist'!$J$4:$J$503,_calc!$E$310))=0,"",INDEX('Checklist'!$J$4:$J$503,_calc!$E$310)))=0,"","Evidence: "&amp;IF(LEN(INDEX('Checklist'!$J$4:$J$503,_calc!$E$310))=0,"",INDEX('Checklist'!$J$4:$J$503,_calc!$E$310))&amp;". ")&amp;IF(LEN(IF(LEN(INDEX('Checklist'!$D$4:$D$503,_calc!$E$310))=0,"",INDEX('Checklist'!$D$4:$D$503,_calc!$E$310)))=0,"","Rule example: "&amp;IF(LEN(INDEX('Checklist'!$D$4:$D$503,_calc!$E$310))=0,"",INDEX('Checklist'!$D$4:$D$503,_calc!$E$310))&amp;". ")&amp;IF(LEN(IF(LEN(INDEX('Checklist'!$P$4:$P$503,_calc!$E$310))=0,"",INDEX('Checklist'!$P$4:$P$503,_calc!$E$310)))=0,"",IF(LEN(INDEX('Checklist'!$P$4:$P$503,_calc!$E$310))=0,"",INDEX('Checklist'!$P$4:$P$503,_calc!$E$310)))))</f>
        <v/>
      </c>
      <c r="K308" s="44">
        <f>IF(_calc!$E$310="","",IF(LEN(INDEX('Checklist'!$G$4:$G$503,_calc!$E$310))=0,"",INDEX('Checklist'!$G$4:$G$503,_calc!$E$310)))</f>
        <v/>
      </c>
    </row>
    <row r="309">
      <c r="A309" s="44">
        <f>IF(_calc!$E$311="","","Survey check – "&amp;IF(LEN(INDEX('Checklist'!$C$4:$C$503,_calc!$E$311))=0,"",INDEX('Checklist'!$C$4:$C$503,_calc!$E$311)))</f>
        <v/>
      </c>
      <c r="B309" s="44">
        <f>IF(_calc!$E$311="","",IF(ISNUMBER(INDEX('Checklist'!$L$4:$L$503,_calc!$E$311)),TEXT(INDEX('Checklist'!$L$4:$L$503,_calc!$E$311),"yyyy-mm-dd"),""))</f>
        <v/>
      </c>
      <c r="C309" s="44">
        <f>IF(_calc!$E$311="","","Survey readiness")</f>
        <v/>
      </c>
      <c r="D309" s="44">
        <f>IF(_calc!$E$311="","",IF(ISNUMBER(INDEX('Checklist'!$H$4:$H$503,_calc!$E$311)),TEXT(INDEX('Checklist'!$H$4:$H$503,_calc!$E$311),"yyyy-mm-dd"),""))</f>
        <v/>
      </c>
      <c r="F309" s="44">
        <f>IF(_calc!$E$311="","",TRIM(IF(LEN(IF(LEN(INDEX('Checklist'!$A$4:$A$503,_calc!$E$311))=0,"",INDEX('Checklist'!$A$4:$A$503,_calc!$E$311)))=0,"","Group: "&amp;IF(LEN(INDEX('Checklist'!$A$4:$A$503,_calc!$E$311))=0,"",INDEX('Checklist'!$A$4:$A$503,_calc!$E$311))&amp;". ")&amp;IF(LEN(IF(LEN(INDEX('Checklist'!$E$4:$E$503,_calc!$E$311))=0,"",INDEX('Checklist'!$E$4:$E$503,_calc!$E$311)))=0,"","Owner: "&amp;IF(LEN(INDEX('Checklist'!$E$4:$E$503,_calc!$E$311))=0,"",INDEX('Checklist'!$E$4:$E$503,_calc!$E$311))&amp;". ")&amp;IF(LEN(IF(LEN(INDEX('Checklist'!$F$4:$F$503,_calc!$E$311))=0,"",INDEX('Checklist'!$F$4:$F$503,_calc!$E$311)))=0,"","Backup: "&amp;IF(LEN(INDEX('Checklist'!$F$4:$F$503,_calc!$E$311))=0,"",INDEX('Checklist'!$F$4:$F$503,_calc!$E$311))&amp;". ")&amp;IF(LEN(IF(LEN(INDEX('Checklist'!$J$4:$J$503,_calc!$E$311))=0,"",INDEX('Checklist'!$J$4:$J$503,_calc!$E$311)))=0,"","Evidence: "&amp;IF(LEN(INDEX('Checklist'!$J$4:$J$503,_calc!$E$311))=0,"",INDEX('Checklist'!$J$4:$J$503,_calc!$E$311))&amp;". ")&amp;IF(LEN(IF(LEN(INDEX('Checklist'!$D$4:$D$503,_calc!$E$311))=0,"",INDEX('Checklist'!$D$4:$D$503,_calc!$E$311)))=0,"","Rule example: "&amp;IF(LEN(INDEX('Checklist'!$D$4:$D$503,_calc!$E$311))=0,"",INDEX('Checklist'!$D$4:$D$503,_calc!$E$311))&amp;". ")&amp;IF(LEN(IF(LEN(INDEX('Checklist'!$P$4:$P$503,_calc!$E$311))=0,"",INDEX('Checklist'!$P$4:$P$503,_calc!$E$311)))=0,"",IF(LEN(INDEX('Checklist'!$P$4:$P$503,_calc!$E$311))=0,"",INDEX('Checklist'!$P$4:$P$503,_calc!$E$311)))))</f>
        <v/>
      </c>
      <c r="K309" s="44">
        <f>IF(_calc!$E$311="","",IF(LEN(INDEX('Checklist'!$G$4:$G$503,_calc!$E$311))=0,"",INDEX('Checklist'!$G$4:$G$503,_calc!$E$311)))</f>
        <v/>
      </c>
    </row>
    <row r="310">
      <c r="A310" s="44">
        <f>IF(_calc!$E$312="","","Survey check – "&amp;IF(LEN(INDEX('Checklist'!$C$4:$C$503,_calc!$E$312))=0,"",INDEX('Checklist'!$C$4:$C$503,_calc!$E$312)))</f>
        <v/>
      </c>
      <c r="B310" s="44">
        <f>IF(_calc!$E$312="","",IF(ISNUMBER(INDEX('Checklist'!$L$4:$L$503,_calc!$E$312)),TEXT(INDEX('Checklist'!$L$4:$L$503,_calc!$E$312),"yyyy-mm-dd"),""))</f>
        <v/>
      </c>
      <c r="C310" s="44">
        <f>IF(_calc!$E$312="","","Survey readiness")</f>
        <v/>
      </c>
      <c r="D310" s="44">
        <f>IF(_calc!$E$312="","",IF(ISNUMBER(INDEX('Checklist'!$H$4:$H$503,_calc!$E$312)),TEXT(INDEX('Checklist'!$H$4:$H$503,_calc!$E$312),"yyyy-mm-dd"),""))</f>
        <v/>
      </c>
      <c r="F310" s="44">
        <f>IF(_calc!$E$312="","",TRIM(IF(LEN(IF(LEN(INDEX('Checklist'!$A$4:$A$503,_calc!$E$312))=0,"",INDEX('Checklist'!$A$4:$A$503,_calc!$E$312)))=0,"","Group: "&amp;IF(LEN(INDEX('Checklist'!$A$4:$A$503,_calc!$E$312))=0,"",INDEX('Checklist'!$A$4:$A$503,_calc!$E$312))&amp;". ")&amp;IF(LEN(IF(LEN(INDEX('Checklist'!$E$4:$E$503,_calc!$E$312))=0,"",INDEX('Checklist'!$E$4:$E$503,_calc!$E$312)))=0,"","Owner: "&amp;IF(LEN(INDEX('Checklist'!$E$4:$E$503,_calc!$E$312))=0,"",INDEX('Checklist'!$E$4:$E$503,_calc!$E$312))&amp;". ")&amp;IF(LEN(IF(LEN(INDEX('Checklist'!$F$4:$F$503,_calc!$E$312))=0,"",INDEX('Checklist'!$F$4:$F$503,_calc!$E$312)))=0,"","Backup: "&amp;IF(LEN(INDEX('Checklist'!$F$4:$F$503,_calc!$E$312))=0,"",INDEX('Checklist'!$F$4:$F$503,_calc!$E$312))&amp;". ")&amp;IF(LEN(IF(LEN(INDEX('Checklist'!$J$4:$J$503,_calc!$E$312))=0,"",INDEX('Checklist'!$J$4:$J$503,_calc!$E$312)))=0,"","Evidence: "&amp;IF(LEN(INDEX('Checklist'!$J$4:$J$503,_calc!$E$312))=0,"",INDEX('Checklist'!$J$4:$J$503,_calc!$E$312))&amp;". ")&amp;IF(LEN(IF(LEN(INDEX('Checklist'!$D$4:$D$503,_calc!$E$312))=0,"",INDEX('Checklist'!$D$4:$D$503,_calc!$E$312)))=0,"","Rule example: "&amp;IF(LEN(INDEX('Checklist'!$D$4:$D$503,_calc!$E$312))=0,"",INDEX('Checklist'!$D$4:$D$503,_calc!$E$312))&amp;". ")&amp;IF(LEN(IF(LEN(INDEX('Checklist'!$P$4:$P$503,_calc!$E$312))=0,"",INDEX('Checklist'!$P$4:$P$503,_calc!$E$312)))=0,"",IF(LEN(INDEX('Checklist'!$P$4:$P$503,_calc!$E$312))=0,"",INDEX('Checklist'!$P$4:$P$503,_calc!$E$312)))))</f>
        <v/>
      </c>
      <c r="K310" s="44">
        <f>IF(_calc!$E$312="","",IF(LEN(INDEX('Checklist'!$G$4:$G$503,_calc!$E$312))=0,"",INDEX('Checklist'!$G$4:$G$503,_calc!$E$312)))</f>
        <v/>
      </c>
    </row>
    <row r="311">
      <c r="A311" s="44">
        <f>IF(_calc!$E$313="","","Survey check – "&amp;IF(LEN(INDEX('Checklist'!$C$4:$C$503,_calc!$E$313))=0,"",INDEX('Checklist'!$C$4:$C$503,_calc!$E$313)))</f>
        <v/>
      </c>
      <c r="B311" s="44">
        <f>IF(_calc!$E$313="","",IF(ISNUMBER(INDEX('Checklist'!$L$4:$L$503,_calc!$E$313)),TEXT(INDEX('Checklist'!$L$4:$L$503,_calc!$E$313),"yyyy-mm-dd"),""))</f>
        <v/>
      </c>
      <c r="C311" s="44">
        <f>IF(_calc!$E$313="","","Survey readiness")</f>
        <v/>
      </c>
      <c r="D311" s="44">
        <f>IF(_calc!$E$313="","",IF(ISNUMBER(INDEX('Checklist'!$H$4:$H$503,_calc!$E$313)),TEXT(INDEX('Checklist'!$H$4:$H$503,_calc!$E$313),"yyyy-mm-dd"),""))</f>
        <v/>
      </c>
      <c r="F311" s="44">
        <f>IF(_calc!$E$313="","",TRIM(IF(LEN(IF(LEN(INDEX('Checklist'!$A$4:$A$503,_calc!$E$313))=0,"",INDEX('Checklist'!$A$4:$A$503,_calc!$E$313)))=0,"","Group: "&amp;IF(LEN(INDEX('Checklist'!$A$4:$A$503,_calc!$E$313))=0,"",INDEX('Checklist'!$A$4:$A$503,_calc!$E$313))&amp;". ")&amp;IF(LEN(IF(LEN(INDEX('Checklist'!$E$4:$E$503,_calc!$E$313))=0,"",INDEX('Checklist'!$E$4:$E$503,_calc!$E$313)))=0,"","Owner: "&amp;IF(LEN(INDEX('Checklist'!$E$4:$E$503,_calc!$E$313))=0,"",INDEX('Checklist'!$E$4:$E$503,_calc!$E$313))&amp;". ")&amp;IF(LEN(IF(LEN(INDEX('Checklist'!$F$4:$F$503,_calc!$E$313))=0,"",INDEX('Checklist'!$F$4:$F$503,_calc!$E$313)))=0,"","Backup: "&amp;IF(LEN(INDEX('Checklist'!$F$4:$F$503,_calc!$E$313))=0,"",INDEX('Checklist'!$F$4:$F$503,_calc!$E$313))&amp;". ")&amp;IF(LEN(IF(LEN(INDEX('Checklist'!$J$4:$J$503,_calc!$E$313))=0,"",INDEX('Checklist'!$J$4:$J$503,_calc!$E$313)))=0,"","Evidence: "&amp;IF(LEN(INDEX('Checklist'!$J$4:$J$503,_calc!$E$313))=0,"",INDEX('Checklist'!$J$4:$J$503,_calc!$E$313))&amp;". ")&amp;IF(LEN(IF(LEN(INDEX('Checklist'!$D$4:$D$503,_calc!$E$313))=0,"",INDEX('Checklist'!$D$4:$D$503,_calc!$E$313)))=0,"","Rule example: "&amp;IF(LEN(INDEX('Checklist'!$D$4:$D$503,_calc!$E$313))=0,"",INDEX('Checklist'!$D$4:$D$503,_calc!$E$313))&amp;". ")&amp;IF(LEN(IF(LEN(INDEX('Checklist'!$P$4:$P$503,_calc!$E$313))=0,"",INDEX('Checklist'!$P$4:$P$503,_calc!$E$313)))=0,"",IF(LEN(INDEX('Checklist'!$P$4:$P$503,_calc!$E$313))=0,"",INDEX('Checklist'!$P$4:$P$503,_calc!$E$313)))))</f>
        <v/>
      </c>
      <c r="K311" s="44">
        <f>IF(_calc!$E$313="","",IF(LEN(INDEX('Checklist'!$G$4:$G$503,_calc!$E$313))=0,"",INDEX('Checklist'!$G$4:$G$503,_calc!$E$313)))</f>
        <v/>
      </c>
    </row>
    <row r="312">
      <c r="A312" s="44">
        <f>IF(_calc!$E$314="","","Survey check – "&amp;IF(LEN(INDEX('Checklist'!$C$4:$C$503,_calc!$E$314))=0,"",INDEX('Checklist'!$C$4:$C$503,_calc!$E$314)))</f>
        <v/>
      </c>
      <c r="B312" s="44">
        <f>IF(_calc!$E$314="","",IF(ISNUMBER(INDEX('Checklist'!$L$4:$L$503,_calc!$E$314)),TEXT(INDEX('Checklist'!$L$4:$L$503,_calc!$E$314),"yyyy-mm-dd"),""))</f>
        <v/>
      </c>
      <c r="C312" s="44">
        <f>IF(_calc!$E$314="","","Survey readiness")</f>
        <v/>
      </c>
      <c r="D312" s="44">
        <f>IF(_calc!$E$314="","",IF(ISNUMBER(INDEX('Checklist'!$H$4:$H$503,_calc!$E$314)),TEXT(INDEX('Checklist'!$H$4:$H$503,_calc!$E$314),"yyyy-mm-dd"),""))</f>
        <v/>
      </c>
      <c r="F312" s="44">
        <f>IF(_calc!$E$314="","",TRIM(IF(LEN(IF(LEN(INDEX('Checklist'!$A$4:$A$503,_calc!$E$314))=0,"",INDEX('Checklist'!$A$4:$A$503,_calc!$E$314)))=0,"","Group: "&amp;IF(LEN(INDEX('Checklist'!$A$4:$A$503,_calc!$E$314))=0,"",INDEX('Checklist'!$A$4:$A$503,_calc!$E$314))&amp;". ")&amp;IF(LEN(IF(LEN(INDEX('Checklist'!$E$4:$E$503,_calc!$E$314))=0,"",INDEX('Checklist'!$E$4:$E$503,_calc!$E$314)))=0,"","Owner: "&amp;IF(LEN(INDEX('Checklist'!$E$4:$E$503,_calc!$E$314))=0,"",INDEX('Checklist'!$E$4:$E$503,_calc!$E$314))&amp;". ")&amp;IF(LEN(IF(LEN(INDEX('Checklist'!$F$4:$F$503,_calc!$E$314))=0,"",INDEX('Checklist'!$F$4:$F$503,_calc!$E$314)))=0,"","Backup: "&amp;IF(LEN(INDEX('Checklist'!$F$4:$F$503,_calc!$E$314))=0,"",INDEX('Checklist'!$F$4:$F$503,_calc!$E$314))&amp;". ")&amp;IF(LEN(IF(LEN(INDEX('Checklist'!$J$4:$J$503,_calc!$E$314))=0,"",INDEX('Checklist'!$J$4:$J$503,_calc!$E$314)))=0,"","Evidence: "&amp;IF(LEN(INDEX('Checklist'!$J$4:$J$503,_calc!$E$314))=0,"",INDEX('Checklist'!$J$4:$J$503,_calc!$E$314))&amp;". ")&amp;IF(LEN(IF(LEN(INDEX('Checklist'!$D$4:$D$503,_calc!$E$314))=0,"",INDEX('Checklist'!$D$4:$D$503,_calc!$E$314)))=0,"","Rule example: "&amp;IF(LEN(INDEX('Checklist'!$D$4:$D$503,_calc!$E$314))=0,"",INDEX('Checklist'!$D$4:$D$503,_calc!$E$314))&amp;". ")&amp;IF(LEN(IF(LEN(INDEX('Checklist'!$P$4:$P$503,_calc!$E$314))=0,"",INDEX('Checklist'!$P$4:$P$503,_calc!$E$314)))=0,"",IF(LEN(INDEX('Checklist'!$P$4:$P$503,_calc!$E$314))=0,"",INDEX('Checklist'!$P$4:$P$503,_calc!$E$314)))))</f>
        <v/>
      </c>
      <c r="K312" s="44">
        <f>IF(_calc!$E$314="","",IF(LEN(INDEX('Checklist'!$G$4:$G$503,_calc!$E$314))=0,"",INDEX('Checklist'!$G$4:$G$503,_calc!$E$314)))</f>
        <v/>
      </c>
    </row>
    <row r="313">
      <c r="A313" s="44">
        <f>IF(_calc!$E$315="","","Survey check – "&amp;IF(LEN(INDEX('Checklist'!$C$4:$C$503,_calc!$E$315))=0,"",INDEX('Checklist'!$C$4:$C$503,_calc!$E$315)))</f>
        <v/>
      </c>
      <c r="B313" s="44">
        <f>IF(_calc!$E$315="","",IF(ISNUMBER(INDEX('Checklist'!$L$4:$L$503,_calc!$E$315)),TEXT(INDEX('Checklist'!$L$4:$L$503,_calc!$E$315),"yyyy-mm-dd"),""))</f>
        <v/>
      </c>
      <c r="C313" s="44">
        <f>IF(_calc!$E$315="","","Survey readiness")</f>
        <v/>
      </c>
      <c r="D313" s="44">
        <f>IF(_calc!$E$315="","",IF(ISNUMBER(INDEX('Checklist'!$H$4:$H$503,_calc!$E$315)),TEXT(INDEX('Checklist'!$H$4:$H$503,_calc!$E$315),"yyyy-mm-dd"),""))</f>
        <v/>
      </c>
      <c r="F313" s="44">
        <f>IF(_calc!$E$315="","",TRIM(IF(LEN(IF(LEN(INDEX('Checklist'!$A$4:$A$503,_calc!$E$315))=0,"",INDEX('Checklist'!$A$4:$A$503,_calc!$E$315)))=0,"","Group: "&amp;IF(LEN(INDEX('Checklist'!$A$4:$A$503,_calc!$E$315))=0,"",INDEX('Checklist'!$A$4:$A$503,_calc!$E$315))&amp;". ")&amp;IF(LEN(IF(LEN(INDEX('Checklist'!$E$4:$E$503,_calc!$E$315))=0,"",INDEX('Checklist'!$E$4:$E$503,_calc!$E$315)))=0,"","Owner: "&amp;IF(LEN(INDEX('Checklist'!$E$4:$E$503,_calc!$E$315))=0,"",INDEX('Checklist'!$E$4:$E$503,_calc!$E$315))&amp;". ")&amp;IF(LEN(IF(LEN(INDEX('Checklist'!$F$4:$F$503,_calc!$E$315))=0,"",INDEX('Checklist'!$F$4:$F$503,_calc!$E$315)))=0,"","Backup: "&amp;IF(LEN(INDEX('Checklist'!$F$4:$F$503,_calc!$E$315))=0,"",INDEX('Checklist'!$F$4:$F$503,_calc!$E$315))&amp;". ")&amp;IF(LEN(IF(LEN(INDEX('Checklist'!$J$4:$J$503,_calc!$E$315))=0,"",INDEX('Checklist'!$J$4:$J$503,_calc!$E$315)))=0,"","Evidence: "&amp;IF(LEN(INDEX('Checklist'!$J$4:$J$503,_calc!$E$315))=0,"",INDEX('Checklist'!$J$4:$J$503,_calc!$E$315))&amp;". ")&amp;IF(LEN(IF(LEN(INDEX('Checklist'!$D$4:$D$503,_calc!$E$315))=0,"",INDEX('Checklist'!$D$4:$D$503,_calc!$E$315)))=0,"","Rule example: "&amp;IF(LEN(INDEX('Checklist'!$D$4:$D$503,_calc!$E$315))=0,"",INDEX('Checklist'!$D$4:$D$503,_calc!$E$315))&amp;". ")&amp;IF(LEN(IF(LEN(INDEX('Checklist'!$P$4:$P$503,_calc!$E$315))=0,"",INDEX('Checklist'!$P$4:$P$503,_calc!$E$315)))=0,"",IF(LEN(INDEX('Checklist'!$P$4:$P$503,_calc!$E$315))=0,"",INDEX('Checklist'!$P$4:$P$503,_calc!$E$315)))))</f>
        <v/>
      </c>
      <c r="K313" s="44">
        <f>IF(_calc!$E$315="","",IF(LEN(INDEX('Checklist'!$G$4:$G$503,_calc!$E$315))=0,"",INDEX('Checklist'!$G$4:$G$503,_calc!$E$315)))</f>
        <v/>
      </c>
    </row>
    <row r="314">
      <c r="A314" s="44">
        <f>IF(_calc!$E$316="","","Survey check – "&amp;IF(LEN(INDEX('Checklist'!$C$4:$C$503,_calc!$E$316))=0,"",INDEX('Checklist'!$C$4:$C$503,_calc!$E$316)))</f>
        <v/>
      </c>
      <c r="B314" s="44">
        <f>IF(_calc!$E$316="","",IF(ISNUMBER(INDEX('Checklist'!$L$4:$L$503,_calc!$E$316)),TEXT(INDEX('Checklist'!$L$4:$L$503,_calc!$E$316),"yyyy-mm-dd"),""))</f>
        <v/>
      </c>
      <c r="C314" s="44">
        <f>IF(_calc!$E$316="","","Survey readiness")</f>
        <v/>
      </c>
      <c r="D314" s="44">
        <f>IF(_calc!$E$316="","",IF(ISNUMBER(INDEX('Checklist'!$H$4:$H$503,_calc!$E$316)),TEXT(INDEX('Checklist'!$H$4:$H$503,_calc!$E$316),"yyyy-mm-dd"),""))</f>
        <v/>
      </c>
      <c r="F314" s="44">
        <f>IF(_calc!$E$316="","",TRIM(IF(LEN(IF(LEN(INDEX('Checklist'!$A$4:$A$503,_calc!$E$316))=0,"",INDEX('Checklist'!$A$4:$A$503,_calc!$E$316)))=0,"","Group: "&amp;IF(LEN(INDEX('Checklist'!$A$4:$A$503,_calc!$E$316))=0,"",INDEX('Checklist'!$A$4:$A$503,_calc!$E$316))&amp;". ")&amp;IF(LEN(IF(LEN(INDEX('Checklist'!$E$4:$E$503,_calc!$E$316))=0,"",INDEX('Checklist'!$E$4:$E$503,_calc!$E$316)))=0,"","Owner: "&amp;IF(LEN(INDEX('Checklist'!$E$4:$E$503,_calc!$E$316))=0,"",INDEX('Checklist'!$E$4:$E$503,_calc!$E$316))&amp;". ")&amp;IF(LEN(IF(LEN(INDEX('Checklist'!$F$4:$F$503,_calc!$E$316))=0,"",INDEX('Checklist'!$F$4:$F$503,_calc!$E$316)))=0,"","Backup: "&amp;IF(LEN(INDEX('Checklist'!$F$4:$F$503,_calc!$E$316))=0,"",INDEX('Checklist'!$F$4:$F$503,_calc!$E$316))&amp;". ")&amp;IF(LEN(IF(LEN(INDEX('Checklist'!$J$4:$J$503,_calc!$E$316))=0,"",INDEX('Checklist'!$J$4:$J$503,_calc!$E$316)))=0,"","Evidence: "&amp;IF(LEN(INDEX('Checklist'!$J$4:$J$503,_calc!$E$316))=0,"",INDEX('Checklist'!$J$4:$J$503,_calc!$E$316))&amp;". ")&amp;IF(LEN(IF(LEN(INDEX('Checklist'!$D$4:$D$503,_calc!$E$316))=0,"",INDEX('Checklist'!$D$4:$D$503,_calc!$E$316)))=0,"","Rule example: "&amp;IF(LEN(INDEX('Checklist'!$D$4:$D$503,_calc!$E$316))=0,"",INDEX('Checklist'!$D$4:$D$503,_calc!$E$316))&amp;". ")&amp;IF(LEN(IF(LEN(INDEX('Checklist'!$P$4:$P$503,_calc!$E$316))=0,"",INDEX('Checklist'!$P$4:$P$503,_calc!$E$316)))=0,"",IF(LEN(INDEX('Checklist'!$P$4:$P$503,_calc!$E$316))=0,"",INDEX('Checklist'!$P$4:$P$503,_calc!$E$316)))))</f>
        <v/>
      </c>
      <c r="K314" s="44">
        <f>IF(_calc!$E$316="","",IF(LEN(INDEX('Checklist'!$G$4:$G$503,_calc!$E$316))=0,"",INDEX('Checklist'!$G$4:$G$503,_calc!$E$316)))</f>
        <v/>
      </c>
    </row>
    <row r="315">
      <c r="A315" s="44">
        <f>IF(_calc!$E$317="","","Survey check – "&amp;IF(LEN(INDEX('Checklist'!$C$4:$C$503,_calc!$E$317))=0,"",INDEX('Checklist'!$C$4:$C$503,_calc!$E$317)))</f>
        <v/>
      </c>
      <c r="B315" s="44">
        <f>IF(_calc!$E$317="","",IF(ISNUMBER(INDEX('Checklist'!$L$4:$L$503,_calc!$E$317)),TEXT(INDEX('Checklist'!$L$4:$L$503,_calc!$E$317),"yyyy-mm-dd"),""))</f>
        <v/>
      </c>
      <c r="C315" s="44">
        <f>IF(_calc!$E$317="","","Survey readiness")</f>
        <v/>
      </c>
      <c r="D315" s="44">
        <f>IF(_calc!$E$317="","",IF(ISNUMBER(INDEX('Checklist'!$H$4:$H$503,_calc!$E$317)),TEXT(INDEX('Checklist'!$H$4:$H$503,_calc!$E$317),"yyyy-mm-dd"),""))</f>
        <v/>
      </c>
      <c r="F315" s="44">
        <f>IF(_calc!$E$317="","",TRIM(IF(LEN(IF(LEN(INDEX('Checklist'!$A$4:$A$503,_calc!$E$317))=0,"",INDEX('Checklist'!$A$4:$A$503,_calc!$E$317)))=0,"","Group: "&amp;IF(LEN(INDEX('Checklist'!$A$4:$A$503,_calc!$E$317))=0,"",INDEX('Checklist'!$A$4:$A$503,_calc!$E$317))&amp;". ")&amp;IF(LEN(IF(LEN(INDEX('Checklist'!$E$4:$E$503,_calc!$E$317))=0,"",INDEX('Checklist'!$E$4:$E$503,_calc!$E$317)))=0,"","Owner: "&amp;IF(LEN(INDEX('Checklist'!$E$4:$E$503,_calc!$E$317))=0,"",INDEX('Checklist'!$E$4:$E$503,_calc!$E$317))&amp;". ")&amp;IF(LEN(IF(LEN(INDEX('Checklist'!$F$4:$F$503,_calc!$E$317))=0,"",INDEX('Checklist'!$F$4:$F$503,_calc!$E$317)))=0,"","Backup: "&amp;IF(LEN(INDEX('Checklist'!$F$4:$F$503,_calc!$E$317))=0,"",INDEX('Checklist'!$F$4:$F$503,_calc!$E$317))&amp;". ")&amp;IF(LEN(IF(LEN(INDEX('Checklist'!$J$4:$J$503,_calc!$E$317))=0,"",INDEX('Checklist'!$J$4:$J$503,_calc!$E$317)))=0,"","Evidence: "&amp;IF(LEN(INDEX('Checklist'!$J$4:$J$503,_calc!$E$317))=0,"",INDEX('Checklist'!$J$4:$J$503,_calc!$E$317))&amp;". ")&amp;IF(LEN(IF(LEN(INDEX('Checklist'!$D$4:$D$503,_calc!$E$317))=0,"",INDEX('Checklist'!$D$4:$D$503,_calc!$E$317)))=0,"","Rule example: "&amp;IF(LEN(INDEX('Checklist'!$D$4:$D$503,_calc!$E$317))=0,"",INDEX('Checklist'!$D$4:$D$503,_calc!$E$317))&amp;". ")&amp;IF(LEN(IF(LEN(INDEX('Checklist'!$P$4:$P$503,_calc!$E$317))=0,"",INDEX('Checklist'!$P$4:$P$503,_calc!$E$317)))=0,"",IF(LEN(INDEX('Checklist'!$P$4:$P$503,_calc!$E$317))=0,"",INDEX('Checklist'!$P$4:$P$503,_calc!$E$317)))))</f>
        <v/>
      </c>
      <c r="K315" s="44">
        <f>IF(_calc!$E$317="","",IF(LEN(INDEX('Checklist'!$G$4:$G$503,_calc!$E$317))=0,"",INDEX('Checklist'!$G$4:$G$503,_calc!$E$317)))</f>
        <v/>
      </c>
    </row>
    <row r="316">
      <c r="A316" s="44">
        <f>IF(_calc!$E$318="","","Survey check – "&amp;IF(LEN(INDEX('Checklist'!$C$4:$C$503,_calc!$E$318))=0,"",INDEX('Checklist'!$C$4:$C$503,_calc!$E$318)))</f>
        <v/>
      </c>
      <c r="B316" s="44">
        <f>IF(_calc!$E$318="","",IF(ISNUMBER(INDEX('Checklist'!$L$4:$L$503,_calc!$E$318)),TEXT(INDEX('Checklist'!$L$4:$L$503,_calc!$E$318),"yyyy-mm-dd"),""))</f>
        <v/>
      </c>
      <c r="C316" s="44">
        <f>IF(_calc!$E$318="","","Survey readiness")</f>
        <v/>
      </c>
      <c r="D316" s="44">
        <f>IF(_calc!$E$318="","",IF(ISNUMBER(INDEX('Checklist'!$H$4:$H$503,_calc!$E$318)),TEXT(INDEX('Checklist'!$H$4:$H$503,_calc!$E$318),"yyyy-mm-dd"),""))</f>
        <v/>
      </c>
      <c r="F316" s="44">
        <f>IF(_calc!$E$318="","",TRIM(IF(LEN(IF(LEN(INDEX('Checklist'!$A$4:$A$503,_calc!$E$318))=0,"",INDEX('Checklist'!$A$4:$A$503,_calc!$E$318)))=0,"","Group: "&amp;IF(LEN(INDEX('Checklist'!$A$4:$A$503,_calc!$E$318))=0,"",INDEX('Checklist'!$A$4:$A$503,_calc!$E$318))&amp;". ")&amp;IF(LEN(IF(LEN(INDEX('Checklist'!$E$4:$E$503,_calc!$E$318))=0,"",INDEX('Checklist'!$E$4:$E$503,_calc!$E$318)))=0,"","Owner: "&amp;IF(LEN(INDEX('Checklist'!$E$4:$E$503,_calc!$E$318))=0,"",INDEX('Checklist'!$E$4:$E$503,_calc!$E$318))&amp;". ")&amp;IF(LEN(IF(LEN(INDEX('Checklist'!$F$4:$F$503,_calc!$E$318))=0,"",INDEX('Checklist'!$F$4:$F$503,_calc!$E$318)))=0,"","Backup: "&amp;IF(LEN(INDEX('Checklist'!$F$4:$F$503,_calc!$E$318))=0,"",INDEX('Checklist'!$F$4:$F$503,_calc!$E$318))&amp;". ")&amp;IF(LEN(IF(LEN(INDEX('Checklist'!$J$4:$J$503,_calc!$E$318))=0,"",INDEX('Checklist'!$J$4:$J$503,_calc!$E$318)))=0,"","Evidence: "&amp;IF(LEN(INDEX('Checklist'!$J$4:$J$503,_calc!$E$318))=0,"",INDEX('Checklist'!$J$4:$J$503,_calc!$E$318))&amp;". ")&amp;IF(LEN(IF(LEN(INDEX('Checklist'!$D$4:$D$503,_calc!$E$318))=0,"",INDEX('Checklist'!$D$4:$D$503,_calc!$E$318)))=0,"","Rule example: "&amp;IF(LEN(INDEX('Checklist'!$D$4:$D$503,_calc!$E$318))=0,"",INDEX('Checklist'!$D$4:$D$503,_calc!$E$318))&amp;". ")&amp;IF(LEN(IF(LEN(INDEX('Checklist'!$P$4:$P$503,_calc!$E$318))=0,"",INDEX('Checklist'!$P$4:$P$503,_calc!$E$318)))=0,"",IF(LEN(INDEX('Checklist'!$P$4:$P$503,_calc!$E$318))=0,"",INDEX('Checklist'!$P$4:$P$503,_calc!$E$318)))))</f>
        <v/>
      </c>
      <c r="K316" s="44">
        <f>IF(_calc!$E$318="","",IF(LEN(INDEX('Checklist'!$G$4:$G$503,_calc!$E$318))=0,"",INDEX('Checklist'!$G$4:$G$503,_calc!$E$318)))</f>
        <v/>
      </c>
    </row>
    <row r="317">
      <c r="A317" s="44">
        <f>IF(_calc!$E$319="","","Survey check – "&amp;IF(LEN(INDEX('Checklist'!$C$4:$C$503,_calc!$E$319))=0,"",INDEX('Checklist'!$C$4:$C$503,_calc!$E$319)))</f>
        <v/>
      </c>
      <c r="B317" s="44">
        <f>IF(_calc!$E$319="","",IF(ISNUMBER(INDEX('Checklist'!$L$4:$L$503,_calc!$E$319)),TEXT(INDEX('Checklist'!$L$4:$L$503,_calc!$E$319),"yyyy-mm-dd"),""))</f>
        <v/>
      </c>
      <c r="C317" s="44">
        <f>IF(_calc!$E$319="","","Survey readiness")</f>
        <v/>
      </c>
      <c r="D317" s="44">
        <f>IF(_calc!$E$319="","",IF(ISNUMBER(INDEX('Checklist'!$H$4:$H$503,_calc!$E$319)),TEXT(INDEX('Checklist'!$H$4:$H$503,_calc!$E$319),"yyyy-mm-dd"),""))</f>
        <v/>
      </c>
      <c r="F317" s="44">
        <f>IF(_calc!$E$319="","",TRIM(IF(LEN(IF(LEN(INDEX('Checklist'!$A$4:$A$503,_calc!$E$319))=0,"",INDEX('Checklist'!$A$4:$A$503,_calc!$E$319)))=0,"","Group: "&amp;IF(LEN(INDEX('Checklist'!$A$4:$A$503,_calc!$E$319))=0,"",INDEX('Checklist'!$A$4:$A$503,_calc!$E$319))&amp;". ")&amp;IF(LEN(IF(LEN(INDEX('Checklist'!$E$4:$E$503,_calc!$E$319))=0,"",INDEX('Checklist'!$E$4:$E$503,_calc!$E$319)))=0,"","Owner: "&amp;IF(LEN(INDEX('Checklist'!$E$4:$E$503,_calc!$E$319))=0,"",INDEX('Checklist'!$E$4:$E$503,_calc!$E$319))&amp;". ")&amp;IF(LEN(IF(LEN(INDEX('Checklist'!$F$4:$F$503,_calc!$E$319))=0,"",INDEX('Checklist'!$F$4:$F$503,_calc!$E$319)))=0,"","Backup: "&amp;IF(LEN(INDEX('Checklist'!$F$4:$F$503,_calc!$E$319))=0,"",INDEX('Checklist'!$F$4:$F$503,_calc!$E$319))&amp;". ")&amp;IF(LEN(IF(LEN(INDEX('Checklist'!$J$4:$J$503,_calc!$E$319))=0,"",INDEX('Checklist'!$J$4:$J$503,_calc!$E$319)))=0,"","Evidence: "&amp;IF(LEN(INDEX('Checklist'!$J$4:$J$503,_calc!$E$319))=0,"",INDEX('Checklist'!$J$4:$J$503,_calc!$E$319))&amp;". ")&amp;IF(LEN(IF(LEN(INDEX('Checklist'!$D$4:$D$503,_calc!$E$319))=0,"",INDEX('Checklist'!$D$4:$D$503,_calc!$E$319)))=0,"","Rule example: "&amp;IF(LEN(INDEX('Checklist'!$D$4:$D$503,_calc!$E$319))=0,"",INDEX('Checklist'!$D$4:$D$503,_calc!$E$319))&amp;". ")&amp;IF(LEN(IF(LEN(INDEX('Checklist'!$P$4:$P$503,_calc!$E$319))=0,"",INDEX('Checklist'!$P$4:$P$503,_calc!$E$319)))=0,"",IF(LEN(INDEX('Checklist'!$P$4:$P$503,_calc!$E$319))=0,"",INDEX('Checklist'!$P$4:$P$503,_calc!$E$319)))))</f>
        <v/>
      </c>
      <c r="K317" s="44">
        <f>IF(_calc!$E$319="","",IF(LEN(INDEX('Checklist'!$G$4:$G$503,_calc!$E$319))=0,"",INDEX('Checklist'!$G$4:$G$503,_calc!$E$319)))</f>
        <v/>
      </c>
    </row>
    <row r="318">
      <c r="A318" s="44">
        <f>IF(_calc!$E$320="","","Survey check – "&amp;IF(LEN(INDEX('Checklist'!$C$4:$C$503,_calc!$E$320))=0,"",INDEX('Checklist'!$C$4:$C$503,_calc!$E$320)))</f>
        <v/>
      </c>
      <c r="B318" s="44">
        <f>IF(_calc!$E$320="","",IF(ISNUMBER(INDEX('Checklist'!$L$4:$L$503,_calc!$E$320)),TEXT(INDEX('Checklist'!$L$4:$L$503,_calc!$E$320),"yyyy-mm-dd"),""))</f>
        <v/>
      </c>
      <c r="C318" s="44">
        <f>IF(_calc!$E$320="","","Survey readiness")</f>
        <v/>
      </c>
      <c r="D318" s="44">
        <f>IF(_calc!$E$320="","",IF(ISNUMBER(INDEX('Checklist'!$H$4:$H$503,_calc!$E$320)),TEXT(INDEX('Checklist'!$H$4:$H$503,_calc!$E$320),"yyyy-mm-dd"),""))</f>
        <v/>
      </c>
      <c r="F318" s="44">
        <f>IF(_calc!$E$320="","",TRIM(IF(LEN(IF(LEN(INDEX('Checklist'!$A$4:$A$503,_calc!$E$320))=0,"",INDEX('Checklist'!$A$4:$A$503,_calc!$E$320)))=0,"","Group: "&amp;IF(LEN(INDEX('Checklist'!$A$4:$A$503,_calc!$E$320))=0,"",INDEX('Checklist'!$A$4:$A$503,_calc!$E$320))&amp;". ")&amp;IF(LEN(IF(LEN(INDEX('Checklist'!$E$4:$E$503,_calc!$E$320))=0,"",INDEX('Checklist'!$E$4:$E$503,_calc!$E$320)))=0,"","Owner: "&amp;IF(LEN(INDEX('Checklist'!$E$4:$E$503,_calc!$E$320))=0,"",INDEX('Checklist'!$E$4:$E$503,_calc!$E$320))&amp;". ")&amp;IF(LEN(IF(LEN(INDEX('Checklist'!$F$4:$F$503,_calc!$E$320))=0,"",INDEX('Checklist'!$F$4:$F$503,_calc!$E$320)))=0,"","Backup: "&amp;IF(LEN(INDEX('Checklist'!$F$4:$F$503,_calc!$E$320))=0,"",INDEX('Checklist'!$F$4:$F$503,_calc!$E$320))&amp;". ")&amp;IF(LEN(IF(LEN(INDEX('Checklist'!$J$4:$J$503,_calc!$E$320))=0,"",INDEX('Checklist'!$J$4:$J$503,_calc!$E$320)))=0,"","Evidence: "&amp;IF(LEN(INDEX('Checklist'!$J$4:$J$503,_calc!$E$320))=0,"",INDEX('Checklist'!$J$4:$J$503,_calc!$E$320))&amp;". ")&amp;IF(LEN(IF(LEN(INDEX('Checklist'!$D$4:$D$503,_calc!$E$320))=0,"",INDEX('Checklist'!$D$4:$D$503,_calc!$E$320)))=0,"","Rule example: "&amp;IF(LEN(INDEX('Checklist'!$D$4:$D$503,_calc!$E$320))=0,"",INDEX('Checklist'!$D$4:$D$503,_calc!$E$320))&amp;". ")&amp;IF(LEN(IF(LEN(INDEX('Checklist'!$P$4:$P$503,_calc!$E$320))=0,"",INDEX('Checklist'!$P$4:$P$503,_calc!$E$320)))=0,"",IF(LEN(INDEX('Checklist'!$P$4:$P$503,_calc!$E$320))=0,"",INDEX('Checklist'!$P$4:$P$503,_calc!$E$320)))))</f>
        <v/>
      </c>
      <c r="K318" s="44">
        <f>IF(_calc!$E$320="","",IF(LEN(INDEX('Checklist'!$G$4:$G$503,_calc!$E$320))=0,"",INDEX('Checklist'!$G$4:$G$503,_calc!$E$320)))</f>
        <v/>
      </c>
    </row>
    <row r="319">
      <c r="A319" s="44">
        <f>IF(_calc!$E$321="","","Survey check – "&amp;IF(LEN(INDEX('Checklist'!$C$4:$C$503,_calc!$E$321))=0,"",INDEX('Checklist'!$C$4:$C$503,_calc!$E$321)))</f>
        <v/>
      </c>
      <c r="B319" s="44">
        <f>IF(_calc!$E$321="","",IF(ISNUMBER(INDEX('Checklist'!$L$4:$L$503,_calc!$E$321)),TEXT(INDEX('Checklist'!$L$4:$L$503,_calc!$E$321),"yyyy-mm-dd"),""))</f>
        <v/>
      </c>
      <c r="C319" s="44">
        <f>IF(_calc!$E$321="","","Survey readiness")</f>
        <v/>
      </c>
      <c r="D319" s="44">
        <f>IF(_calc!$E$321="","",IF(ISNUMBER(INDEX('Checklist'!$H$4:$H$503,_calc!$E$321)),TEXT(INDEX('Checklist'!$H$4:$H$503,_calc!$E$321),"yyyy-mm-dd"),""))</f>
        <v/>
      </c>
      <c r="F319" s="44">
        <f>IF(_calc!$E$321="","",TRIM(IF(LEN(IF(LEN(INDEX('Checklist'!$A$4:$A$503,_calc!$E$321))=0,"",INDEX('Checklist'!$A$4:$A$503,_calc!$E$321)))=0,"","Group: "&amp;IF(LEN(INDEX('Checklist'!$A$4:$A$503,_calc!$E$321))=0,"",INDEX('Checklist'!$A$4:$A$503,_calc!$E$321))&amp;". ")&amp;IF(LEN(IF(LEN(INDEX('Checklist'!$E$4:$E$503,_calc!$E$321))=0,"",INDEX('Checklist'!$E$4:$E$503,_calc!$E$321)))=0,"","Owner: "&amp;IF(LEN(INDEX('Checklist'!$E$4:$E$503,_calc!$E$321))=0,"",INDEX('Checklist'!$E$4:$E$503,_calc!$E$321))&amp;". ")&amp;IF(LEN(IF(LEN(INDEX('Checklist'!$F$4:$F$503,_calc!$E$321))=0,"",INDEX('Checklist'!$F$4:$F$503,_calc!$E$321)))=0,"","Backup: "&amp;IF(LEN(INDEX('Checklist'!$F$4:$F$503,_calc!$E$321))=0,"",INDEX('Checklist'!$F$4:$F$503,_calc!$E$321))&amp;". ")&amp;IF(LEN(IF(LEN(INDEX('Checklist'!$J$4:$J$503,_calc!$E$321))=0,"",INDEX('Checklist'!$J$4:$J$503,_calc!$E$321)))=0,"","Evidence: "&amp;IF(LEN(INDEX('Checklist'!$J$4:$J$503,_calc!$E$321))=0,"",INDEX('Checklist'!$J$4:$J$503,_calc!$E$321))&amp;". ")&amp;IF(LEN(IF(LEN(INDEX('Checklist'!$D$4:$D$503,_calc!$E$321))=0,"",INDEX('Checklist'!$D$4:$D$503,_calc!$E$321)))=0,"","Rule example: "&amp;IF(LEN(INDEX('Checklist'!$D$4:$D$503,_calc!$E$321))=0,"",INDEX('Checklist'!$D$4:$D$503,_calc!$E$321))&amp;". ")&amp;IF(LEN(IF(LEN(INDEX('Checklist'!$P$4:$P$503,_calc!$E$321))=0,"",INDEX('Checklist'!$P$4:$P$503,_calc!$E$321)))=0,"",IF(LEN(INDEX('Checklist'!$P$4:$P$503,_calc!$E$321))=0,"",INDEX('Checklist'!$P$4:$P$503,_calc!$E$321)))))</f>
        <v/>
      </c>
      <c r="K319" s="44">
        <f>IF(_calc!$E$321="","",IF(LEN(INDEX('Checklist'!$G$4:$G$503,_calc!$E$321))=0,"",INDEX('Checklist'!$G$4:$G$503,_calc!$E$321)))</f>
        <v/>
      </c>
    </row>
    <row r="320">
      <c r="A320" s="44">
        <f>IF(_calc!$E$322="","","Survey check – "&amp;IF(LEN(INDEX('Checklist'!$C$4:$C$503,_calc!$E$322))=0,"",INDEX('Checklist'!$C$4:$C$503,_calc!$E$322)))</f>
        <v/>
      </c>
      <c r="B320" s="44">
        <f>IF(_calc!$E$322="","",IF(ISNUMBER(INDEX('Checklist'!$L$4:$L$503,_calc!$E$322)),TEXT(INDEX('Checklist'!$L$4:$L$503,_calc!$E$322),"yyyy-mm-dd"),""))</f>
        <v/>
      </c>
      <c r="C320" s="44">
        <f>IF(_calc!$E$322="","","Survey readiness")</f>
        <v/>
      </c>
      <c r="D320" s="44">
        <f>IF(_calc!$E$322="","",IF(ISNUMBER(INDEX('Checklist'!$H$4:$H$503,_calc!$E$322)),TEXT(INDEX('Checklist'!$H$4:$H$503,_calc!$E$322),"yyyy-mm-dd"),""))</f>
        <v/>
      </c>
      <c r="F320" s="44">
        <f>IF(_calc!$E$322="","",TRIM(IF(LEN(IF(LEN(INDEX('Checklist'!$A$4:$A$503,_calc!$E$322))=0,"",INDEX('Checklist'!$A$4:$A$503,_calc!$E$322)))=0,"","Group: "&amp;IF(LEN(INDEX('Checklist'!$A$4:$A$503,_calc!$E$322))=0,"",INDEX('Checklist'!$A$4:$A$503,_calc!$E$322))&amp;". ")&amp;IF(LEN(IF(LEN(INDEX('Checklist'!$E$4:$E$503,_calc!$E$322))=0,"",INDEX('Checklist'!$E$4:$E$503,_calc!$E$322)))=0,"","Owner: "&amp;IF(LEN(INDEX('Checklist'!$E$4:$E$503,_calc!$E$322))=0,"",INDEX('Checklist'!$E$4:$E$503,_calc!$E$322))&amp;". ")&amp;IF(LEN(IF(LEN(INDEX('Checklist'!$F$4:$F$503,_calc!$E$322))=0,"",INDEX('Checklist'!$F$4:$F$503,_calc!$E$322)))=0,"","Backup: "&amp;IF(LEN(INDEX('Checklist'!$F$4:$F$503,_calc!$E$322))=0,"",INDEX('Checklist'!$F$4:$F$503,_calc!$E$322))&amp;". ")&amp;IF(LEN(IF(LEN(INDEX('Checklist'!$J$4:$J$503,_calc!$E$322))=0,"",INDEX('Checklist'!$J$4:$J$503,_calc!$E$322)))=0,"","Evidence: "&amp;IF(LEN(INDEX('Checklist'!$J$4:$J$503,_calc!$E$322))=0,"",INDEX('Checklist'!$J$4:$J$503,_calc!$E$322))&amp;". ")&amp;IF(LEN(IF(LEN(INDEX('Checklist'!$D$4:$D$503,_calc!$E$322))=0,"",INDEX('Checklist'!$D$4:$D$503,_calc!$E$322)))=0,"","Rule example: "&amp;IF(LEN(INDEX('Checklist'!$D$4:$D$503,_calc!$E$322))=0,"",INDEX('Checklist'!$D$4:$D$503,_calc!$E$322))&amp;". ")&amp;IF(LEN(IF(LEN(INDEX('Checklist'!$P$4:$P$503,_calc!$E$322))=0,"",INDEX('Checklist'!$P$4:$P$503,_calc!$E$322)))=0,"",IF(LEN(INDEX('Checklist'!$P$4:$P$503,_calc!$E$322))=0,"",INDEX('Checklist'!$P$4:$P$503,_calc!$E$322)))))</f>
        <v/>
      </c>
      <c r="K320" s="44">
        <f>IF(_calc!$E$322="","",IF(LEN(INDEX('Checklist'!$G$4:$G$503,_calc!$E$322))=0,"",INDEX('Checklist'!$G$4:$G$503,_calc!$E$322)))</f>
        <v/>
      </c>
    </row>
    <row r="321">
      <c r="A321" s="44">
        <f>IF(_calc!$E$323="","","Survey check – "&amp;IF(LEN(INDEX('Checklist'!$C$4:$C$503,_calc!$E$323))=0,"",INDEX('Checklist'!$C$4:$C$503,_calc!$E$323)))</f>
        <v/>
      </c>
      <c r="B321" s="44">
        <f>IF(_calc!$E$323="","",IF(ISNUMBER(INDEX('Checklist'!$L$4:$L$503,_calc!$E$323)),TEXT(INDEX('Checklist'!$L$4:$L$503,_calc!$E$323),"yyyy-mm-dd"),""))</f>
        <v/>
      </c>
      <c r="C321" s="44">
        <f>IF(_calc!$E$323="","","Survey readiness")</f>
        <v/>
      </c>
      <c r="D321" s="44">
        <f>IF(_calc!$E$323="","",IF(ISNUMBER(INDEX('Checklist'!$H$4:$H$503,_calc!$E$323)),TEXT(INDEX('Checklist'!$H$4:$H$503,_calc!$E$323),"yyyy-mm-dd"),""))</f>
        <v/>
      </c>
      <c r="F321" s="44">
        <f>IF(_calc!$E$323="","",TRIM(IF(LEN(IF(LEN(INDEX('Checklist'!$A$4:$A$503,_calc!$E$323))=0,"",INDEX('Checklist'!$A$4:$A$503,_calc!$E$323)))=0,"","Group: "&amp;IF(LEN(INDEX('Checklist'!$A$4:$A$503,_calc!$E$323))=0,"",INDEX('Checklist'!$A$4:$A$503,_calc!$E$323))&amp;". ")&amp;IF(LEN(IF(LEN(INDEX('Checklist'!$E$4:$E$503,_calc!$E$323))=0,"",INDEX('Checklist'!$E$4:$E$503,_calc!$E$323)))=0,"","Owner: "&amp;IF(LEN(INDEX('Checklist'!$E$4:$E$503,_calc!$E$323))=0,"",INDEX('Checklist'!$E$4:$E$503,_calc!$E$323))&amp;". ")&amp;IF(LEN(IF(LEN(INDEX('Checklist'!$F$4:$F$503,_calc!$E$323))=0,"",INDEX('Checklist'!$F$4:$F$503,_calc!$E$323)))=0,"","Backup: "&amp;IF(LEN(INDEX('Checklist'!$F$4:$F$503,_calc!$E$323))=0,"",INDEX('Checklist'!$F$4:$F$503,_calc!$E$323))&amp;". ")&amp;IF(LEN(IF(LEN(INDEX('Checklist'!$J$4:$J$503,_calc!$E$323))=0,"",INDEX('Checklist'!$J$4:$J$503,_calc!$E$323)))=0,"","Evidence: "&amp;IF(LEN(INDEX('Checklist'!$J$4:$J$503,_calc!$E$323))=0,"",INDEX('Checklist'!$J$4:$J$503,_calc!$E$323))&amp;". ")&amp;IF(LEN(IF(LEN(INDEX('Checklist'!$D$4:$D$503,_calc!$E$323))=0,"",INDEX('Checklist'!$D$4:$D$503,_calc!$E$323)))=0,"","Rule example: "&amp;IF(LEN(INDEX('Checklist'!$D$4:$D$503,_calc!$E$323))=0,"",INDEX('Checklist'!$D$4:$D$503,_calc!$E$323))&amp;". ")&amp;IF(LEN(IF(LEN(INDEX('Checklist'!$P$4:$P$503,_calc!$E$323))=0,"",INDEX('Checklist'!$P$4:$P$503,_calc!$E$323)))=0,"",IF(LEN(INDEX('Checklist'!$P$4:$P$503,_calc!$E$323))=0,"",INDEX('Checklist'!$P$4:$P$503,_calc!$E$323)))))</f>
        <v/>
      </c>
      <c r="K321" s="44">
        <f>IF(_calc!$E$323="","",IF(LEN(INDEX('Checklist'!$G$4:$G$503,_calc!$E$323))=0,"",INDEX('Checklist'!$G$4:$G$503,_calc!$E$323)))</f>
        <v/>
      </c>
    </row>
    <row r="322">
      <c r="A322" s="44">
        <f>IF(_calc!$E$324="","","Survey check – "&amp;IF(LEN(INDEX('Checklist'!$C$4:$C$503,_calc!$E$324))=0,"",INDEX('Checklist'!$C$4:$C$503,_calc!$E$324)))</f>
        <v/>
      </c>
      <c r="B322" s="44">
        <f>IF(_calc!$E$324="","",IF(ISNUMBER(INDEX('Checklist'!$L$4:$L$503,_calc!$E$324)),TEXT(INDEX('Checklist'!$L$4:$L$503,_calc!$E$324),"yyyy-mm-dd"),""))</f>
        <v/>
      </c>
      <c r="C322" s="44">
        <f>IF(_calc!$E$324="","","Survey readiness")</f>
        <v/>
      </c>
      <c r="D322" s="44">
        <f>IF(_calc!$E$324="","",IF(ISNUMBER(INDEX('Checklist'!$H$4:$H$503,_calc!$E$324)),TEXT(INDEX('Checklist'!$H$4:$H$503,_calc!$E$324),"yyyy-mm-dd"),""))</f>
        <v/>
      </c>
      <c r="F322" s="44">
        <f>IF(_calc!$E$324="","",TRIM(IF(LEN(IF(LEN(INDEX('Checklist'!$A$4:$A$503,_calc!$E$324))=0,"",INDEX('Checklist'!$A$4:$A$503,_calc!$E$324)))=0,"","Group: "&amp;IF(LEN(INDEX('Checklist'!$A$4:$A$503,_calc!$E$324))=0,"",INDEX('Checklist'!$A$4:$A$503,_calc!$E$324))&amp;". ")&amp;IF(LEN(IF(LEN(INDEX('Checklist'!$E$4:$E$503,_calc!$E$324))=0,"",INDEX('Checklist'!$E$4:$E$503,_calc!$E$324)))=0,"","Owner: "&amp;IF(LEN(INDEX('Checklist'!$E$4:$E$503,_calc!$E$324))=0,"",INDEX('Checklist'!$E$4:$E$503,_calc!$E$324))&amp;". ")&amp;IF(LEN(IF(LEN(INDEX('Checklist'!$F$4:$F$503,_calc!$E$324))=0,"",INDEX('Checklist'!$F$4:$F$503,_calc!$E$324)))=0,"","Backup: "&amp;IF(LEN(INDEX('Checklist'!$F$4:$F$503,_calc!$E$324))=0,"",INDEX('Checklist'!$F$4:$F$503,_calc!$E$324))&amp;". ")&amp;IF(LEN(IF(LEN(INDEX('Checklist'!$J$4:$J$503,_calc!$E$324))=0,"",INDEX('Checklist'!$J$4:$J$503,_calc!$E$324)))=0,"","Evidence: "&amp;IF(LEN(INDEX('Checklist'!$J$4:$J$503,_calc!$E$324))=0,"",INDEX('Checklist'!$J$4:$J$503,_calc!$E$324))&amp;". ")&amp;IF(LEN(IF(LEN(INDEX('Checklist'!$D$4:$D$503,_calc!$E$324))=0,"",INDEX('Checklist'!$D$4:$D$503,_calc!$E$324)))=0,"","Rule example: "&amp;IF(LEN(INDEX('Checklist'!$D$4:$D$503,_calc!$E$324))=0,"",INDEX('Checklist'!$D$4:$D$503,_calc!$E$324))&amp;". ")&amp;IF(LEN(IF(LEN(INDEX('Checklist'!$P$4:$P$503,_calc!$E$324))=0,"",INDEX('Checklist'!$P$4:$P$503,_calc!$E$324)))=0,"",IF(LEN(INDEX('Checklist'!$P$4:$P$503,_calc!$E$324))=0,"",INDEX('Checklist'!$P$4:$P$503,_calc!$E$324)))))</f>
        <v/>
      </c>
      <c r="K322" s="44">
        <f>IF(_calc!$E$324="","",IF(LEN(INDEX('Checklist'!$G$4:$G$503,_calc!$E$324))=0,"",INDEX('Checklist'!$G$4:$G$503,_calc!$E$324)))</f>
        <v/>
      </c>
    </row>
    <row r="323">
      <c r="A323" s="44">
        <f>IF(_calc!$E$325="","","Survey check – "&amp;IF(LEN(INDEX('Checklist'!$C$4:$C$503,_calc!$E$325))=0,"",INDEX('Checklist'!$C$4:$C$503,_calc!$E$325)))</f>
        <v/>
      </c>
      <c r="B323" s="44">
        <f>IF(_calc!$E$325="","",IF(ISNUMBER(INDEX('Checklist'!$L$4:$L$503,_calc!$E$325)),TEXT(INDEX('Checklist'!$L$4:$L$503,_calc!$E$325),"yyyy-mm-dd"),""))</f>
        <v/>
      </c>
      <c r="C323" s="44">
        <f>IF(_calc!$E$325="","","Survey readiness")</f>
        <v/>
      </c>
      <c r="D323" s="44">
        <f>IF(_calc!$E$325="","",IF(ISNUMBER(INDEX('Checklist'!$H$4:$H$503,_calc!$E$325)),TEXT(INDEX('Checklist'!$H$4:$H$503,_calc!$E$325),"yyyy-mm-dd"),""))</f>
        <v/>
      </c>
      <c r="F323" s="44">
        <f>IF(_calc!$E$325="","",TRIM(IF(LEN(IF(LEN(INDEX('Checklist'!$A$4:$A$503,_calc!$E$325))=0,"",INDEX('Checklist'!$A$4:$A$503,_calc!$E$325)))=0,"","Group: "&amp;IF(LEN(INDEX('Checklist'!$A$4:$A$503,_calc!$E$325))=0,"",INDEX('Checklist'!$A$4:$A$503,_calc!$E$325))&amp;". ")&amp;IF(LEN(IF(LEN(INDEX('Checklist'!$E$4:$E$503,_calc!$E$325))=0,"",INDEX('Checklist'!$E$4:$E$503,_calc!$E$325)))=0,"","Owner: "&amp;IF(LEN(INDEX('Checklist'!$E$4:$E$503,_calc!$E$325))=0,"",INDEX('Checklist'!$E$4:$E$503,_calc!$E$325))&amp;". ")&amp;IF(LEN(IF(LEN(INDEX('Checklist'!$F$4:$F$503,_calc!$E$325))=0,"",INDEX('Checklist'!$F$4:$F$503,_calc!$E$325)))=0,"","Backup: "&amp;IF(LEN(INDEX('Checklist'!$F$4:$F$503,_calc!$E$325))=0,"",INDEX('Checklist'!$F$4:$F$503,_calc!$E$325))&amp;". ")&amp;IF(LEN(IF(LEN(INDEX('Checklist'!$J$4:$J$503,_calc!$E$325))=0,"",INDEX('Checklist'!$J$4:$J$503,_calc!$E$325)))=0,"","Evidence: "&amp;IF(LEN(INDEX('Checklist'!$J$4:$J$503,_calc!$E$325))=0,"",INDEX('Checklist'!$J$4:$J$503,_calc!$E$325))&amp;". ")&amp;IF(LEN(IF(LEN(INDEX('Checklist'!$D$4:$D$503,_calc!$E$325))=0,"",INDEX('Checklist'!$D$4:$D$503,_calc!$E$325)))=0,"","Rule example: "&amp;IF(LEN(INDEX('Checklist'!$D$4:$D$503,_calc!$E$325))=0,"",INDEX('Checklist'!$D$4:$D$503,_calc!$E$325))&amp;". ")&amp;IF(LEN(IF(LEN(INDEX('Checklist'!$P$4:$P$503,_calc!$E$325))=0,"",INDEX('Checklist'!$P$4:$P$503,_calc!$E$325)))=0,"",IF(LEN(INDEX('Checklist'!$P$4:$P$503,_calc!$E$325))=0,"",INDEX('Checklist'!$P$4:$P$503,_calc!$E$325)))))</f>
        <v/>
      </c>
      <c r="K323" s="44">
        <f>IF(_calc!$E$325="","",IF(LEN(INDEX('Checklist'!$G$4:$G$503,_calc!$E$325))=0,"",INDEX('Checklist'!$G$4:$G$503,_calc!$E$325)))</f>
        <v/>
      </c>
    </row>
    <row r="324">
      <c r="A324" s="44">
        <f>IF(_calc!$E$326="","","Survey check – "&amp;IF(LEN(INDEX('Checklist'!$C$4:$C$503,_calc!$E$326))=0,"",INDEX('Checklist'!$C$4:$C$503,_calc!$E$326)))</f>
        <v/>
      </c>
      <c r="B324" s="44">
        <f>IF(_calc!$E$326="","",IF(ISNUMBER(INDEX('Checklist'!$L$4:$L$503,_calc!$E$326)),TEXT(INDEX('Checklist'!$L$4:$L$503,_calc!$E$326),"yyyy-mm-dd"),""))</f>
        <v/>
      </c>
      <c r="C324" s="44">
        <f>IF(_calc!$E$326="","","Survey readiness")</f>
        <v/>
      </c>
      <c r="D324" s="44">
        <f>IF(_calc!$E$326="","",IF(ISNUMBER(INDEX('Checklist'!$H$4:$H$503,_calc!$E$326)),TEXT(INDEX('Checklist'!$H$4:$H$503,_calc!$E$326),"yyyy-mm-dd"),""))</f>
        <v/>
      </c>
      <c r="F324" s="44">
        <f>IF(_calc!$E$326="","",TRIM(IF(LEN(IF(LEN(INDEX('Checklist'!$A$4:$A$503,_calc!$E$326))=0,"",INDEX('Checklist'!$A$4:$A$503,_calc!$E$326)))=0,"","Group: "&amp;IF(LEN(INDEX('Checklist'!$A$4:$A$503,_calc!$E$326))=0,"",INDEX('Checklist'!$A$4:$A$503,_calc!$E$326))&amp;". ")&amp;IF(LEN(IF(LEN(INDEX('Checklist'!$E$4:$E$503,_calc!$E$326))=0,"",INDEX('Checklist'!$E$4:$E$503,_calc!$E$326)))=0,"","Owner: "&amp;IF(LEN(INDEX('Checklist'!$E$4:$E$503,_calc!$E$326))=0,"",INDEX('Checklist'!$E$4:$E$503,_calc!$E$326))&amp;". ")&amp;IF(LEN(IF(LEN(INDEX('Checklist'!$F$4:$F$503,_calc!$E$326))=0,"",INDEX('Checklist'!$F$4:$F$503,_calc!$E$326)))=0,"","Backup: "&amp;IF(LEN(INDEX('Checklist'!$F$4:$F$503,_calc!$E$326))=0,"",INDEX('Checklist'!$F$4:$F$503,_calc!$E$326))&amp;". ")&amp;IF(LEN(IF(LEN(INDEX('Checklist'!$J$4:$J$503,_calc!$E$326))=0,"",INDEX('Checklist'!$J$4:$J$503,_calc!$E$326)))=0,"","Evidence: "&amp;IF(LEN(INDEX('Checklist'!$J$4:$J$503,_calc!$E$326))=0,"",INDEX('Checklist'!$J$4:$J$503,_calc!$E$326))&amp;". ")&amp;IF(LEN(IF(LEN(INDEX('Checklist'!$D$4:$D$503,_calc!$E$326))=0,"",INDEX('Checklist'!$D$4:$D$503,_calc!$E$326)))=0,"","Rule example: "&amp;IF(LEN(INDEX('Checklist'!$D$4:$D$503,_calc!$E$326))=0,"",INDEX('Checklist'!$D$4:$D$503,_calc!$E$326))&amp;". ")&amp;IF(LEN(IF(LEN(INDEX('Checklist'!$P$4:$P$503,_calc!$E$326))=0,"",INDEX('Checklist'!$P$4:$P$503,_calc!$E$326)))=0,"",IF(LEN(INDEX('Checklist'!$P$4:$P$503,_calc!$E$326))=0,"",INDEX('Checklist'!$P$4:$P$503,_calc!$E$326)))))</f>
        <v/>
      </c>
      <c r="K324" s="44">
        <f>IF(_calc!$E$326="","",IF(LEN(INDEX('Checklist'!$G$4:$G$503,_calc!$E$326))=0,"",INDEX('Checklist'!$G$4:$G$503,_calc!$E$326)))</f>
        <v/>
      </c>
    </row>
    <row r="325">
      <c r="A325" s="44">
        <f>IF(_calc!$E$327="","","Survey check – "&amp;IF(LEN(INDEX('Checklist'!$C$4:$C$503,_calc!$E$327))=0,"",INDEX('Checklist'!$C$4:$C$503,_calc!$E$327)))</f>
        <v/>
      </c>
      <c r="B325" s="44">
        <f>IF(_calc!$E$327="","",IF(ISNUMBER(INDEX('Checklist'!$L$4:$L$503,_calc!$E$327)),TEXT(INDEX('Checklist'!$L$4:$L$503,_calc!$E$327),"yyyy-mm-dd"),""))</f>
        <v/>
      </c>
      <c r="C325" s="44">
        <f>IF(_calc!$E$327="","","Survey readiness")</f>
        <v/>
      </c>
      <c r="D325" s="44">
        <f>IF(_calc!$E$327="","",IF(ISNUMBER(INDEX('Checklist'!$H$4:$H$503,_calc!$E$327)),TEXT(INDEX('Checklist'!$H$4:$H$503,_calc!$E$327),"yyyy-mm-dd"),""))</f>
        <v/>
      </c>
      <c r="F325" s="44">
        <f>IF(_calc!$E$327="","",TRIM(IF(LEN(IF(LEN(INDEX('Checklist'!$A$4:$A$503,_calc!$E$327))=0,"",INDEX('Checklist'!$A$4:$A$503,_calc!$E$327)))=0,"","Group: "&amp;IF(LEN(INDEX('Checklist'!$A$4:$A$503,_calc!$E$327))=0,"",INDEX('Checklist'!$A$4:$A$503,_calc!$E$327))&amp;". ")&amp;IF(LEN(IF(LEN(INDEX('Checklist'!$E$4:$E$503,_calc!$E$327))=0,"",INDEX('Checklist'!$E$4:$E$503,_calc!$E$327)))=0,"","Owner: "&amp;IF(LEN(INDEX('Checklist'!$E$4:$E$503,_calc!$E$327))=0,"",INDEX('Checklist'!$E$4:$E$503,_calc!$E$327))&amp;". ")&amp;IF(LEN(IF(LEN(INDEX('Checklist'!$F$4:$F$503,_calc!$E$327))=0,"",INDEX('Checklist'!$F$4:$F$503,_calc!$E$327)))=0,"","Backup: "&amp;IF(LEN(INDEX('Checklist'!$F$4:$F$503,_calc!$E$327))=0,"",INDEX('Checklist'!$F$4:$F$503,_calc!$E$327))&amp;". ")&amp;IF(LEN(IF(LEN(INDEX('Checklist'!$J$4:$J$503,_calc!$E$327))=0,"",INDEX('Checklist'!$J$4:$J$503,_calc!$E$327)))=0,"","Evidence: "&amp;IF(LEN(INDEX('Checklist'!$J$4:$J$503,_calc!$E$327))=0,"",INDEX('Checklist'!$J$4:$J$503,_calc!$E$327))&amp;". ")&amp;IF(LEN(IF(LEN(INDEX('Checklist'!$D$4:$D$503,_calc!$E$327))=0,"",INDEX('Checklist'!$D$4:$D$503,_calc!$E$327)))=0,"","Rule example: "&amp;IF(LEN(INDEX('Checklist'!$D$4:$D$503,_calc!$E$327))=0,"",INDEX('Checklist'!$D$4:$D$503,_calc!$E$327))&amp;". ")&amp;IF(LEN(IF(LEN(INDEX('Checklist'!$P$4:$P$503,_calc!$E$327))=0,"",INDEX('Checklist'!$P$4:$P$503,_calc!$E$327)))=0,"",IF(LEN(INDEX('Checklist'!$P$4:$P$503,_calc!$E$327))=0,"",INDEX('Checklist'!$P$4:$P$503,_calc!$E$327)))))</f>
        <v/>
      </c>
      <c r="K325" s="44">
        <f>IF(_calc!$E$327="","",IF(LEN(INDEX('Checklist'!$G$4:$G$503,_calc!$E$327))=0,"",INDEX('Checklist'!$G$4:$G$503,_calc!$E$327)))</f>
        <v/>
      </c>
    </row>
    <row r="326">
      <c r="A326" s="44">
        <f>IF(_calc!$E$328="","","Survey check – "&amp;IF(LEN(INDEX('Checklist'!$C$4:$C$503,_calc!$E$328))=0,"",INDEX('Checklist'!$C$4:$C$503,_calc!$E$328)))</f>
        <v/>
      </c>
      <c r="B326" s="44">
        <f>IF(_calc!$E$328="","",IF(ISNUMBER(INDEX('Checklist'!$L$4:$L$503,_calc!$E$328)),TEXT(INDEX('Checklist'!$L$4:$L$503,_calc!$E$328),"yyyy-mm-dd"),""))</f>
        <v/>
      </c>
      <c r="C326" s="44">
        <f>IF(_calc!$E$328="","","Survey readiness")</f>
        <v/>
      </c>
      <c r="D326" s="44">
        <f>IF(_calc!$E$328="","",IF(ISNUMBER(INDEX('Checklist'!$H$4:$H$503,_calc!$E$328)),TEXT(INDEX('Checklist'!$H$4:$H$503,_calc!$E$328),"yyyy-mm-dd"),""))</f>
        <v/>
      </c>
      <c r="F326" s="44">
        <f>IF(_calc!$E$328="","",TRIM(IF(LEN(IF(LEN(INDEX('Checklist'!$A$4:$A$503,_calc!$E$328))=0,"",INDEX('Checklist'!$A$4:$A$503,_calc!$E$328)))=0,"","Group: "&amp;IF(LEN(INDEX('Checklist'!$A$4:$A$503,_calc!$E$328))=0,"",INDEX('Checklist'!$A$4:$A$503,_calc!$E$328))&amp;". ")&amp;IF(LEN(IF(LEN(INDEX('Checklist'!$E$4:$E$503,_calc!$E$328))=0,"",INDEX('Checklist'!$E$4:$E$503,_calc!$E$328)))=0,"","Owner: "&amp;IF(LEN(INDEX('Checklist'!$E$4:$E$503,_calc!$E$328))=0,"",INDEX('Checklist'!$E$4:$E$503,_calc!$E$328))&amp;". ")&amp;IF(LEN(IF(LEN(INDEX('Checklist'!$F$4:$F$503,_calc!$E$328))=0,"",INDEX('Checklist'!$F$4:$F$503,_calc!$E$328)))=0,"","Backup: "&amp;IF(LEN(INDEX('Checklist'!$F$4:$F$503,_calc!$E$328))=0,"",INDEX('Checklist'!$F$4:$F$503,_calc!$E$328))&amp;". ")&amp;IF(LEN(IF(LEN(INDEX('Checklist'!$J$4:$J$503,_calc!$E$328))=0,"",INDEX('Checklist'!$J$4:$J$503,_calc!$E$328)))=0,"","Evidence: "&amp;IF(LEN(INDEX('Checklist'!$J$4:$J$503,_calc!$E$328))=0,"",INDEX('Checklist'!$J$4:$J$503,_calc!$E$328))&amp;". ")&amp;IF(LEN(IF(LEN(INDEX('Checklist'!$D$4:$D$503,_calc!$E$328))=0,"",INDEX('Checklist'!$D$4:$D$503,_calc!$E$328)))=0,"","Rule example: "&amp;IF(LEN(INDEX('Checklist'!$D$4:$D$503,_calc!$E$328))=0,"",INDEX('Checklist'!$D$4:$D$503,_calc!$E$328))&amp;". ")&amp;IF(LEN(IF(LEN(INDEX('Checklist'!$P$4:$P$503,_calc!$E$328))=0,"",INDEX('Checklist'!$P$4:$P$503,_calc!$E$328)))=0,"",IF(LEN(INDEX('Checklist'!$P$4:$P$503,_calc!$E$328))=0,"",INDEX('Checklist'!$P$4:$P$503,_calc!$E$328)))))</f>
        <v/>
      </c>
      <c r="K326" s="44">
        <f>IF(_calc!$E$328="","",IF(LEN(INDEX('Checklist'!$G$4:$G$503,_calc!$E$328))=0,"",INDEX('Checklist'!$G$4:$G$503,_calc!$E$328)))</f>
        <v/>
      </c>
    </row>
    <row r="327">
      <c r="A327" s="44">
        <f>IF(_calc!$E$329="","","Survey check – "&amp;IF(LEN(INDEX('Checklist'!$C$4:$C$503,_calc!$E$329))=0,"",INDEX('Checklist'!$C$4:$C$503,_calc!$E$329)))</f>
        <v/>
      </c>
      <c r="B327" s="44">
        <f>IF(_calc!$E$329="","",IF(ISNUMBER(INDEX('Checklist'!$L$4:$L$503,_calc!$E$329)),TEXT(INDEX('Checklist'!$L$4:$L$503,_calc!$E$329),"yyyy-mm-dd"),""))</f>
        <v/>
      </c>
      <c r="C327" s="44">
        <f>IF(_calc!$E$329="","","Survey readiness")</f>
        <v/>
      </c>
      <c r="D327" s="44">
        <f>IF(_calc!$E$329="","",IF(ISNUMBER(INDEX('Checklist'!$H$4:$H$503,_calc!$E$329)),TEXT(INDEX('Checklist'!$H$4:$H$503,_calc!$E$329),"yyyy-mm-dd"),""))</f>
        <v/>
      </c>
      <c r="F327" s="44">
        <f>IF(_calc!$E$329="","",TRIM(IF(LEN(IF(LEN(INDEX('Checklist'!$A$4:$A$503,_calc!$E$329))=0,"",INDEX('Checklist'!$A$4:$A$503,_calc!$E$329)))=0,"","Group: "&amp;IF(LEN(INDEX('Checklist'!$A$4:$A$503,_calc!$E$329))=0,"",INDEX('Checklist'!$A$4:$A$503,_calc!$E$329))&amp;". ")&amp;IF(LEN(IF(LEN(INDEX('Checklist'!$E$4:$E$503,_calc!$E$329))=0,"",INDEX('Checklist'!$E$4:$E$503,_calc!$E$329)))=0,"","Owner: "&amp;IF(LEN(INDEX('Checklist'!$E$4:$E$503,_calc!$E$329))=0,"",INDEX('Checklist'!$E$4:$E$503,_calc!$E$329))&amp;". ")&amp;IF(LEN(IF(LEN(INDEX('Checklist'!$F$4:$F$503,_calc!$E$329))=0,"",INDEX('Checklist'!$F$4:$F$503,_calc!$E$329)))=0,"","Backup: "&amp;IF(LEN(INDEX('Checklist'!$F$4:$F$503,_calc!$E$329))=0,"",INDEX('Checklist'!$F$4:$F$503,_calc!$E$329))&amp;". ")&amp;IF(LEN(IF(LEN(INDEX('Checklist'!$J$4:$J$503,_calc!$E$329))=0,"",INDEX('Checklist'!$J$4:$J$503,_calc!$E$329)))=0,"","Evidence: "&amp;IF(LEN(INDEX('Checklist'!$J$4:$J$503,_calc!$E$329))=0,"",INDEX('Checklist'!$J$4:$J$503,_calc!$E$329))&amp;". ")&amp;IF(LEN(IF(LEN(INDEX('Checklist'!$D$4:$D$503,_calc!$E$329))=0,"",INDEX('Checklist'!$D$4:$D$503,_calc!$E$329)))=0,"","Rule example: "&amp;IF(LEN(INDEX('Checklist'!$D$4:$D$503,_calc!$E$329))=0,"",INDEX('Checklist'!$D$4:$D$503,_calc!$E$329))&amp;". ")&amp;IF(LEN(IF(LEN(INDEX('Checklist'!$P$4:$P$503,_calc!$E$329))=0,"",INDEX('Checklist'!$P$4:$P$503,_calc!$E$329)))=0,"",IF(LEN(INDEX('Checklist'!$P$4:$P$503,_calc!$E$329))=0,"",INDEX('Checklist'!$P$4:$P$503,_calc!$E$329)))))</f>
        <v/>
      </c>
      <c r="K327" s="44">
        <f>IF(_calc!$E$329="","",IF(LEN(INDEX('Checklist'!$G$4:$G$503,_calc!$E$329))=0,"",INDEX('Checklist'!$G$4:$G$503,_calc!$E$329)))</f>
        <v/>
      </c>
    </row>
    <row r="328">
      <c r="A328" s="44">
        <f>IF(_calc!$E$330="","","Survey check – "&amp;IF(LEN(INDEX('Checklist'!$C$4:$C$503,_calc!$E$330))=0,"",INDEX('Checklist'!$C$4:$C$503,_calc!$E$330)))</f>
        <v/>
      </c>
      <c r="B328" s="44">
        <f>IF(_calc!$E$330="","",IF(ISNUMBER(INDEX('Checklist'!$L$4:$L$503,_calc!$E$330)),TEXT(INDEX('Checklist'!$L$4:$L$503,_calc!$E$330),"yyyy-mm-dd"),""))</f>
        <v/>
      </c>
      <c r="C328" s="44">
        <f>IF(_calc!$E$330="","","Survey readiness")</f>
        <v/>
      </c>
      <c r="D328" s="44">
        <f>IF(_calc!$E$330="","",IF(ISNUMBER(INDEX('Checklist'!$H$4:$H$503,_calc!$E$330)),TEXT(INDEX('Checklist'!$H$4:$H$503,_calc!$E$330),"yyyy-mm-dd"),""))</f>
        <v/>
      </c>
      <c r="F328" s="44">
        <f>IF(_calc!$E$330="","",TRIM(IF(LEN(IF(LEN(INDEX('Checklist'!$A$4:$A$503,_calc!$E$330))=0,"",INDEX('Checklist'!$A$4:$A$503,_calc!$E$330)))=0,"","Group: "&amp;IF(LEN(INDEX('Checklist'!$A$4:$A$503,_calc!$E$330))=0,"",INDEX('Checklist'!$A$4:$A$503,_calc!$E$330))&amp;". ")&amp;IF(LEN(IF(LEN(INDEX('Checklist'!$E$4:$E$503,_calc!$E$330))=0,"",INDEX('Checklist'!$E$4:$E$503,_calc!$E$330)))=0,"","Owner: "&amp;IF(LEN(INDEX('Checklist'!$E$4:$E$503,_calc!$E$330))=0,"",INDEX('Checklist'!$E$4:$E$503,_calc!$E$330))&amp;". ")&amp;IF(LEN(IF(LEN(INDEX('Checklist'!$F$4:$F$503,_calc!$E$330))=0,"",INDEX('Checklist'!$F$4:$F$503,_calc!$E$330)))=0,"","Backup: "&amp;IF(LEN(INDEX('Checklist'!$F$4:$F$503,_calc!$E$330))=0,"",INDEX('Checklist'!$F$4:$F$503,_calc!$E$330))&amp;". ")&amp;IF(LEN(IF(LEN(INDEX('Checklist'!$J$4:$J$503,_calc!$E$330))=0,"",INDEX('Checklist'!$J$4:$J$503,_calc!$E$330)))=0,"","Evidence: "&amp;IF(LEN(INDEX('Checklist'!$J$4:$J$503,_calc!$E$330))=0,"",INDEX('Checklist'!$J$4:$J$503,_calc!$E$330))&amp;". ")&amp;IF(LEN(IF(LEN(INDEX('Checklist'!$D$4:$D$503,_calc!$E$330))=0,"",INDEX('Checklist'!$D$4:$D$503,_calc!$E$330)))=0,"","Rule example: "&amp;IF(LEN(INDEX('Checklist'!$D$4:$D$503,_calc!$E$330))=0,"",INDEX('Checklist'!$D$4:$D$503,_calc!$E$330))&amp;". ")&amp;IF(LEN(IF(LEN(INDEX('Checklist'!$P$4:$P$503,_calc!$E$330))=0,"",INDEX('Checklist'!$P$4:$P$503,_calc!$E$330)))=0,"",IF(LEN(INDEX('Checklist'!$P$4:$P$503,_calc!$E$330))=0,"",INDEX('Checklist'!$P$4:$P$503,_calc!$E$330)))))</f>
        <v/>
      </c>
      <c r="K328" s="44">
        <f>IF(_calc!$E$330="","",IF(LEN(INDEX('Checklist'!$G$4:$G$503,_calc!$E$330))=0,"",INDEX('Checklist'!$G$4:$G$503,_calc!$E$330)))</f>
        <v/>
      </c>
    </row>
    <row r="329">
      <c r="A329" s="44">
        <f>IF(_calc!$E$331="","","Survey check – "&amp;IF(LEN(INDEX('Checklist'!$C$4:$C$503,_calc!$E$331))=0,"",INDEX('Checklist'!$C$4:$C$503,_calc!$E$331)))</f>
        <v/>
      </c>
      <c r="B329" s="44">
        <f>IF(_calc!$E$331="","",IF(ISNUMBER(INDEX('Checklist'!$L$4:$L$503,_calc!$E$331)),TEXT(INDEX('Checklist'!$L$4:$L$503,_calc!$E$331),"yyyy-mm-dd"),""))</f>
        <v/>
      </c>
      <c r="C329" s="44">
        <f>IF(_calc!$E$331="","","Survey readiness")</f>
        <v/>
      </c>
      <c r="D329" s="44">
        <f>IF(_calc!$E$331="","",IF(ISNUMBER(INDEX('Checklist'!$H$4:$H$503,_calc!$E$331)),TEXT(INDEX('Checklist'!$H$4:$H$503,_calc!$E$331),"yyyy-mm-dd"),""))</f>
        <v/>
      </c>
      <c r="F329" s="44">
        <f>IF(_calc!$E$331="","",TRIM(IF(LEN(IF(LEN(INDEX('Checklist'!$A$4:$A$503,_calc!$E$331))=0,"",INDEX('Checklist'!$A$4:$A$503,_calc!$E$331)))=0,"","Group: "&amp;IF(LEN(INDEX('Checklist'!$A$4:$A$503,_calc!$E$331))=0,"",INDEX('Checklist'!$A$4:$A$503,_calc!$E$331))&amp;". ")&amp;IF(LEN(IF(LEN(INDEX('Checklist'!$E$4:$E$503,_calc!$E$331))=0,"",INDEX('Checklist'!$E$4:$E$503,_calc!$E$331)))=0,"","Owner: "&amp;IF(LEN(INDEX('Checklist'!$E$4:$E$503,_calc!$E$331))=0,"",INDEX('Checklist'!$E$4:$E$503,_calc!$E$331))&amp;". ")&amp;IF(LEN(IF(LEN(INDEX('Checklist'!$F$4:$F$503,_calc!$E$331))=0,"",INDEX('Checklist'!$F$4:$F$503,_calc!$E$331)))=0,"","Backup: "&amp;IF(LEN(INDEX('Checklist'!$F$4:$F$503,_calc!$E$331))=0,"",INDEX('Checklist'!$F$4:$F$503,_calc!$E$331))&amp;". ")&amp;IF(LEN(IF(LEN(INDEX('Checklist'!$J$4:$J$503,_calc!$E$331))=0,"",INDEX('Checklist'!$J$4:$J$503,_calc!$E$331)))=0,"","Evidence: "&amp;IF(LEN(INDEX('Checklist'!$J$4:$J$503,_calc!$E$331))=0,"",INDEX('Checklist'!$J$4:$J$503,_calc!$E$331))&amp;". ")&amp;IF(LEN(IF(LEN(INDEX('Checklist'!$D$4:$D$503,_calc!$E$331))=0,"",INDEX('Checklist'!$D$4:$D$503,_calc!$E$331)))=0,"","Rule example: "&amp;IF(LEN(INDEX('Checklist'!$D$4:$D$503,_calc!$E$331))=0,"",INDEX('Checklist'!$D$4:$D$503,_calc!$E$331))&amp;". ")&amp;IF(LEN(IF(LEN(INDEX('Checklist'!$P$4:$P$503,_calc!$E$331))=0,"",INDEX('Checklist'!$P$4:$P$503,_calc!$E$331)))=0,"",IF(LEN(INDEX('Checklist'!$P$4:$P$503,_calc!$E$331))=0,"",INDEX('Checklist'!$P$4:$P$503,_calc!$E$331)))))</f>
        <v/>
      </c>
      <c r="K329" s="44">
        <f>IF(_calc!$E$331="","",IF(LEN(INDEX('Checklist'!$G$4:$G$503,_calc!$E$331))=0,"",INDEX('Checklist'!$G$4:$G$503,_calc!$E$331)))</f>
        <v/>
      </c>
    </row>
    <row r="330">
      <c r="A330" s="44">
        <f>IF(_calc!$E$332="","","Survey check – "&amp;IF(LEN(INDEX('Checklist'!$C$4:$C$503,_calc!$E$332))=0,"",INDEX('Checklist'!$C$4:$C$503,_calc!$E$332)))</f>
        <v/>
      </c>
      <c r="B330" s="44">
        <f>IF(_calc!$E$332="","",IF(ISNUMBER(INDEX('Checklist'!$L$4:$L$503,_calc!$E$332)),TEXT(INDEX('Checklist'!$L$4:$L$503,_calc!$E$332),"yyyy-mm-dd"),""))</f>
        <v/>
      </c>
      <c r="C330" s="44">
        <f>IF(_calc!$E$332="","","Survey readiness")</f>
        <v/>
      </c>
      <c r="D330" s="44">
        <f>IF(_calc!$E$332="","",IF(ISNUMBER(INDEX('Checklist'!$H$4:$H$503,_calc!$E$332)),TEXT(INDEX('Checklist'!$H$4:$H$503,_calc!$E$332),"yyyy-mm-dd"),""))</f>
        <v/>
      </c>
      <c r="F330" s="44">
        <f>IF(_calc!$E$332="","",TRIM(IF(LEN(IF(LEN(INDEX('Checklist'!$A$4:$A$503,_calc!$E$332))=0,"",INDEX('Checklist'!$A$4:$A$503,_calc!$E$332)))=0,"","Group: "&amp;IF(LEN(INDEX('Checklist'!$A$4:$A$503,_calc!$E$332))=0,"",INDEX('Checklist'!$A$4:$A$503,_calc!$E$332))&amp;". ")&amp;IF(LEN(IF(LEN(INDEX('Checklist'!$E$4:$E$503,_calc!$E$332))=0,"",INDEX('Checklist'!$E$4:$E$503,_calc!$E$332)))=0,"","Owner: "&amp;IF(LEN(INDEX('Checklist'!$E$4:$E$503,_calc!$E$332))=0,"",INDEX('Checklist'!$E$4:$E$503,_calc!$E$332))&amp;". ")&amp;IF(LEN(IF(LEN(INDEX('Checklist'!$F$4:$F$503,_calc!$E$332))=0,"",INDEX('Checklist'!$F$4:$F$503,_calc!$E$332)))=0,"","Backup: "&amp;IF(LEN(INDEX('Checklist'!$F$4:$F$503,_calc!$E$332))=0,"",INDEX('Checklist'!$F$4:$F$503,_calc!$E$332))&amp;". ")&amp;IF(LEN(IF(LEN(INDEX('Checklist'!$J$4:$J$503,_calc!$E$332))=0,"",INDEX('Checklist'!$J$4:$J$503,_calc!$E$332)))=0,"","Evidence: "&amp;IF(LEN(INDEX('Checklist'!$J$4:$J$503,_calc!$E$332))=0,"",INDEX('Checklist'!$J$4:$J$503,_calc!$E$332))&amp;". ")&amp;IF(LEN(IF(LEN(INDEX('Checklist'!$D$4:$D$503,_calc!$E$332))=0,"",INDEX('Checklist'!$D$4:$D$503,_calc!$E$332)))=0,"","Rule example: "&amp;IF(LEN(INDEX('Checklist'!$D$4:$D$503,_calc!$E$332))=0,"",INDEX('Checklist'!$D$4:$D$503,_calc!$E$332))&amp;". ")&amp;IF(LEN(IF(LEN(INDEX('Checklist'!$P$4:$P$503,_calc!$E$332))=0,"",INDEX('Checklist'!$P$4:$P$503,_calc!$E$332)))=0,"",IF(LEN(INDEX('Checklist'!$P$4:$P$503,_calc!$E$332))=0,"",INDEX('Checklist'!$P$4:$P$503,_calc!$E$332)))))</f>
        <v/>
      </c>
      <c r="K330" s="44">
        <f>IF(_calc!$E$332="","",IF(LEN(INDEX('Checklist'!$G$4:$G$503,_calc!$E$332))=0,"",INDEX('Checklist'!$G$4:$G$503,_calc!$E$332)))</f>
        <v/>
      </c>
    </row>
    <row r="331">
      <c r="A331" s="44">
        <f>IF(_calc!$E$333="","","Survey check – "&amp;IF(LEN(INDEX('Checklist'!$C$4:$C$503,_calc!$E$333))=0,"",INDEX('Checklist'!$C$4:$C$503,_calc!$E$333)))</f>
        <v/>
      </c>
      <c r="B331" s="44">
        <f>IF(_calc!$E$333="","",IF(ISNUMBER(INDEX('Checklist'!$L$4:$L$503,_calc!$E$333)),TEXT(INDEX('Checklist'!$L$4:$L$503,_calc!$E$333),"yyyy-mm-dd"),""))</f>
        <v/>
      </c>
      <c r="C331" s="44">
        <f>IF(_calc!$E$333="","","Survey readiness")</f>
        <v/>
      </c>
      <c r="D331" s="44">
        <f>IF(_calc!$E$333="","",IF(ISNUMBER(INDEX('Checklist'!$H$4:$H$503,_calc!$E$333)),TEXT(INDEX('Checklist'!$H$4:$H$503,_calc!$E$333),"yyyy-mm-dd"),""))</f>
        <v/>
      </c>
      <c r="F331" s="44">
        <f>IF(_calc!$E$333="","",TRIM(IF(LEN(IF(LEN(INDEX('Checklist'!$A$4:$A$503,_calc!$E$333))=0,"",INDEX('Checklist'!$A$4:$A$503,_calc!$E$333)))=0,"","Group: "&amp;IF(LEN(INDEX('Checklist'!$A$4:$A$503,_calc!$E$333))=0,"",INDEX('Checklist'!$A$4:$A$503,_calc!$E$333))&amp;". ")&amp;IF(LEN(IF(LEN(INDEX('Checklist'!$E$4:$E$503,_calc!$E$333))=0,"",INDEX('Checklist'!$E$4:$E$503,_calc!$E$333)))=0,"","Owner: "&amp;IF(LEN(INDEX('Checklist'!$E$4:$E$503,_calc!$E$333))=0,"",INDEX('Checklist'!$E$4:$E$503,_calc!$E$333))&amp;". ")&amp;IF(LEN(IF(LEN(INDEX('Checklist'!$F$4:$F$503,_calc!$E$333))=0,"",INDEX('Checklist'!$F$4:$F$503,_calc!$E$333)))=0,"","Backup: "&amp;IF(LEN(INDEX('Checklist'!$F$4:$F$503,_calc!$E$333))=0,"",INDEX('Checklist'!$F$4:$F$503,_calc!$E$333))&amp;". ")&amp;IF(LEN(IF(LEN(INDEX('Checklist'!$J$4:$J$503,_calc!$E$333))=0,"",INDEX('Checklist'!$J$4:$J$503,_calc!$E$333)))=0,"","Evidence: "&amp;IF(LEN(INDEX('Checklist'!$J$4:$J$503,_calc!$E$333))=0,"",INDEX('Checklist'!$J$4:$J$503,_calc!$E$333))&amp;". ")&amp;IF(LEN(IF(LEN(INDEX('Checklist'!$D$4:$D$503,_calc!$E$333))=0,"",INDEX('Checklist'!$D$4:$D$503,_calc!$E$333)))=0,"","Rule example: "&amp;IF(LEN(INDEX('Checklist'!$D$4:$D$503,_calc!$E$333))=0,"",INDEX('Checklist'!$D$4:$D$503,_calc!$E$333))&amp;". ")&amp;IF(LEN(IF(LEN(INDEX('Checklist'!$P$4:$P$503,_calc!$E$333))=0,"",INDEX('Checklist'!$P$4:$P$503,_calc!$E$333)))=0,"",IF(LEN(INDEX('Checklist'!$P$4:$P$503,_calc!$E$333))=0,"",INDEX('Checklist'!$P$4:$P$503,_calc!$E$333)))))</f>
        <v/>
      </c>
      <c r="K331" s="44">
        <f>IF(_calc!$E$333="","",IF(LEN(INDEX('Checklist'!$G$4:$G$503,_calc!$E$333))=0,"",INDEX('Checklist'!$G$4:$G$503,_calc!$E$333)))</f>
        <v/>
      </c>
    </row>
    <row r="332">
      <c r="A332" s="44">
        <f>IF(_calc!$E$334="","","Survey check – "&amp;IF(LEN(INDEX('Checklist'!$C$4:$C$503,_calc!$E$334))=0,"",INDEX('Checklist'!$C$4:$C$503,_calc!$E$334)))</f>
        <v/>
      </c>
      <c r="B332" s="44">
        <f>IF(_calc!$E$334="","",IF(ISNUMBER(INDEX('Checklist'!$L$4:$L$503,_calc!$E$334)),TEXT(INDEX('Checklist'!$L$4:$L$503,_calc!$E$334),"yyyy-mm-dd"),""))</f>
        <v/>
      </c>
      <c r="C332" s="44">
        <f>IF(_calc!$E$334="","","Survey readiness")</f>
        <v/>
      </c>
      <c r="D332" s="44">
        <f>IF(_calc!$E$334="","",IF(ISNUMBER(INDEX('Checklist'!$H$4:$H$503,_calc!$E$334)),TEXT(INDEX('Checklist'!$H$4:$H$503,_calc!$E$334),"yyyy-mm-dd"),""))</f>
        <v/>
      </c>
      <c r="F332" s="44">
        <f>IF(_calc!$E$334="","",TRIM(IF(LEN(IF(LEN(INDEX('Checklist'!$A$4:$A$503,_calc!$E$334))=0,"",INDEX('Checklist'!$A$4:$A$503,_calc!$E$334)))=0,"","Group: "&amp;IF(LEN(INDEX('Checklist'!$A$4:$A$503,_calc!$E$334))=0,"",INDEX('Checklist'!$A$4:$A$503,_calc!$E$334))&amp;". ")&amp;IF(LEN(IF(LEN(INDEX('Checklist'!$E$4:$E$503,_calc!$E$334))=0,"",INDEX('Checklist'!$E$4:$E$503,_calc!$E$334)))=0,"","Owner: "&amp;IF(LEN(INDEX('Checklist'!$E$4:$E$503,_calc!$E$334))=0,"",INDEX('Checklist'!$E$4:$E$503,_calc!$E$334))&amp;". ")&amp;IF(LEN(IF(LEN(INDEX('Checklist'!$F$4:$F$503,_calc!$E$334))=0,"",INDEX('Checklist'!$F$4:$F$503,_calc!$E$334)))=0,"","Backup: "&amp;IF(LEN(INDEX('Checklist'!$F$4:$F$503,_calc!$E$334))=0,"",INDEX('Checklist'!$F$4:$F$503,_calc!$E$334))&amp;". ")&amp;IF(LEN(IF(LEN(INDEX('Checklist'!$J$4:$J$503,_calc!$E$334))=0,"",INDEX('Checklist'!$J$4:$J$503,_calc!$E$334)))=0,"","Evidence: "&amp;IF(LEN(INDEX('Checklist'!$J$4:$J$503,_calc!$E$334))=0,"",INDEX('Checklist'!$J$4:$J$503,_calc!$E$334))&amp;". ")&amp;IF(LEN(IF(LEN(INDEX('Checklist'!$D$4:$D$503,_calc!$E$334))=0,"",INDEX('Checklist'!$D$4:$D$503,_calc!$E$334)))=0,"","Rule example: "&amp;IF(LEN(INDEX('Checklist'!$D$4:$D$503,_calc!$E$334))=0,"",INDEX('Checklist'!$D$4:$D$503,_calc!$E$334))&amp;". ")&amp;IF(LEN(IF(LEN(INDEX('Checklist'!$P$4:$P$503,_calc!$E$334))=0,"",INDEX('Checklist'!$P$4:$P$503,_calc!$E$334)))=0,"",IF(LEN(INDEX('Checklist'!$P$4:$P$503,_calc!$E$334))=0,"",INDEX('Checklist'!$P$4:$P$503,_calc!$E$334)))))</f>
        <v/>
      </c>
      <c r="K332" s="44">
        <f>IF(_calc!$E$334="","",IF(LEN(INDEX('Checklist'!$G$4:$G$503,_calc!$E$334))=0,"",INDEX('Checklist'!$G$4:$G$503,_calc!$E$334)))</f>
        <v/>
      </c>
    </row>
    <row r="333">
      <c r="A333" s="44">
        <f>IF(_calc!$E$335="","","Survey check – "&amp;IF(LEN(INDEX('Checklist'!$C$4:$C$503,_calc!$E$335))=0,"",INDEX('Checklist'!$C$4:$C$503,_calc!$E$335)))</f>
        <v/>
      </c>
      <c r="B333" s="44">
        <f>IF(_calc!$E$335="","",IF(ISNUMBER(INDEX('Checklist'!$L$4:$L$503,_calc!$E$335)),TEXT(INDEX('Checklist'!$L$4:$L$503,_calc!$E$335),"yyyy-mm-dd"),""))</f>
        <v/>
      </c>
      <c r="C333" s="44">
        <f>IF(_calc!$E$335="","","Survey readiness")</f>
        <v/>
      </c>
      <c r="D333" s="44">
        <f>IF(_calc!$E$335="","",IF(ISNUMBER(INDEX('Checklist'!$H$4:$H$503,_calc!$E$335)),TEXT(INDEX('Checklist'!$H$4:$H$503,_calc!$E$335),"yyyy-mm-dd"),""))</f>
        <v/>
      </c>
      <c r="F333" s="44">
        <f>IF(_calc!$E$335="","",TRIM(IF(LEN(IF(LEN(INDEX('Checklist'!$A$4:$A$503,_calc!$E$335))=0,"",INDEX('Checklist'!$A$4:$A$503,_calc!$E$335)))=0,"","Group: "&amp;IF(LEN(INDEX('Checklist'!$A$4:$A$503,_calc!$E$335))=0,"",INDEX('Checklist'!$A$4:$A$503,_calc!$E$335))&amp;". ")&amp;IF(LEN(IF(LEN(INDEX('Checklist'!$E$4:$E$503,_calc!$E$335))=0,"",INDEX('Checklist'!$E$4:$E$503,_calc!$E$335)))=0,"","Owner: "&amp;IF(LEN(INDEX('Checklist'!$E$4:$E$503,_calc!$E$335))=0,"",INDEX('Checklist'!$E$4:$E$503,_calc!$E$335))&amp;". ")&amp;IF(LEN(IF(LEN(INDEX('Checklist'!$F$4:$F$503,_calc!$E$335))=0,"",INDEX('Checklist'!$F$4:$F$503,_calc!$E$335)))=0,"","Backup: "&amp;IF(LEN(INDEX('Checklist'!$F$4:$F$503,_calc!$E$335))=0,"",INDEX('Checklist'!$F$4:$F$503,_calc!$E$335))&amp;". ")&amp;IF(LEN(IF(LEN(INDEX('Checklist'!$J$4:$J$503,_calc!$E$335))=0,"",INDEX('Checklist'!$J$4:$J$503,_calc!$E$335)))=0,"","Evidence: "&amp;IF(LEN(INDEX('Checklist'!$J$4:$J$503,_calc!$E$335))=0,"",INDEX('Checklist'!$J$4:$J$503,_calc!$E$335))&amp;". ")&amp;IF(LEN(IF(LEN(INDEX('Checklist'!$D$4:$D$503,_calc!$E$335))=0,"",INDEX('Checklist'!$D$4:$D$503,_calc!$E$335)))=0,"","Rule example: "&amp;IF(LEN(INDEX('Checklist'!$D$4:$D$503,_calc!$E$335))=0,"",INDEX('Checklist'!$D$4:$D$503,_calc!$E$335))&amp;". ")&amp;IF(LEN(IF(LEN(INDEX('Checklist'!$P$4:$P$503,_calc!$E$335))=0,"",INDEX('Checklist'!$P$4:$P$503,_calc!$E$335)))=0,"",IF(LEN(INDEX('Checklist'!$P$4:$P$503,_calc!$E$335))=0,"",INDEX('Checklist'!$P$4:$P$503,_calc!$E$335)))))</f>
        <v/>
      </c>
      <c r="K333" s="44">
        <f>IF(_calc!$E$335="","",IF(LEN(INDEX('Checklist'!$G$4:$G$503,_calc!$E$335))=0,"",INDEX('Checklist'!$G$4:$G$503,_calc!$E$335)))</f>
        <v/>
      </c>
    </row>
    <row r="334">
      <c r="A334" s="44">
        <f>IF(_calc!$E$336="","","Survey check – "&amp;IF(LEN(INDEX('Checklist'!$C$4:$C$503,_calc!$E$336))=0,"",INDEX('Checklist'!$C$4:$C$503,_calc!$E$336)))</f>
        <v/>
      </c>
      <c r="B334" s="44">
        <f>IF(_calc!$E$336="","",IF(ISNUMBER(INDEX('Checklist'!$L$4:$L$503,_calc!$E$336)),TEXT(INDEX('Checklist'!$L$4:$L$503,_calc!$E$336),"yyyy-mm-dd"),""))</f>
        <v/>
      </c>
      <c r="C334" s="44">
        <f>IF(_calc!$E$336="","","Survey readiness")</f>
        <v/>
      </c>
      <c r="D334" s="44">
        <f>IF(_calc!$E$336="","",IF(ISNUMBER(INDEX('Checklist'!$H$4:$H$503,_calc!$E$336)),TEXT(INDEX('Checklist'!$H$4:$H$503,_calc!$E$336),"yyyy-mm-dd"),""))</f>
        <v/>
      </c>
      <c r="F334" s="44">
        <f>IF(_calc!$E$336="","",TRIM(IF(LEN(IF(LEN(INDEX('Checklist'!$A$4:$A$503,_calc!$E$336))=0,"",INDEX('Checklist'!$A$4:$A$503,_calc!$E$336)))=0,"","Group: "&amp;IF(LEN(INDEX('Checklist'!$A$4:$A$503,_calc!$E$336))=0,"",INDEX('Checklist'!$A$4:$A$503,_calc!$E$336))&amp;". ")&amp;IF(LEN(IF(LEN(INDEX('Checklist'!$E$4:$E$503,_calc!$E$336))=0,"",INDEX('Checklist'!$E$4:$E$503,_calc!$E$336)))=0,"","Owner: "&amp;IF(LEN(INDEX('Checklist'!$E$4:$E$503,_calc!$E$336))=0,"",INDEX('Checklist'!$E$4:$E$503,_calc!$E$336))&amp;". ")&amp;IF(LEN(IF(LEN(INDEX('Checklist'!$F$4:$F$503,_calc!$E$336))=0,"",INDEX('Checklist'!$F$4:$F$503,_calc!$E$336)))=0,"","Backup: "&amp;IF(LEN(INDEX('Checklist'!$F$4:$F$503,_calc!$E$336))=0,"",INDEX('Checklist'!$F$4:$F$503,_calc!$E$336))&amp;". ")&amp;IF(LEN(IF(LEN(INDEX('Checklist'!$J$4:$J$503,_calc!$E$336))=0,"",INDEX('Checklist'!$J$4:$J$503,_calc!$E$336)))=0,"","Evidence: "&amp;IF(LEN(INDEX('Checklist'!$J$4:$J$503,_calc!$E$336))=0,"",INDEX('Checklist'!$J$4:$J$503,_calc!$E$336))&amp;". ")&amp;IF(LEN(IF(LEN(INDEX('Checklist'!$D$4:$D$503,_calc!$E$336))=0,"",INDEX('Checklist'!$D$4:$D$503,_calc!$E$336)))=0,"","Rule example: "&amp;IF(LEN(INDEX('Checklist'!$D$4:$D$503,_calc!$E$336))=0,"",INDEX('Checklist'!$D$4:$D$503,_calc!$E$336))&amp;". ")&amp;IF(LEN(IF(LEN(INDEX('Checklist'!$P$4:$P$503,_calc!$E$336))=0,"",INDEX('Checklist'!$P$4:$P$503,_calc!$E$336)))=0,"",IF(LEN(INDEX('Checklist'!$P$4:$P$503,_calc!$E$336))=0,"",INDEX('Checklist'!$P$4:$P$503,_calc!$E$336)))))</f>
        <v/>
      </c>
      <c r="K334" s="44">
        <f>IF(_calc!$E$336="","",IF(LEN(INDEX('Checklist'!$G$4:$G$503,_calc!$E$336))=0,"",INDEX('Checklist'!$G$4:$G$503,_calc!$E$336)))</f>
        <v/>
      </c>
    </row>
    <row r="335">
      <c r="A335" s="44">
        <f>IF(_calc!$E$337="","","Survey check – "&amp;IF(LEN(INDEX('Checklist'!$C$4:$C$503,_calc!$E$337))=0,"",INDEX('Checklist'!$C$4:$C$503,_calc!$E$337)))</f>
        <v/>
      </c>
      <c r="B335" s="44">
        <f>IF(_calc!$E$337="","",IF(ISNUMBER(INDEX('Checklist'!$L$4:$L$503,_calc!$E$337)),TEXT(INDEX('Checklist'!$L$4:$L$503,_calc!$E$337),"yyyy-mm-dd"),""))</f>
        <v/>
      </c>
      <c r="C335" s="44">
        <f>IF(_calc!$E$337="","","Survey readiness")</f>
        <v/>
      </c>
      <c r="D335" s="44">
        <f>IF(_calc!$E$337="","",IF(ISNUMBER(INDEX('Checklist'!$H$4:$H$503,_calc!$E$337)),TEXT(INDEX('Checklist'!$H$4:$H$503,_calc!$E$337),"yyyy-mm-dd"),""))</f>
        <v/>
      </c>
      <c r="F335" s="44">
        <f>IF(_calc!$E$337="","",TRIM(IF(LEN(IF(LEN(INDEX('Checklist'!$A$4:$A$503,_calc!$E$337))=0,"",INDEX('Checklist'!$A$4:$A$503,_calc!$E$337)))=0,"","Group: "&amp;IF(LEN(INDEX('Checklist'!$A$4:$A$503,_calc!$E$337))=0,"",INDEX('Checklist'!$A$4:$A$503,_calc!$E$337))&amp;". ")&amp;IF(LEN(IF(LEN(INDEX('Checklist'!$E$4:$E$503,_calc!$E$337))=0,"",INDEX('Checklist'!$E$4:$E$503,_calc!$E$337)))=0,"","Owner: "&amp;IF(LEN(INDEX('Checklist'!$E$4:$E$503,_calc!$E$337))=0,"",INDEX('Checklist'!$E$4:$E$503,_calc!$E$337))&amp;". ")&amp;IF(LEN(IF(LEN(INDEX('Checklist'!$F$4:$F$503,_calc!$E$337))=0,"",INDEX('Checklist'!$F$4:$F$503,_calc!$E$337)))=0,"","Backup: "&amp;IF(LEN(INDEX('Checklist'!$F$4:$F$503,_calc!$E$337))=0,"",INDEX('Checklist'!$F$4:$F$503,_calc!$E$337))&amp;". ")&amp;IF(LEN(IF(LEN(INDEX('Checklist'!$J$4:$J$503,_calc!$E$337))=0,"",INDEX('Checklist'!$J$4:$J$503,_calc!$E$337)))=0,"","Evidence: "&amp;IF(LEN(INDEX('Checklist'!$J$4:$J$503,_calc!$E$337))=0,"",INDEX('Checklist'!$J$4:$J$503,_calc!$E$337))&amp;". ")&amp;IF(LEN(IF(LEN(INDEX('Checklist'!$D$4:$D$503,_calc!$E$337))=0,"",INDEX('Checklist'!$D$4:$D$503,_calc!$E$337)))=0,"","Rule example: "&amp;IF(LEN(INDEX('Checklist'!$D$4:$D$503,_calc!$E$337))=0,"",INDEX('Checklist'!$D$4:$D$503,_calc!$E$337))&amp;". ")&amp;IF(LEN(IF(LEN(INDEX('Checklist'!$P$4:$P$503,_calc!$E$337))=0,"",INDEX('Checklist'!$P$4:$P$503,_calc!$E$337)))=0,"",IF(LEN(INDEX('Checklist'!$P$4:$P$503,_calc!$E$337))=0,"",INDEX('Checklist'!$P$4:$P$503,_calc!$E$337)))))</f>
        <v/>
      </c>
      <c r="K335" s="44">
        <f>IF(_calc!$E$337="","",IF(LEN(INDEX('Checklist'!$G$4:$G$503,_calc!$E$337))=0,"",INDEX('Checklist'!$G$4:$G$503,_calc!$E$337)))</f>
        <v/>
      </c>
    </row>
    <row r="336">
      <c r="A336" s="44">
        <f>IF(_calc!$E$338="","","Survey check – "&amp;IF(LEN(INDEX('Checklist'!$C$4:$C$503,_calc!$E$338))=0,"",INDEX('Checklist'!$C$4:$C$503,_calc!$E$338)))</f>
        <v/>
      </c>
      <c r="B336" s="44">
        <f>IF(_calc!$E$338="","",IF(ISNUMBER(INDEX('Checklist'!$L$4:$L$503,_calc!$E$338)),TEXT(INDEX('Checklist'!$L$4:$L$503,_calc!$E$338),"yyyy-mm-dd"),""))</f>
        <v/>
      </c>
      <c r="C336" s="44">
        <f>IF(_calc!$E$338="","","Survey readiness")</f>
        <v/>
      </c>
      <c r="D336" s="44">
        <f>IF(_calc!$E$338="","",IF(ISNUMBER(INDEX('Checklist'!$H$4:$H$503,_calc!$E$338)),TEXT(INDEX('Checklist'!$H$4:$H$503,_calc!$E$338),"yyyy-mm-dd"),""))</f>
        <v/>
      </c>
      <c r="F336" s="44">
        <f>IF(_calc!$E$338="","",TRIM(IF(LEN(IF(LEN(INDEX('Checklist'!$A$4:$A$503,_calc!$E$338))=0,"",INDEX('Checklist'!$A$4:$A$503,_calc!$E$338)))=0,"","Group: "&amp;IF(LEN(INDEX('Checklist'!$A$4:$A$503,_calc!$E$338))=0,"",INDEX('Checklist'!$A$4:$A$503,_calc!$E$338))&amp;". ")&amp;IF(LEN(IF(LEN(INDEX('Checklist'!$E$4:$E$503,_calc!$E$338))=0,"",INDEX('Checklist'!$E$4:$E$503,_calc!$E$338)))=0,"","Owner: "&amp;IF(LEN(INDEX('Checklist'!$E$4:$E$503,_calc!$E$338))=0,"",INDEX('Checklist'!$E$4:$E$503,_calc!$E$338))&amp;". ")&amp;IF(LEN(IF(LEN(INDEX('Checklist'!$F$4:$F$503,_calc!$E$338))=0,"",INDEX('Checklist'!$F$4:$F$503,_calc!$E$338)))=0,"","Backup: "&amp;IF(LEN(INDEX('Checklist'!$F$4:$F$503,_calc!$E$338))=0,"",INDEX('Checklist'!$F$4:$F$503,_calc!$E$338))&amp;". ")&amp;IF(LEN(IF(LEN(INDEX('Checklist'!$J$4:$J$503,_calc!$E$338))=0,"",INDEX('Checklist'!$J$4:$J$503,_calc!$E$338)))=0,"","Evidence: "&amp;IF(LEN(INDEX('Checklist'!$J$4:$J$503,_calc!$E$338))=0,"",INDEX('Checklist'!$J$4:$J$503,_calc!$E$338))&amp;". ")&amp;IF(LEN(IF(LEN(INDEX('Checklist'!$D$4:$D$503,_calc!$E$338))=0,"",INDEX('Checklist'!$D$4:$D$503,_calc!$E$338)))=0,"","Rule example: "&amp;IF(LEN(INDEX('Checklist'!$D$4:$D$503,_calc!$E$338))=0,"",INDEX('Checklist'!$D$4:$D$503,_calc!$E$338))&amp;". ")&amp;IF(LEN(IF(LEN(INDEX('Checklist'!$P$4:$P$503,_calc!$E$338))=0,"",INDEX('Checklist'!$P$4:$P$503,_calc!$E$338)))=0,"",IF(LEN(INDEX('Checklist'!$P$4:$P$503,_calc!$E$338))=0,"",INDEX('Checklist'!$P$4:$P$503,_calc!$E$338)))))</f>
        <v/>
      </c>
      <c r="K336" s="44">
        <f>IF(_calc!$E$338="","",IF(LEN(INDEX('Checklist'!$G$4:$G$503,_calc!$E$338))=0,"",INDEX('Checklist'!$G$4:$G$503,_calc!$E$338)))</f>
        <v/>
      </c>
    </row>
    <row r="337">
      <c r="A337" s="44">
        <f>IF(_calc!$E$339="","","Survey check – "&amp;IF(LEN(INDEX('Checklist'!$C$4:$C$503,_calc!$E$339))=0,"",INDEX('Checklist'!$C$4:$C$503,_calc!$E$339)))</f>
        <v/>
      </c>
      <c r="B337" s="44">
        <f>IF(_calc!$E$339="","",IF(ISNUMBER(INDEX('Checklist'!$L$4:$L$503,_calc!$E$339)),TEXT(INDEX('Checklist'!$L$4:$L$503,_calc!$E$339),"yyyy-mm-dd"),""))</f>
        <v/>
      </c>
      <c r="C337" s="44">
        <f>IF(_calc!$E$339="","","Survey readiness")</f>
        <v/>
      </c>
      <c r="D337" s="44">
        <f>IF(_calc!$E$339="","",IF(ISNUMBER(INDEX('Checklist'!$H$4:$H$503,_calc!$E$339)),TEXT(INDEX('Checklist'!$H$4:$H$503,_calc!$E$339),"yyyy-mm-dd"),""))</f>
        <v/>
      </c>
      <c r="F337" s="44">
        <f>IF(_calc!$E$339="","",TRIM(IF(LEN(IF(LEN(INDEX('Checklist'!$A$4:$A$503,_calc!$E$339))=0,"",INDEX('Checklist'!$A$4:$A$503,_calc!$E$339)))=0,"","Group: "&amp;IF(LEN(INDEX('Checklist'!$A$4:$A$503,_calc!$E$339))=0,"",INDEX('Checklist'!$A$4:$A$503,_calc!$E$339))&amp;". ")&amp;IF(LEN(IF(LEN(INDEX('Checklist'!$E$4:$E$503,_calc!$E$339))=0,"",INDEX('Checklist'!$E$4:$E$503,_calc!$E$339)))=0,"","Owner: "&amp;IF(LEN(INDEX('Checklist'!$E$4:$E$503,_calc!$E$339))=0,"",INDEX('Checklist'!$E$4:$E$503,_calc!$E$339))&amp;". ")&amp;IF(LEN(IF(LEN(INDEX('Checklist'!$F$4:$F$503,_calc!$E$339))=0,"",INDEX('Checklist'!$F$4:$F$503,_calc!$E$339)))=0,"","Backup: "&amp;IF(LEN(INDEX('Checklist'!$F$4:$F$503,_calc!$E$339))=0,"",INDEX('Checklist'!$F$4:$F$503,_calc!$E$339))&amp;". ")&amp;IF(LEN(IF(LEN(INDEX('Checklist'!$J$4:$J$503,_calc!$E$339))=0,"",INDEX('Checklist'!$J$4:$J$503,_calc!$E$339)))=0,"","Evidence: "&amp;IF(LEN(INDEX('Checklist'!$J$4:$J$503,_calc!$E$339))=0,"",INDEX('Checklist'!$J$4:$J$503,_calc!$E$339))&amp;". ")&amp;IF(LEN(IF(LEN(INDEX('Checklist'!$D$4:$D$503,_calc!$E$339))=0,"",INDEX('Checklist'!$D$4:$D$503,_calc!$E$339)))=0,"","Rule example: "&amp;IF(LEN(INDEX('Checklist'!$D$4:$D$503,_calc!$E$339))=0,"",INDEX('Checklist'!$D$4:$D$503,_calc!$E$339))&amp;". ")&amp;IF(LEN(IF(LEN(INDEX('Checklist'!$P$4:$P$503,_calc!$E$339))=0,"",INDEX('Checklist'!$P$4:$P$503,_calc!$E$339)))=0,"",IF(LEN(INDEX('Checklist'!$P$4:$P$503,_calc!$E$339))=0,"",INDEX('Checklist'!$P$4:$P$503,_calc!$E$339)))))</f>
        <v/>
      </c>
      <c r="K337" s="44">
        <f>IF(_calc!$E$339="","",IF(LEN(INDEX('Checklist'!$G$4:$G$503,_calc!$E$339))=0,"",INDEX('Checklist'!$G$4:$G$503,_calc!$E$339)))</f>
        <v/>
      </c>
    </row>
    <row r="338">
      <c r="A338" s="44">
        <f>IF(_calc!$E$340="","","Survey check – "&amp;IF(LEN(INDEX('Checklist'!$C$4:$C$503,_calc!$E$340))=0,"",INDEX('Checklist'!$C$4:$C$503,_calc!$E$340)))</f>
        <v/>
      </c>
      <c r="B338" s="44">
        <f>IF(_calc!$E$340="","",IF(ISNUMBER(INDEX('Checklist'!$L$4:$L$503,_calc!$E$340)),TEXT(INDEX('Checklist'!$L$4:$L$503,_calc!$E$340),"yyyy-mm-dd"),""))</f>
        <v/>
      </c>
      <c r="C338" s="44">
        <f>IF(_calc!$E$340="","","Survey readiness")</f>
        <v/>
      </c>
      <c r="D338" s="44">
        <f>IF(_calc!$E$340="","",IF(ISNUMBER(INDEX('Checklist'!$H$4:$H$503,_calc!$E$340)),TEXT(INDEX('Checklist'!$H$4:$H$503,_calc!$E$340),"yyyy-mm-dd"),""))</f>
        <v/>
      </c>
      <c r="F338" s="44">
        <f>IF(_calc!$E$340="","",TRIM(IF(LEN(IF(LEN(INDEX('Checklist'!$A$4:$A$503,_calc!$E$340))=0,"",INDEX('Checklist'!$A$4:$A$503,_calc!$E$340)))=0,"","Group: "&amp;IF(LEN(INDEX('Checklist'!$A$4:$A$503,_calc!$E$340))=0,"",INDEX('Checklist'!$A$4:$A$503,_calc!$E$340))&amp;". ")&amp;IF(LEN(IF(LEN(INDEX('Checklist'!$E$4:$E$503,_calc!$E$340))=0,"",INDEX('Checklist'!$E$4:$E$503,_calc!$E$340)))=0,"","Owner: "&amp;IF(LEN(INDEX('Checklist'!$E$4:$E$503,_calc!$E$340))=0,"",INDEX('Checklist'!$E$4:$E$503,_calc!$E$340))&amp;". ")&amp;IF(LEN(IF(LEN(INDEX('Checklist'!$F$4:$F$503,_calc!$E$340))=0,"",INDEX('Checklist'!$F$4:$F$503,_calc!$E$340)))=0,"","Backup: "&amp;IF(LEN(INDEX('Checklist'!$F$4:$F$503,_calc!$E$340))=0,"",INDEX('Checklist'!$F$4:$F$503,_calc!$E$340))&amp;". ")&amp;IF(LEN(IF(LEN(INDEX('Checklist'!$J$4:$J$503,_calc!$E$340))=0,"",INDEX('Checklist'!$J$4:$J$503,_calc!$E$340)))=0,"","Evidence: "&amp;IF(LEN(INDEX('Checklist'!$J$4:$J$503,_calc!$E$340))=0,"",INDEX('Checklist'!$J$4:$J$503,_calc!$E$340))&amp;". ")&amp;IF(LEN(IF(LEN(INDEX('Checklist'!$D$4:$D$503,_calc!$E$340))=0,"",INDEX('Checklist'!$D$4:$D$503,_calc!$E$340)))=0,"","Rule example: "&amp;IF(LEN(INDEX('Checklist'!$D$4:$D$503,_calc!$E$340))=0,"",INDEX('Checklist'!$D$4:$D$503,_calc!$E$340))&amp;". ")&amp;IF(LEN(IF(LEN(INDEX('Checklist'!$P$4:$P$503,_calc!$E$340))=0,"",INDEX('Checklist'!$P$4:$P$503,_calc!$E$340)))=0,"",IF(LEN(INDEX('Checklist'!$P$4:$P$503,_calc!$E$340))=0,"",INDEX('Checklist'!$P$4:$P$503,_calc!$E$340)))))</f>
        <v/>
      </c>
      <c r="K338" s="44">
        <f>IF(_calc!$E$340="","",IF(LEN(INDEX('Checklist'!$G$4:$G$503,_calc!$E$340))=0,"",INDEX('Checklist'!$G$4:$G$503,_calc!$E$340)))</f>
        <v/>
      </c>
    </row>
    <row r="339">
      <c r="A339" s="44">
        <f>IF(_calc!$E$341="","","Survey check – "&amp;IF(LEN(INDEX('Checklist'!$C$4:$C$503,_calc!$E$341))=0,"",INDEX('Checklist'!$C$4:$C$503,_calc!$E$341)))</f>
        <v/>
      </c>
      <c r="B339" s="44">
        <f>IF(_calc!$E$341="","",IF(ISNUMBER(INDEX('Checklist'!$L$4:$L$503,_calc!$E$341)),TEXT(INDEX('Checklist'!$L$4:$L$503,_calc!$E$341),"yyyy-mm-dd"),""))</f>
        <v/>
      </c>
      <c r="C339" s="44">
        <f>IF(_calc!$E$341="","","Survey readiness")</f>
        <v/>
      </c>
      <c r="D339" s="44">
        <f>IF(_calc!$E$341="","",IF(ISNUMBER(INDEX('Checklist'!$H$4:$H$503,_calc!$E$341)),TEXT(INDEX('Checklist'!$H$4:$H$503,_calc!$E$341),"yyyy-mm-dd"),""))</f>
        <v/>
      </c>
      <c r="F339" s="44">
        <f>IF(_calc!$E$341="","",TRIM(IF(LEN(IF(LEN(INDEX('Checklist'!$A$4:$A$503,_calc!$E$341))=0,"",INDEX('Checklist'!$A$4:$A$503,_calc!$E$341)))=0,"","Group: "&amp;IF(LEN(INDEX('Checklist'!$A$4:$A$503,_calc!$E$341))=0,"",INDEX('Checklist'!$A$4:$A$503,_calc!$E$341))&amp;". ")&amp;IF(LEN(IF(LEN(INDEX('Checklist'!$E$4:$E$503,_calc!$E$341))=0,"",INDEX('Checklist'!$E$4:$E$503,_calc!$E$341)))=0,"","Owner: "&amp;IF(LEN(INDEX('Checklist'!$E$4:$E$503,_calc!$E$341))=0,"",INDEX('Checklist'!$E$4:$E$503,_calc!$E$341))&amp;". ")&amp;IF(LEN(IF(LEN(INDEX('Checklist'!$F$4:$F$503,_calc!$E$341))=0,"",INDEX('Checklist'!$F$4:$F$503,_calc!$E$341)))=0,"","Backup: "&amp;IF(LEN(INDEX('Checklist'!$F$4:$F$503,_calc!$E$341))=0,"",INDEX('Checklist'!$F$4:$F$503,_calc!$E$341))&amp;". ")&amp;IF(LEN(IF(LEN(INDEX('Checklist'!$J$4:$J$503,_calc!$E$341))=0,"",INDEX('Checklist'!$J$4:$J$503,_calc!$E$341)))=0,"","Evidence: "&amp;IF(LEN(INDEX('Checklist'!$J$4:$J$503,_calc!$E$341))=0,"",INDEX('Checklist'!$J$4:$J$503,_calc!$E$341))&amp;". ")&amp;IF(LEN(IF(LEN(INDEX('Checklist'!$D$4:$D$503,_calc!$E$341))=0,"",INDEX('Checklist'!$D$4:$D$503,_calc!$E$341)))=0,"","Rule example: "&amp;IF(LEN(INDEX('Checklist'!$D$4:$D$503,_calc!$E$341))=0,"",INDEX('Checklist'!$D$4:$D$503,_calc!$E$341))&amp;". ")&amp;IF(LEN(IF(LEN(INDEX('Checklist'!$P$4:$P$503,_calc!$E$341))=0,"",INDEX('Checklist'!$P$4:$P$503,_calc!$E$341)))=0,"",IF(LEN(INDEX('Checklist'!$P$4:$P$503,_calc!$E$341))=0,"",INDEX('Checklist'!$P$4:$P$503,_calc!$E$341)))))</f>
        <v/>
      </c>
      <c r="K339" s="44">
        <f>IF(_calc!$E$341="","",IF(LEN(INDEX('Checklist'!$G$4:$G$503,_calc!$E$341))=0,"",INDEX('Checklist'!$G$4:$G$503,_calc!$E$341)))</f>
        <v/>
      </c>
    </row>
    <row r="340">
      <c r="A340" s="44">
        <f>IF(_calc!$E$342="","","Survey check – "&amp;IF(LEN(INDEX('Checklist'!$C$4:$C$503,_calc!$E$342))=0,"",INDEX('Checklist'!$C$4:$C$503,_calc!$E$342)))</f>
        <v/>
      </c>
      <c r="B340" s="44">
        <f>IF(_calc!$E$342="","",IF(ISNUMBER(INDEX('Checklist'!$L$4:$L$503,_calc!$E$342)),TEXT(INDEX('Checklist'!$L$4:$L$503,_calc!$E$342),"yyyy-mm-dd"),""))</f>
        <v/>
      </c>
      <c r="C340" s="44">
        <f>IF(_calc!$E$342="","","Survey readiness")</f>
        <v/>
      </c>
      <c r="D340" s="44">
        <f>IF(_calc!$E$342="","",IF(ISNUMBER(INDEX('Checklist'!$H$4:$H$503,_calc!$E$342)),TEXT(INDEX('Checklist'!$H$4:$H$503,_calc!$E$342),"yyyy-mm-dd"),""))</f>
        <v/>
      </c>
      <c r="F340" s="44">
        <f>IF(_calc!$E$342="","",TRIM(IF(LEN(IF(LEN(INDEX('Checklist'!$A$4:$A$503,_calc!$E$342))=0,"",INDEX('Checklist'!$A$4:$A$503,_calc!$E$342)))=0,"","Group: "&amp;IF(LEN(INDEX('Checklist'!$A$4:$A$503,_calc!$E$342))=0,"",INDEX('Checklist'!$A$4:$A$503,_calc!$E$342))&amp;". ")&amp;IF(LEN(IF(LEN(INDEX('Checklist'!$E$4:$E$503,_calc!$E$342))=0,"",INDEX('Checklist'!$E$4:$E$503,_calc!$E$342)))=0,"","Owner: "&amp;IF(LEN(INDEX('Checklist'!$E$4:$E$503,_calc!$E$342))=0,"",INDEX('Checklist'!$E$4:$E$503,_calc!$E$342))&amp;". ")&amp;IF(LEN(IF(LEN(INDEX('Checklist'!$F$4:$F$503,_calc!$E$342))=0,"",INDEX('Checklist'!$F$4:$F$503,_calc!$E$342)))=0,"","Backup: "&amp;IF(LEN(INDEX('Checklist'!$F$4:$F$503,_calc!$E$342))=0,"",INDEX('Checklist'!$F$4:$F$503,_calc!$E$342))&amp;". ")&amp;IF(LEN(IF(LEN(INDEX('Checklist'!$J$4:$J$503,_calc!$E$342))=0,"",INDEX('Checklist'!$J$4:$J$503,_calc!$E$342)))=0,"","Evidence: "&amp;IF(LEN(INDEX('Checklist'!$J$4:$J$503,_calc!$E$342))=0,"",INDEX('Checklist'!$J$4:$J$503,_calc!$E$342))&amp;". ")&amp;IF(LEN(IF(LEN(INDEX('Checklist'!$D$4:$D$503,_calc!$E$342))=0,"",INDEX('Checklist'!$D$4:$D$503,_calc!$E$342)))=0,"","Rule example: "&amp;IF(LEN(INDEX('Checklist'!$D$4:$D$503,_calc!$E$342))=0,"",INDEX('Checklist'!$D$4:$D$503,_calc!$E$342))&amp;". ")&amp;IF(LEN(IF(LEN(INDEX('Checklist'!$P$4:$P$503,_calc!$E$342))=0,"",INDEX('Checklist'!$P$4:$P$503,_calc!$E$342)))=0,"",IF(LEN(INDEX('Checklist'!$P$4:$P$503,_calc!$E$342))=0,"",INDEX('Checklist'!$P$4:$P$503,_calc!$E$342)))))</f>
        <v/>
      </c>
      <c r="K340" s="44">
        <f>IF(_calc!$E$342="","",IF(LEN(INDEX('Checklist'!$G$4:$G$503,_calc!$E$342))=0,"",INDEX('Checklist'!$G$4:$G$503,_calc!$E$342)))</f>
        <v/>
      </c>
    </row>
    <row r="341">
      <c r="A341" s="44">
        <f>IF(_calc!$E$343="","","Survey check – "&amp;IF(LEN(INDEX('Checklist'!$C$4:$C$503,_calc!$E$343))=0,"",INDEX('Checklist'!$C$4:$C$503,_calc!$E$343)))</f>
        <v/>
      </c>
      <c r="B341" s="44">
        <f>IF(_calc!$E$343="","",IF(ISNUMBER(INDEX('Checklist'!$L$4:$L$503,_calc!$E$343)),TEXT(INDEX('Checklist'!$L$4:$L$503,_calc!$E$343),"yyyy-mm-dd"),""))</f>
        <v/>
      </c>
      <c r="C341" s="44">
        <f>IF(_calc!$E$343="","","Survey readiness")</f>
        <v/>
      </c>
      <c r="D341" s="44">
        <f>IF(_calc!$E$343="","",IF(ISNUMBER(INDEX('Checklist'!$H$4:$H$503,_calc!$E$343)),TEXT(INDEX('Checklist'!$H$4:$H$503,_calc!$E$343),"yyyy-mm-dd"),""))</f>
        <v/>
      </c>
      <c r="F341" s="44">
        <f>IF(_calc!$E$343="","",TRIM(IF(LEN(IF(LEN(INDEX('Checklist'!$A$4:$A$503,_calc!$E$343))=0,"",INDEX('Checklist'!$A$4:$A$503,_calc!$E$343)))=0,"","Group: "&amp;IF(LEN(INDEX('Checklist'!$A$4:$A$503,_calc!$E$343))=0,"",INDEX('Checklist'!$A$4:$A$503,_calc!$E$343))&amp;". ")&amp;IF(LEN(IF(LEN(INDEX('Checklist'!$E$4:$E$503,_calc!$E$343))=0,"",INDEX('Checklist'!$E$4:$E$503,_calc!$E$343)))=0,"","Owner: "&amp;IF(LEN(INDEX('Checklist'!$E$4:$E$503,_calc!$E$343))=0,"",INDEX('Checklist'!$E$4:$E$503,_calc!$E$343))&amp;". ")&amp;IF(LEN(IF(LEN(INDEX('Checklist'!$F$4:$F$503,_calc!$E$343))=0,"",INDEX('Checklist'!$F$4:$F$503,_calc!$E$343)))=0,"","Backup: "&amp;IF(LEN(INDEX('Checklist'!$F$4:$F$503,_calc!$E$343))=0,"",INDEX('Checklist'!$F$4:$F$503,_calc!$E$343))&amp;". ")&amp;IF(LEN(IF(LEN(INDEX('Checklist'!$J$4:$J$503,_calc!$E$343))=0,"",INDEX('Checklist'!$J$4:$J$503,_calc!$E$343)))=0,"","Evidence: "&amp;IF(LEN(INDEX('Checklist'!$J$4:$J$503,_calc!$E$343))=0,"",INDEX('Checklist'!$J$4:$J$503,_calc!$E$343))&amp;". ")&amp;IF(LEN(IF(LEN(INDEX('Checklist'!$D$4:$D$503,_calc!$E$343))=0,"",INDEX('Checklist'!$D$4:$D$503,_calc!$E$343)))=0,"","Rule example: "&amp;IF(LEN(INDEX('Checklist'!$D$4:$D$503,_calc!$E$343))=0,"",INDEX('Checklist'!$D$4:$D$503,_calc!$E$343))&amp;". ")&amp;IF(LEN(IF(LEN(INDEX('Checklist'!$P$4:$P$503,_calc!$E$343))=0,"",INDEX('Checklist'!$P$4:$P$503,_calc!$E$343)))=0,"",IF(LEN(INDEX('Checklist'!$P$4:$P$503,_calc!$E$343))=0,"",INDEX('Checklist'!$P$4:$P$503,_calc!$E$343)))))</f>
        <v/>
      </c>
      <c r="K341" s="44">
        <f>IF(_calc!$E$343="","",IF(LEN(INDEX('Checklist'!$G$4:$G$503,_calc!$E$343))=0,"",INDEX('Checklist'!$G$4:$G$503,_calc!$E$343)))</f>
        <v/>
      </c>
    </row>
    <row r="342">
      <c r="A342" s="44">
        <f>IF(_calc!$E$344="","","Survey check – "&amp;IF(LEN(INDEX('Checklist'!$C$4:$C$503,_calc!$E$344))=0,"",INDEX('Checklist'!$C$4:$C$503,_calc!$E$344)))</f>
        <v/>
      </c>
      <c r="B342" s="44">
        <f>IF(_calc!$E$344="","",IF(ISNUMBER(INDEX('Checklist'!$L$4:$L$503,_calc!$E$344)),TEXT(INDEX('Checklist'!$L$4:$L$503,_calc!$E$344),"yyyy-mm-dd"),""))</f>
        <v/>
      </c>
      <c r="C342" s="44">
        <f>IF(_calc!$E$344="","","Survey readiness")</f>
        <v/>
      </c>
      <c r="D342" s="44">
        <f>IF(_calc!$E$344="","",IF(ISNUMBER(INDEX('Checklist'!$H$4:$H$503,_calc!$E$344)),TEXT(INDEX('Checklist'!$H$4:$H$503,_calc!$E$344),"yyyy-mm-dd"),""))</f>
        <v/>
      </c>
      <c r="F342" s="44">
        <f>IF(_calc!$E$344="","",TRIM(IF(LEN(IF(LEN(INDEX('Checklist'!$A$4:$A$503,_calc!$E$344))=0,"",INDEX('Checklist'!$A$4:$A$503,_calc!$E$344)))=0,"","Group: "&amp;IF(LEN(INDEX('Checklist'!$A$4:$A$503,_calc!$E$344))=0,"",INDEX('Checklist'!$A$4:$A$503,_calc!$E$344))&amp;". ")&amp;IF(LEN(IF(LEN(INDEX('Checklist'!$E$4:$E$503,_calc!$E$344))=0,"",INDEX('Checklist'!$E$4:$E$503,_calc!$E$344)))=0,"","Owner: "&amp;IF(LEN(INDEX('Checklist'!$E$4:$E$503,_calc!$E$344))=0,"",INDEX('Checklist'!$E$4:$E$503,_calc!$E$344))&amp;". ")&amp;IF(LEN(IF(LEN(INDEX('Checklist'!$F$4:$F$503,_calc!$E$344))=0,"",INDEX('Checklist'!$F$4:$F$503,_calc!$E$344)))=0,"","Backup: "&amp;IF(LEN(INDEX('Checklist'!$F$4:$F$503,_calc!$E$344))=0,"",INDEX('Checklist'!$F$4:$F$503,_calc!$E$344))&amp;". ")&amp;IF(LEN(IF(LEN(INDEX('Checklist'!$J$4:$J$503,_calc!$E$344))=0,"",INDEX('Checklist'!$J$4:$J$503,_calc!$E$344)))=0,"","Evidence: "&amp;IF(LEN(INDEX('Checklist'!$J$4:$J$503,_calc!$E$344))=0,"",INDEX('Checklist'!$J$4:$J$503,_calc!$E$344))&amp;". ")&amp;IF(LEN(IF(LEN(INDEX('Checklist'!$D$4:$D$503,_calc!$E$344))=0,"",INDEX('Checklist'!$D$4:$D$503,_calc!$E$344)))=0,"","Rule example: "&amp;IF(LEN(INDEX('Checklist'!$D$4:$D$503,_calc!$E$344))=0,"",INDEX('Checklist'!$D$4:$D$503,_calc!$E$344))&amp;". ")&amp;IF(LEN(IF(LEN(INDEX('Checklist'!$P$4:$P$503,_calc!$E$344))=0,"",INDEX('Checklist'!$P$4:$P$503,_calc!$E$344)))=0,"",IF(LEN(INDEX('Checklist'!$P$4:$P$503,_calc!$E$344))=0,"",INDEX('Checklist'!$P$4:$P$503,_calc!$E$344)))))</f>
        <v/>
      </c>
      <c r="K342" s="44">
        <f>IF(_calc!$E$344="","",IF(LEN(INDEX('Checklist'!$G$4:$G$503,_calc!$E$344))=0,"",INDEX('Checklist'!$G$4:$G$503,_calc!$E$344)))</f>
        <v/>
      </c>
    </row>
    <row r="343">
      <c r="A343" s="44">
        <f>IF(_calc!$E$345="","","Survey check – "&amp;IF(LEN(INDEX('Checklist'!$C$4:$C$503,_calc!$E$345))=0,"",INDEX('Checklist'!$C$4:$C$503,_calc!$E$345)))</f>
        <v/>
      </c>
      <c r="B343" s="44">
        <f>IF(_calc!$E$345="","",IF(ISNUMBER(INDEX('Checklist'!$L$4:$L$503,_calc!$E$345)),TEXT(INDEX('Checklist'!$L$4:$L$503,_calc!$E$345),"yyyy-mm-dd"),""))</f>
        <v/>
      </c>
      <c r="C343" s="44">
        <f>IF(_calc!$E$345="","","Survey readiness")</f>
        <v/>
      </c>
      <c r="D343" s="44">
        <f>IF(_calc!$E$345="","",IF(ISNUMBER(INDEX('Checklist'!$H$4:$H$503,_calc!$E$345)),TEXT(INDEX('Checklist'!$H$4:$H$503,_calc!$E$345),"yyyy-mm-dd"),""))</f>
        <v/>
      </c>
      <c r="F343" s="44">
        <f>IF(_calc!$E$345="","",TRIM(IF(LEN(IF(LEN(INDEX('Checklist'!$A$4:$A$503,_calc!$E$345))=0,"",INDEX('Checklist'!$A$4:$A$503,_calc!$E$345)))=0,"","Group: "&amp;IF(LEN(INDEX('Checklist'!$A$4:$A$503,_calc!$E$345))=0,"",INDEX('Checklist'!$A$4:$A$503,_calc!$E$345))&amp;". ")&amp;IF(LEN(IF(LEN(INDEX('Checklist'!$E$4:$E$503,_calc!$E$345))=0,"",INDEX('Checklist'!$E$4:$E$503,_calc!$E$345)))=0,"","Owner: "&amp;IF(LEN(INDEX('Checklist'!$E$4:$E$503,_calc!$E$345))=0,"",INDEX('Checklist'!$E$4:$E$503,_calc!$E$345))&amp;". ")&amp;IF(LEN(IF(LEN(INDEX('Checklist'!$F$4:$F$503,_calc!$E$345))=0,"",INDEX('Checklist'!$F$4:$F$503,_calc!$E$345)))=0,"","Backup: "&amp;IF(LEN(INDEX('Checklist'!$F$4:$F$503,_calc!$E$345))=0,"",INDEX('Checklist'!$F$4:$F$503,_calc!$E$345))&amp;". ")&amp;IF(LEN(IF(LEN(INDEX('Checklist'!$J$4:$J$503,_calc!$E$345))=0,"",INDEX('Checklist'!$J$4:$J$503,_calc!$E$345)))=0,"","Evidence: "&amp;IF(LEN(INDEX('Checklist'!$J$4:$J$503,_calc!$E$345))=0,"",INDEX('Checklist'!$J$4:$J$503,_calc!$E$345))&amp;". ")&amp;IF(LEN(IF(LEN(INDEX('Checklist'!$D$4:$D$503,_calc!$E$345))=0,"",INDEX('Checklist'!$D$4:$D$503,_calc!$E$345)))=0,"","Rule example: "&amp;IF(LEN(INDEX('Checklist'!$D$4:$D$503,_calc!$E$345))=0,"",INDEX('Checklist'!$D$4:$D$503,_calc!$E$345))&amp;". ")&amp;IF(LEN(IF(LEN(INDEX('Checklist'!$P$4:$P$503,_calc!$E$345))=0,"",INDEX('Checklist'!$P$4:$P$503,_calc!$E$345)))=0,"",IF(LEN(INDEX('Checklist'!$P$4:$P$503,_calc!$E$345))=0,"",INDEX('Checklist'!$P$4:$P$503,_calc!$E$345)))))</f>
        <v/>
      </c>
      <c r="K343" s="44">
        <f>IF(_calc!$E$345="","",IF(LEN(INDEX('Checklist'!$G$4:$G$503,_calc!$E$345))=0,"",INDEX('Checklist'!$G$4:$G$503,_calc!$E$345)))</f>
        <v/>
      </c>
    </row>
    <row r="344">
      <c r="A344" s="44">
        <f>IF(_calc!$E$346="","","Survey check – "&amp;IF(LEN(INDEX('Checklist'!$C$4:$C$503,_calc!$E$346))=0,"",INDEX('Checklist'!$C$4:$C$503,_calc!$E$346)))</f>
        <v/>
      </c>
      <c r="B344" s="44">
        <f>IF(_calc!$E$346="","",IF(ISNUMBER(INDEX('Checklist'!$L$4:$L$503,_calc!$E$346)),TEXT(INDEX('Checklist'!$L$4:$L$503,_calc!$E$346),"yyyy-mm-dd"),""))</f>
        <v/>
      </c>
      <c r="C344" s="44">
        <f>IF(_calc!$E$346="","","Survey readiness")</f>
        <v/>
      </c>
      <c r="D344" s="44">
        <f>IF(_calc!$E$346="","",IF(ISNUMBER(INDEX('Checklist'!$H$4:$H$503,_calc!$E$346)),TEXT(INDEX('Checklist'!$H$4:$H$503,_calc!$E$346),"yyyy-mm-dd"),""))</f>
        <v/>
      </c>
      <c r="F344" s="44">
        <f>IF(_calc!$E$346="","",TRIM(IF(LEN(IF(LEN(INDEX('Checklist'!$A$4:$A$503,_calc!$E$346))=0,"",INDEX('Checklist'!$A$4:$A$503,_calc!$E$346)))=0,"","Group: "&amp;IF(LEN(INDEX('Checklist'!$A$4:$A$503,_calc!$E$346))=0,"",INDEX('Checklist'!$A$4:$A$503,_calc!$E$346))&amp;". ")&amp;IF(LEN(IF(LEN(INDEX('Checklist'!$E$4:$E$503,_calc!$E$346))=0,"",INDEX('Checklist'!$E$4:$E$503,_calc!$E$346)))=0,"","Owner: "&amp;IF(LEN(INDEX('Checklist'!$E$4:$E$503,_calc!$E$346))=0,"",INDEX('Checklist'!$E$4:$E$503,_calc!$E$346))&amp;". ")&amp;IF(LEN(IF(LEN(INDEX('Checklist'!$F$4:$F$503,_calc!$E$346))=0,"",INDEX('Checklist'!$F$4:$F$503,_calc!$E$346)))=0,"","Backup: "&amp;IF(LEN(INDEX('Checklist'!$F$4:$F$503,_calc!$E$346))=0,"",INDEX('Checklist'!$F$4:$F$503,_calc!$E$346))&amp;". ")&amp;IF(LEN(IF(LEN(INDEX('Checklist'!$J$4:$J$503,_calc!$E$346))=0,"",INDEX('Checklist'!$J$4:$J$503,_calc!$E$346)))=0,"","Evidence: "&amp;IF(LEN(INDEX('Checklist'!$J$4:$J$503,_calc!$E$346))=0,"",INDEX('Checklist'!$J$4:$J$503,_calc!$E$346))&amp;". ")&amp;IF(LEN(IF(LEN(INDEX('Checklist'!$D$4:$D$503,_calc!$E$346))=0,"",INDEX('Checklist'!$D$4:$D$503,_calc!$E$346)))=0,"","Rule example: "&amp;IF(LEN(INDEX('Checklist'!$D$4:$D$503,_calc!$E$346))=0,"",INDEX('Checklist'!$D$4:$D$503,_calc!$E$346))&amp;". ")&amp;IF(LEN(IF(LEN(INDEX('Checklist'!$P$4:$P$503,_calc!$E$346))=0,"",INDEX('Checklist'!$P$4:$P$503,_calc!$E$346)))=0,"",IF(LEN(INDEX('Checklist'!$P$4:$P$503,_calc!$E$346))=0,"",INDEX('Checklist'!$P$4:$P$503,_calc!$E$346)))))</f>
        <v/>
      </c>
      <c r="K344" s="44">
        <f>IF(_calc!$E$346="","",IF(LEN(INDEX('Checklist'!$G$4:$G$503,_calc!$E$346))=0,"",INDEX('Checklist'!$G$4:$G$503,_calc!$E$346)))</f>
        <v/>
      </c>
    </row>
    <row r="345">
      <c r="A345" s="44">
        <f>IF(_calc!$E$347="","","Survey check – "&amp;IF(LEN(INDEX('Checklist'!$C$4:$C$503,_calc!$E$347))=0,"",INDEX('Checklist'!$C$4:$C$503,_calc!$E$347)))</f>
        <v/>
      </c>
      <c r="B345" s="44">
        <f>IF(_calc!$E$347="","",IF(ISNUMBER(INDEX('Checklist'!$L$4:$L$503,_calc!$E$347)),TEXT(INDEX('Checklist'!$L$4:$L$503,_calc!$E$347),"yyyy-mm-dd"),""))</f>
        <v/>
      </c>
      <c r="C345" s="44">
        <f>IF(_calc!$E$347="","","Survey readiness")</f>
        <v/>
      </c>
      <c r="D345" s="44">
        <f>IF(_calc!$E$347="","",IF(ISNUMBER(INDEX('Checklist'!$H$4:$H$503,_calc!$E$347)),TEXT(INDEX('Checklist'!$H$4:$H$503,_calc!$E$347),"yyyy-mm-dd"),""))</f>
        <v/>
      </c>
      <c r="F345" s="44">
        <f>IF(_calc!$E$347="","",TRIM(IF(LEN(IF(LEN(INDEX('Checklist'!$A$4:$A$503,_calc!$E$347))=0,"",INDEX('Checklist'!$A$4:$A$503,_calc!$E$347)))=0,"","Group: "&amp;IF(LEN(INDEX('Checklist'!$A$4:$A$503,_calc!$E$347))=0,"",INDEX('Checklist'!$A$4:$A$503,_calc!$E$347))&amp;". ")&amp;IF(LEN(IF(LEN(INDEX('Checklist'!$E$4:$E$503,_calc!$E$347))=0,"",INDEX('Checklist'!$E$4:$E$503,_calc!$E$347)))=0,"","Owner: "&amp;IF(LEN(INDEX('Checklist'!$E$4:$E$503,_calc!$E$347))=0,"",INDEX('Checklist'!$E$4:$E$503,_calc!$E$347))&amp;". ")&amp;IF(LEN(IF(LEN(INDEX('Checklist'!$F$4:$F$503,_calc!$E$347))=0,"",INDEX('Checklist'!$F$4:$F$503,_calc!$E$347)))=0,"","Backup: "&amp;IF(LEN(INDEX('Checklist'!$F$4:$F$503,_calc!$E$347))=0,"",INDEX('Checklist'!$F$4:$F$503,_calc!$E$347))&amp;". ")&amp;IF(LEN(IF(LEN(INDEX('Checklist'!$J$4:$J$503,_calc!$E$347))=0,"",INDEX('Checklist'!$J$4:$J$503,_calc!$E$347)))=0,"","Evidence: "&amp;IF(LEN(INDEX('Checklist'!$J$4:$J$503,_calc!$E$347))=0,"",INDEX('Checklist'!$J$4:$J$503,_calc!$E$347))&amp;". ")&amp;IF(LEN(IF(LEN(INDEX('Checklist'!$D$4:$D$503,_calc!$E$347))=0,"",INDEX('Checklist'!$D$4:$D$503,_calc!$E$347)))=0,"","Rule example: "&amp;IF(LEN(INDEX('Checklist'!$D$4:$D$503,_calc!$E$347))=0,"",INDEX('Checklist'!$D$4:$D$503,_calc!$E$347))&amp;". ")&amp;IF(LEN(IF(LEN(INDEX('Checklist'!$P$4:$P$503,_calc!$E$347))=0,"",INDEX('Checklist'!$P$4:$P$503,_calc!$E$347)))=0,"",IF(LEN(INDEX('Checklist'!$P$4:$P$503,_calc!$E$347))=0,"",INDEX('Checklist'!$P$4:$P$503,_calc!$E$347)))))</f>
        <v/>
      </c>
      <c r="K345" s="44">
        <f>IF(_calc!$E$347="","",IF(LEN(INDEX('Checklist'!$G$4:$G$503,_calc!$E$347))=0,"",INDEX('Checklist'!$G$4:$G$503,_calc!$E$347)))</f>
        <v/>
      </c>
    </row>
    <row r="346">
      <c r="A346" s="44">
        <f>IF(_calc!$E$348="","","Survey check – "&amp;IF(LEN(INDEX('Checklist'!$C$4:$C$503,_calc!$E$348))=0,"",INDEX('Checklist'!$C$4:$C$503,_calc!$E$348)))</f>
        <v/>
      </c>
      <c r="B346" s="44">
        <f>IF(_calc!$E$348="","",IF(ISNUMBER(INDEX('Checklist'!$L$4:$L$503,_calc!$E$348)),TEXT(INDEX('Checklist'!$L$4:$L$503,_calc!$E$348),"yyyy-mm-dd"),""))</f>
        <v/>
      </c>
      <c r="C346" s="44">
        <f>IF(_calc!$E$348="","","Survey readiness")</f>
        <v/>
      </c>
      <c r="D346" s="44">
        <f>IF(_calc!$E$348="","",IF(ISNUMBER(INDEX('Checklist'!$H$4:$H$503,_calc!$E$348)),TEXT(INDEX('Checklist'!$H$4:$H$503,_calc!$E$348),"yyyy-mm-dd"),""))</f>
        <v/>
      </c>
      <c r="F346" s="44">
        <f>IF(_calc!$E$348="","",TRIM(IF(LEN(IF(LEN(INDEX('Checklist'!$A$4:$A$503,_calc!$E$348))=0,"",INDEX('Checklist'!$A$4:$A$503,_calc!$E$348)))=0,"","Group: "&amp;IF(LEN(INDEX('Checklist'!$A$4:$A$503,_calc!$E$348))=0,"",INDEX('Checklist'!$A$4:$A$503,_calc!$E$348))&amp;". ")&amp;IF(LEN(IF(LEN(INDEX('Checklist'!$E$4:$E$503,_calc!$E$348))=0,"",INDEX('Checklist'!$E$4:$E$503,_calc!$E$348)))=0,"","Owner: "&amp;IF(LEN(INDEX('Checklist'!$E$4:$E$503,_calc!$E$348))=0,"",INDEX('Checklist'!$E$4:$E$503,_calc!$E$348))&amp;". ")&amp;IF(LEN(IF(LEN(INDEX('Checklist'!$F$4:$F$503,_calc!$E$348))=0,"",INDEX('Checklist'!$F$4:$F$503,_calc!$E$348)))=0,"","Backup: "&amp;IF(LEN(INDEX('Checklist'!$F$4:$F$503,_calc!$E$348))=0,"",INDEX('Checklist'!$F$4:$F$503,_calc!$E$348))&amp;". ")&amp;IF(LEN(IF(LEN(INDEX('Checklist'!$J$4:$J$503,_calc!$E$348))=0,"",INDEX('Checklist'!$J$4:$J$503,_calc!$E$348)))=0,"","Evidence: "&amp;IF(LEN(INDEX('Checklist'!$J$4:$J$503,_calc!$E$348))=0,"",INDEX('Checklist'!$J$4:$J$503,_calc!$E$348))&amp;". ")&amp;IF(LEN(IF(LEN(INDEX('Checklist'!$D$4:$D$503,_calc!$E$348))=0,"",INDEX('Checklist'!$D$4:$D$503,_calc!$E$348)))=0,"","Rule example: "&amp;IF(LEN(INDEX('Checklist'!$D$4:$D$503,_calc!$E$348))=0,"",INDEX('Checklist'!$D$4:$D$503,_calc!$E$348))&amp;". ")&amp;IF(LEN(IF(LEN(INDEX('Checklist'!$P$4:$P$503,_calc!$E$348))=0,"",INDEX('Checklist'!$P$4:$P$503,_calc!$E$348)))=0,"",IF(LEN(INDEX('Checklist'!$P$4:$P$503,_calc!$E$348))=0,"",INDEX('Checklist'!$P$4:$P$503,_calc!$E$348)))))</f>
        <v/>
      </c>
      <c r="K346" s="44">
        <f>IF(_calc!$E$348="","",IF(LEN(INDEX('Checklist'!$G$4:$G$503,_calc!$E$348))=0,"",INDEX('Checklist'!$G$4:$G$503,_calc!$E$348)))</f>
        <v/>
      </c>
    </row>
    <row r="347">
      <c r="A347" s="44">
        <f>IF(_calc!$E$349="","","Survey check – "&amp;IF(LEN(INDEX('Checklist'!$C$4:$C$503,_calc!$E$349))=0,"",INDEX('Checklist'!$C$4:$C$503,_calc!$E$349)))</f>
        <v/>
      </c>
      <c r="B347" s="44">
        <f>IF(_calc!$E$349="","",IF(ISNUMBER(INDEX('Checklist'!$L$4:$L$503,_calc!$E$349)),TEXT(INDEX('Checklist'!$L$4:$L$503,_calc!$E$349),"yyyy-mm-dd"),""))</f>
        <v/>
      </c>
      <c r="C347" s="44">
        <f>IF(_calc!$E$349="","","Survey readiness")</f>
        <v/>
      </c>
      <c r="D347" s="44">
        <f>IF(_calc!$E$349="","",IF(ISNUMBER(INDEX('Checklist'!$H$4:$H$503,_calc!$E$349)),TEXT(INDEX('Checklist'!$H$4:$H$503,_calc!$E$349),"yyyy-mm-dd"),""))</f>
        <v/>
      </c>
      <c r="F347" s="44">
        <f>IF(_calc!$E$349="","",TRIM(IF(LEN(IF(LEN(INDEX('Checklist'!$A$4:$A$503,_calc!$E$349))=0,"",INDEX('Checklist'!$A$4:$A$503,_calc!$E$349)))=0,"","Group: "&amp;IF(LEN(INDEX('Checklist'!$A$4:$A$503,_calc!$E$349))=0,"",INDEX('Checklist'!$A$4:$A$503,_calc!$E$349))&amp;". ")&amp;IF(LEN(IF(LEN(INDEX('Checklist'!$E$4:$E$503,_calc!$E$349))=0,"",INDEX('Checklist'!$E$4:$E$503,_calc!$E$349)))=0,"","Owner: "&amp;IF(LEN(INDEX('Checklist'!$E$4:$E$503,_calc!$E$349))=0,"",INDEX('Checklist'!$E$4:$E$503,_calc!$E$349))&amp;". ")&amp;IF(LEN(IF(LEN(INDEX('Checklist'!$F$4:$F$503,_calc!$E$349))=0,"",INDEX('Checklist'!$F$4:$F$503,_calc!$E$349)))=0,"","Backup: "&amp;IF(LEN(INDEX('Checklist'!$F$4:$F$503,_calc!$E$349))=0,"",INDEX('Checklist'!$F$4:$F$503,_calc!$E$349))&amp;". ")&amp;IF(LEN(IF(LEN(INDEX('Checklist'!$J$4:$J$503,_calc!$E$349))=0,"",INDEX('Checklist'!$J$4:$J$503,_calc!$E$349)))=0,"","Evidence: "&amp;IF(LEN(INDEX('Checklist'!$J$4:$J$503,_calc!$E$349))=0,"",INDEX('Checklist'!$J$4:$J$503,_calc!$E$349))&amp;". ")&amp;IF(LEN(IF(LEN(INDEX('Checklist'!$D$4:$D$503,_calc!$E$349))=0,"",INDEX('Checklist'!$D$4:$D$503,_calc!$E$349)))=0,"","Rule example: "&amp;IF(LEN(INDEX('Checklist'!$D$4:$D$503,_calc!$E$349))=0,"",INDEX('Checklist'!$D$4:$D$503,_calc!$E$349))&amp;". ")&amp;IF(LEN(IF(LEN(INDEX('Checklist'!$P$4:$P$503,_calc!$E$349))=0,"",INDEX('Checklist'!$P$4:$P$503,_calc!$E$349)))=0,"",IF(LEN(INDEX('Checklist'!$P$4:$P$503,_calc!$E$349))=0,"",INDEX('Checklist'!$P$4:$P$503,_calc!$E$349)))))</f>
        <v/>
      </c>
      <c r="K347" s="44">
        <f>IF(_calc!$E$349="","",IF(LEN(INDEX('Checklist'!$G$4:$G$503,_calc!$E$349))=0,"",INDEX('Checklist'!$G$4:$G$503,_calc!$E$349)))</f>
        <v/>
      </c>
    </row>
    <row r="348">
      <c r="A348" s="44">
        <f>IF(_calc!$E$350="","","Survey check – "&amp;IF(LEN(INDEX('Checklist'!$C$4:$C$503,_calc!$E$350))=0,"",INDEX('Checklist'!$C$4:$C$503,_calc!$E$350)))</f>
        <v/>
      </c>
      <c r="B348" s="44">
        <f>IF(_calc!$E$350="","",IF(ISNUMBER(INDEX('Checklist'!$L$4:$L$503,_calc!$E$350)),TEXT(INDEX('Checklist'!$L$4:$L$503,_calc!$E$350),"yyyy-mm-dd"),""))</f>
        <v/>
      </c>
      <c r="C348" s="44">
        <f>IF(_calc!$E$350="","","Survey readiness")</f>
        <v/>
      </c>
      <c r="D348" s="44">
        <f>IF(_calc!$E$350="","",IF(ISNUMBER(INDEX('Checklist'!$H$4:$H$503,_calc!$E$350)),TEXT(INDEX('Checklist'!$H$4:$H$503,_calc!$E$350),"yyyy-mm-dd"),""))</f>
        <v/>
      </c>
      <c r="F348" s="44">
        <f>IF(_calc!$E$350="","",TRIM(IF(LEN(IF(LEN(INDEX('Checklist'!$A$4:$A$503,_calc!$E$350))=0,"",INDEX('Checklist'!$A$4:$A$503,_calc!$E$350)))=0,"","Group: "&amp;IF(LEN(INDEX('Checklist'!$A$4:$A$503,_calc!$E$350))=0,"",INDEX('Checklist'!$A$4:$A$503,_calc!$E$350))&amp;". ")&amp;IF(LEN(IF(LEN(INDEX('Checklist'!$E$4:$E$503,_calc!$E$350))=0,"",INDEX('Checklist'!$E$4:$E$503,_calc!$E$350)))=0,"","Owner: "&amp;IF(LEN(INDEX('Checklist'!$E$4:$E$503,_calc!$E$350))=0,"",INDEX('Checklist'!$E$4:$E$503,_calc!$E$350))&amp;". ")&amp;IF(LEN(IF(LEN(INDEX('Checklist'!$F$4:$F$503,_calc!$E$350))=0,"",INDEX('Checklist'!$F$4:$F$503,_calc!$E$350)))=0,"","Backup: "&amp;IF(LEN(INDEX('Checklist'!$F$4:$F$503,_calc!$E$350))=0,"",INDEX('Checklist'!$F$4:$F$503,_calc!$E$350))&amp;". ")&amp;IF(LEN(IF(LEN(INDEX('Checklist'!$J$4:$J$503,_calc!$E$350))=0,"",INDEX('Checklist'!$J$4:$J$503,_calc!$E$350)))=0,"","Evidence: "&amp;IF(LEN(INDEX('Checklist'!$J$4:$J$503,_calc!$E$350))=0,"",INDEX('Checklist'!$J$4:$J$503,_calc!$E$350))&amp;". ")&amp;IF(LEN(IF(LEN(INDEX('Checklist'!$D$4:$D$503,_calc!$E$350))=0,"",INDEX('Checklist'!$D$4:$D$503,_calc!$E$350)))=0,"","Rule example: "&amp;IF(LEN(INDEX('Checklist'!$D$4:$D$503,_calc!$E$350))=0,"",INDEX('Checklist'!$D$4:$D$503,_calc!$E$350))&amp;". ")&amp;IF(LEN(IF(LEN(INDEX('Checklist'!$P$4:$P$503,_calc!$E$350))=0,"",INDEX('Checklist'!$P$4:$P$503,_calc!$E$350)))=0,"",IF(LEN(INDEX('Checklist'!$P$4:$P$503,_calc!$E$350))=0,"",INDEX('Checklist'!$P$4:$P$503,_calc!$E$350)))))</f>
        <v/>
      </c>
      <c r="K348" s="44">
        <f>IF(_calc!$E$350="","",IF(LEN(INDEX('Checklist'!$G$4:$G$503,_calc!$E$350))=0,"",INDEX('Checklist'!$G$4:$G$503,_calc!$E$350)))</f>
        <v/>
      </c>
    </row>
    <row r="349">
      <c r="A349" s="44">
        <f>IF(_calc!$E$351="","","Survey check – "&amp;IF(LEN(INDEX('Checklist'!$C$4:$C$503,_calc!$E$351))=0,"",INDEX('Checklist'!$C$4:$C$503,_calc!$E$351)))</f>
        <v/>
      </c>
      <c r="B349" s="44">
        <f>IF(_calc!$E$351="","",IF(ISNUMBER(INDEX('Checklist'!$L$4:$L$503,_calc!$E$351)),TEXT(INDEX('Checklist'!$L$4:$L$503,_calc!$E$351),"yyyy-mm-dd"),""))</f>
        <v/>
      </c>
      <c r="C349" s="44">
        <f>IF(_calc!$E$351="","","Survey readiness")</f>
        <v/>
      </c>
      <c r="D349" s="44">
        <f>IF(_calc!$E$351="","",IF(ISNUMBER(INDEX('Checklist'!$H$4:$H$503,_calc!$E$351)),TEXT(INDEX('Checklist'!$H$4:$H$503,_calc!$E$351),"yyyy-mm-dd"),""))</f>
        <v/>
      </c>
      <c r="F349" s="44">
        <f>IF(_calc!$E$351="","",TRIM(IF(LEN(IF(LEN(INDEX('Checklist'!$A$4:$A$503,_calc!$E$351))=0,"",INDEX('Checklist'!$A$4:$A$503,_calc!$E$351)))=0,"","Group: "&amp;IF(LEN(INDEX('Checklist'!$A$4:$A$503,_calc!$E$351))=0,"",INDEX('Checklist'!$A$4:$A$503,_calc!$E$351))&amp;". ")&amp;IF(LEN(IF(LEN(INDEX('Checklist'!$E$4:$E$503,_calc!$E$351))=0,"",INDEX('Checklist'!$E$4:$E$503,_calc!$E$351)))=0,"","Owner: "&amp;IF(LEN(INDEX('Checklist'!$E$4:$E$503,_calc!$E$351))=0,"",INDEX('Checklist'!$E$4:$E$503,_calc!$E$351))&amp;". ")&amp;IF(LEN(IF(LEN(INDEX('Checklist'!$F$4:$F$503,_calc!$E$351))=0,"",INDEX('Checklist'!$F$4:$F$503,_calc!$E$351)))=0,"","Backup: "&amp;IF(LEN(INDEX('Checklist'!$F$4:$F$503,_calc!$E$351))=0,"",INDEX('Checklist'!$F$4:$F$503,_calc!$E$351))&amp;". ")&amp;IF(LEN(IF(LEN(INDEX('Checklist'!$J$4:$J$503,_calc!$E$351))=0,"",INDEX('Checklist'!$J$4:$J$503,_calc!$E$351)))=0,"","Evidence: "&amp;IF(LEN(INDEX('Checklist'!$J$4:$J$503,_calc!$E$351))=0,"",INDEX('Checklist'!$J$4:$J$503,_calc!$E$351))&amp;". ")&amp;IF(LEN(IF(LEN(INDEX('Checklist'!$D$4:$D$503,_calc!$E$351))=0,"",INDEX('Checklist'!$D$4:$D$503,_calc!$E$351)))=0,"","Rule example: "&amp;IF(LEN(INDEX('Checklist'!$D$4:$D$503,_calc!$E$351))=0,"",INDEX('Checklist'!$D$4:$D$503,_calc!$E$351))&amp;". ")&amp;IF(LEN(IF(LEN(INDEX('Checklist'!$P$4:$P$503,_calc!$E$351))=0,"",INDEX('Checklist'!$P$4:$P$503,_calc!$E$351)))=0,"",IF(LEN(INDEX('Checklist'!$P$4:$P$503,_calc!$E$351))=0,"",INDEX('Checklist'!$P$4:$P$503,_calc!$E$351)))))</f>
        <v/>
      </c>
      <c r="K349" s="44">
        <f>IF(_calc!$E$351="","",IF(LEN(INDEX('Checklist'!$G$4:$G$503,_calc!$E$351))=0,"",INDEX('Checklist'!$G$4:$G$503,_calc!$E$351)))</f>
        <v/>
      </c>
    </row>
    <row r="350">
      <c r="A350" s="44">
        <f>IF(_calc!$E$352="","","Survey check – "&amp;IF(LEN(INDEX('Checklist'!$C$4:$C$503,_calc!$E$352))=0,"",INDEX('Checklist'!$C$4:$C$503,_calc!$E$352)))</f>
        <v/>
      </c>
      <c r="B350" s="44">
        <f>IF(_calc!$E$352="","",IF(ISNUMBER(INDEX('Checklist'!$L$4:$L$503,_calc!$E$352)),TEXT(INDEX('Checklist'!$L$4:$L$503,_calc!$E$352),"yyyy-mm-dd"),""))</f>
        <v/>
      </c>
      <c r="C350" s="44">
        <f>IF(_calc!$E$352="","","Survey readiness")</f>
        <v/>
      </c>
      <c r="D350" s="44">
        <f>IF(_calc!$E$352="","",IF(ISNUMBER(INDEX('Checklist'!$H$4:$H$503,_calc!$E$352)),TEXT(INDEX('Checklist'!$H$4:$H$503,_calc!$E$352),"yyyy-mm-dd"),""))</f>
        <v/>
      </c>
      <c r="F350" s="44">
        <f>IF(_calc!$E$352="","",TRIM(IF(LEN(IF(LEN(INDEX('Checklist'!$A$4:$A$503,_calc!$E$352))=0,"",INDEX('Checklist'!$A$4:$A$503,_calc!$E$352)))=0,"","Group: "&amp;IF(LEN(INDEX('Checklist'!$A$4:$A$503,_calc!$E$352))=0,"",INDEX('Checklist'!$A$4:$A$503,_calc!$E$352))&amp;". ")&amp;IF(LEN(IF(LEN(INDEX('Checklist'!$E$4:$E$503,_calc!$E$352))=0,"",INDEX('Checklist'!$E$4:$E$503,_calc!$E$352)))=0,"","Owner: "&amp;IF(LEN(INDEX('Checklist'!$E$4:$E$503,_calc!$E$352))=0,"",INDEX('Checklist'!$E$4:$E$503,_calc!$E$352))&amp;". ")&amp;IF(LEN(IF(LEN(INDEX('Checklist'!$F$4:$F$503,_calc!$E$352))=0,"",INDEX('Checklist'!$F$4:$F$503,_calc!$E$352)))=0,"","Backup: "&amp;IF(LEN(INDEX('Checklist'!$F$4:$F$503,_calc!$E$352))=0,"",INDEX('Checklist'!$F$4:$F$503,_calc!$E$352))&amp;". ")&amp;IF(LEN(IF(LEN(INDEX('Checklist'!$J$4:$J$503,_calc!$E$352))=0,"",INDEX('Checklist'!$J$4:$J$503,_calc!$E$352)))=0,"","Evidence: "&amp;IF(LEN(INDEX('Checklist'!$J$4:$J$503,_calc!$E$352))=0,"",INDEX('Checklist'!$J$4:$J$503,_calc!$E$352))&amp;". ")&amp;IF(LEN(IF(LEN(INDEX('Checklist'!$D$4:$D$503,_calc!$E$352))=0,"",INDEX('Checklist'!$D$4:$D$503,_calc!$E$352)))=0,"","Rule example: "&amp;IF(LEN(INDEX('Checklist'!$D$4:$D$503,_calc!$E$352))=0,"",INDEX('Checklist'!$D$4:$D$503,_calc!$E$352))&amp;". ")&amp;IF(LEN(IF(LEN(INDEX('Checklist'!$P$4:$P$503,_calc!$E$352))=0,"",INDEX('Checklist'!$P$4:$P$503,_calc!$E$352)))=0,"",IF(LEN(INDEX('Checklist'!$P$4:$P$503,_calc!$E$352))=0,"",INDEX('Checklist'!$P$4:$P$503,_calc!$E$352)))))</f>
        <v/>
      </c>
      <c r="K350" s="44">
        <f>IF(_calc!$E$352="","",IF(LEN(INDEX('Checklist'!$G$4:$G$503,_calc!$E$352))=0,"",INDEX('Checklist'!$G$4:$G$503,_calc!$E$352)))</f>
        <v/>
      </c>
    </row>
    <row r="351">
      <c r="A351" s="44">
        <f>IF(_calc!$E$353="","","Survey check – "&amp;IF(LEN(INDEX('Checklist'!$C$4:$C$503,_calc!$E$353))=0,"",INDEX('Checklist'!$C$4:$C$503,_calc!$E$353)))</f>
        <v/>
      </c>
      <c r="B351" s="44">
        <f>IF(_calc!$E$353="","",IF(ISNUMBER(INDEX('Checklist'!$L$4:$L$503,_calc!$E$353)),TEXT(INDEX('Checklist'!$L$4:$L$503,_calc!$E$353),"yyyy-mm-dd"),""))</f>
        <v/>
      </c>
      <c r="C351" s="44">
        <f>IF(_calc!$E$353="","","Survey readiness")</f>
        <v/>
      </c>
      <c r="D351" s="44">
        <f>IF(_calc!$E$353="","",IF(ISNUMBER(INDEX('Checklist'!$H$4:$H$503,_calc!$E$353)),TEXT(INDEX('Checklist'!$H$4:$H$503,_calc!$E$353),"yyyy-mm-dd"),""))</f>
        <v/>
      </c>
      <c r="F351" s="44">
        <f>IF(_calc!$E$353="","",TRIM(IF(LEN(IF(LEN(INDEX('Checklist'!$A$4:$A$503,_calc!$E$353))=0,"",INDEX('Checklist'!$A$4:$A$503,_calc!$E$353)))=0,"","Group: "&amp;IF(LEN(INDEX('Checklist'!$A$4:$A$503,_calc!$E$353))=0,"",INDEX('Checklist'!$A$4:$A$503,_calc!$E$353))&amp;". ")&amp;IF(LEN(IF(LEN(INDEX('Checklist'!$E$4:$E$503,_calc!$E$353))=0,"",INDEX('Checklist'!$E$4:$E$503,_calc!$E$353)))=0,"","Owner: "&amp;IF(LEN(INDEX('Checklist'!$E$4:$E$503,_calc!$E$353))=0,"",INDEX('Checklist'!$E$4:$E$503,_calc!$E$353))&amp;". ")&amp;IF(LEN(IF(LEN(INDEX('Checklist'!$F$4:$F$503,_calc!$E$353))=0,"",INDEX('Checklist'!$F$4:$F$503,_calc!$E$353)))=0,"","Backup: "&amp;IF(LEN(INDEX('Checklist'!$F$4:$F$503,_calc!$E$353))=0,"",INDEX('Checklist'!$F$4:$F$503,_calc!$E$353))&amp;". ")&amp;IF(LEN(IF(LEN(INDEX('Checklist'!$J$4:$J$503,_calc!$E$353))=0,"",INDEX('Checklist'!$J$4:$J$503,_calc!$E$353)))=0,"","Evidence: "&amp;IF(LEN(INDEX('Checklist'!$J$4:$J$503,_calc!$E$353))=0,"",INDEX('Checklist'!$J$4:$J$503,_calc!$E$353))&amp;". ")&amp;IF(LEN(IF(LEN(INDEX('Checklist'!$D$4:$D$503,_calc!$E$353))=0,"",INDEX('Checklist'!$D$4:$D$503,_calc!$E$353)))=0,"","Rule example: "&amp;IF(LEN(INDEX('Checklist'!$D$4:$D$503,_calc!$E$353))=0,"",INDEX('Checklist'!$D$4:$D$503,_calc!$E$353))&amp;". ")&amp;IF(LEN(IF(LEN(INDEX('Checklist'!$P$4:$P$503,_calc!$E$353))=0,"",INDEX('Checklist'!$P$4:$P$503,_calc!$E$353)))=0,"",IF(LEN(INDEX('Checklist'!$P$4:$P$503,_calc!$E$353))=0,"",INDEX('Checklist'!$P$4:$P$503,_calc!$E$353)))))</f>
        <v/>
      </c>
      <c r="K351" s="44">
        <f>IF(_calc!$E$353="","",IF(LEN(INDEX('Checklist'!$G$4:$G$503,_calc!$E$353))=0,"",INDEX('Checklist'!$G$4:$G$503,_calc!$E$353)))</f>
        <v/>
      </c>
    </row>
    <row r="352">
      <c r="A352" s="44">
        <f>IF(_calc!$E$354="","","Survey check – "&amp;IF(LEN(INDEX('Checklist'!$C$4:$C$503,_calc!$E$354))=0,"",INDEX('Checklist'!$C$4:$C$503,_calc!$E$354)))</f>
        <v/>
      </c>
      <c r="B352" s="44">
        <f>IF(_calc!$E$354="","",IF(ISNUMBER(INDEX('Checklist'!$L$4:$L$503,_calc!$E$354)),TEXT(INDEX('Checklist'!$L$4:$L$503,_calc!$E$354),"yyyy-mm-dd"),""))</f>
        <v/>
      </c>
      <c r="C352" s="44">
        <f>IF(_calc!$E$354="","","Survey readiness")</f>
        <v/>
      </c>
      <c r="D352" s="44">
        <f>IF(_calc!$E$354="","",IF(ISNUMBER(INDEX('Checklist'!$H$4:$H$503,_calc!$E$354)),TEXT(INDEX('Checklist'!$H$4:$H$503,_calc!$E$354),"yyyy-mm-dd"),""))</f>
        <v/>
      </c>
      <c r="F352" s="44">
        <f>IF(_calc!$E$354="","",TRIM(IF(LEN(IF(LEN(INDEX('Checklist'!$A$4:$A$503,_calc!$E$354))=0,"",INDEX('Checklist'!$A$4:$A$503,_calc!$E$354)))=0,"","Group: "&amp;IF(LEN(INDEX('Checklist'!$A$4:$A$503,_calc!$E$354))=0,"",INDEX('Checklist'!$A$4:$A$503,_calc!$E$354))&amp;". ")&amp;IF(LEN(IF(LEN(INDEX('Checklist'!$E$4:$E$503,_calc!$E$354))=0,"",INDEX('Checklist'!$E$4:$E$503,_calc!$E$354)))=0,"","Owner: "&amp;IF(LEN(INDEX('Checklist'!$E$4:$E$503,_calc!$E$354))=0,"",INDEX('Checklist'!$E$4:$E$503,_calc!$E$354))&amp;". ")&amp;IF(LEN(IF(LEN(INDEX('Checklist'!$F$4:$F$503,_calc!$E$354))=0,"",INDEX('Checklist'!$F$4:$F$503,_calc!$E$354)))=0,"","Backup: "&amp;IF(LEN(INDEX('Checklist'!$F$4:$F$503,_calc!$E$354))=0,"",INDEX('Checklist'!$F$4:$F$503,_calc!$E$354))&amp;". ")&amp;IF(LEN(IF(LEN(INDEX('Checklist'!$J$4:$J$503,_calc!$E$354))=0,"",INDEX('Checklist'!$J$4:$J$503,_calc!$E$354)))=0,"","Evidence: "&amp;IF(LEN(INDEX('Checklist'!$J$4:$J$503,_calc!$E$354))=0,"",INDEX('Checklist'!$J$4:$J$503,_calc!$E$354))&amp;". ")&amp;IF(LEN(IF(LEN(INDEX('Checklist'!$D$4:$D$503,_calc!$E$354))=0,"",INDEX('Checklist'!$D$4:$D$503,_calc!$E$354)))=0,"","Rule example: "&amp;IF(LEN(INDEX('Checklist'!$D$4:$D$503,_calc!$E$354))=0,"",INDEX('Checklist'!$D$4:$D$503,_calc!$E$354))&amp;". ")&amp;IF(LEN(IF(LEN(INDEX('Checklist'!$P$4:$P$503,_calc!$E$354))=0,"",INDEX('Checklist'!$P$4:$P$503,_calc!$E$354)))=0,"",IF(LEN(INDEX('Checklist'!$P$4:$P$503,_calc!$E$354))=0,"",INDEX('Checklist'!$P$4:$P$503,_calc!$E$354)))))</f>
        <v/>
      </c>
      <c r="K352" s="44">
        <f>IF(_calc!$E$354="","",IF(LEN(INDEX('Checklist'!$G$4:$G$503,_calc!$E$354))=0,"",INDEX('Checklist'!$G$4:$G$503,_calc!$E$354)))</f>
        <v/>
      </c>
    </row>
    <row r="353">
      <c r="A353" s="44">
        <f>IF(_calc!$E$355="","","Survey check – "&amp;IF(LEN(INDEX('Checklist'!$C$4:$C$503,_calc!$E$355))=0,"",INDEX('Checklist'!$C$4:$C$503,_calc!$E$355)))</f>
        <v/>
      </c>
      <c r="B353" s="44">
        <f>IF(_calc!$E$355="","",IF(ISNUMBER(INDEX('Checklist'!$L$4:$L$503,_calc!$E$355)),TEXT(INDEX('Checklist'!$L$4:$L$503,_calc!$E$355),"yyyy-mm-dd"),""))</f>
        <v/>
      </c>
      <c r="C353" s="44">
        <f>IF(_calc!$E$355="","","Survey readiness")</f>
        <v/>
      </c>
      <c r="D353" s="44">
        <f>IF(_calc!$E$355="","",IF(ISNUMBER(INDEX('Checklist'!$H$4:$H$503,_calc!$E$355)),TEXT(INDEX('Checklist'!$H$4:$H$503,_calc!$E$355),"yyyy-mm-dd"),""))</f>
        <v/>
      </c>
      <c r="F353" s="44">
        <f>IF(_calc!$E$355="","",TRIM(IF(LEN(IF(LEN(INDEX('Checklist'!$A$4:$A$503,_calc!$E$355))=0,"",INDEX('Checklist'!$A$4:$A$503,_calc!$E$355)))=0,"","Group: "&amp;IF(LEN(INDEX('Checklist'!$A$4:$A$503,_calc!$E$355))=0,"",INDEX('Checklist'!$A$4:$A$503,_calc!$E$355))&amp;". ")&amp;IF(LEN(IF(LEN(INDEX('Checklist'!$E$4:$E$503,_calc!$E$355))=0,"",INDEX('Checklist'!$E$4:$E$503,_calc!$E$355)))=0,"","Owner: "&amp;IF(LEN(INDEX('Checklist'!$E$4:$E$503,_calc!$E$355))=0,"",INDEX('Checklist'!$E$4:$E$503,_calc!$E$355))&amp;". ")&amp;IF(LEN(IF(LEN(INDEX('Checklist'!$F$4:$F$503,_calc!$E$355))=0,"",INDEX('Checklist'!$F$4:$F$503,_calc!$E$355)))=0,"","Backup: "&amp;IF(LEN(INDEX('Checklist'!$F$4:$F$503,_calc!$E$355))=0,"",INDEX('Checklist'!$F$4:$F$503,_calc!$E$355))&amp;". ")&amp;IF(LEN(IF(LEN(INDEX('Checklist'!$J$4:$J$503,_calc!$E$355))=0,"",INDEX('Checklist'!$J$4:$J$503,_calc!$E$355)))=0,"","Evidence: "&amp;IF(LEN(INDEX('Checklist'!$J$4:$J$503,_calc!$E$355))=0,"",INDEX('Checklist'!$J$4:$J$503,_calc!$E$355))&amp;". ")&amp;IF(LEN(IF(LEN(INDEX('Checklist'!$D$4:$D$503,_calc!$E$355))=0,"",INDEX('Checklist'!$D$4:$D$503,_calc!$E$355)))=0,"","Rule example: "&amp;IF(LEN(INDEX('Checklist'!$D$4:$D$503,_calc!$E$355))=0,"",INDEX('Checklist'!$D$4:$D$503,_calc!$E$355))&amp;". ")&amp;IF(LEN(IF(LEN(INDEX('Checklist'!$P$4:$P$503,_calc!$E$355))=0,"",INDEX('Checklist'!$P$4:$P$503,_calc!$E$355)))=0,"",IF(LEN(INDEX('Checklist'!$P$4:$P$503,_calc!$E$355))=0,"",INDEX('Checklist'!$P$4:$P$503,_calc!$E$355)))))</f>
        <v/>
      </c>
      <c r="K353" s="44">
        <f>IF(_calc!$E$355="","",IF(LEN(INDEX('Checklist'!$G$4:$G$503,_calc!$E$355))=0,"",INDEX('Checklist'!$G$4:$G$503,_calc!$E$355)))</f>
        <v/>
      </c>
    </row>
    <row r="354">
      <c r="A354" s="44">
        <f>IF(_calc!$E$356="","","Survey check – "&amp;IF(LEN(INDEX('Checklist'!$C$4:$C$503,_calc!$E$356))=0,"",INDEX('Checklist'!$C$4:$C$503,_calc!$E$356)))</f>
        <v/>
      </c>
      <c r="B354" s="44">
        <f>IF(_calc!$E$356="","",IF(ISNUMBER(INDEX('Checklist'!$L$4:$L$503,_calc!$E$356)),TEXT(INDEX('Checklist'!$L$4:$L$503,_calc!$E$356),"yyyy-mm-dd"),""))</f>
        <v/>
      </c>
      <c r="C354" s="44">
        <f>IF(_calc!$E$356="","","Survey readiness")</f>
        <v/>
      </c>
      <c r="D354" s="44">
        <f>IF(_calc!$E$356="","",IF(ISNUMBER(INDEX('Checklist'!$H$4:$H$503,_calc!$E$356)),TEXT(INDEX('Checklist'!$H$4:$H$503,_calc!$E$356),"yyyy-mm-dd"),""))</f>
        <v/>
      </c>
      <c r="F354" s="44">
        <f>IF(_calc!$E$356="","",TRIM(IF(LEN(IF(LEN(INDEX('Checklist'!$A$4:$A$503,_calc!$E$356))=0,"",INDEX('Checklist'!$A$4:$A$503,_calc!$E$356)))=0,"","Group: "&amp;IF(LEN(INDEX('Checklist'!$A$4:$A$503,_calc!$E$356))=0,"",INDEX('Checklist'!$A$4:$A$503,_calc!$E$356))&amp;". ")&amp;IF(LEN(IF(LEN(INDEX('Checklist'!$E$4:$E$503,_calc!$E$356))=0,"",INDEX('Checklist'!$E$4:$E$503,_calc!$E$356)))=0,"","Owner: "&amp;IF(LEN(INDEX('Checklist'!$E$4:$E$503,_calc!$E$356))=0,"",INDEX('Checklist'!$E$4:$E$503,_calc!$E$356))&amp;". ")&amp;IF(LEN(IF(LEN(INDEX('Checklist'!$F$4:$F$503,_calc!$E$356))=0,"",INDEX('Checklist'!$F$4:$F$503,_calc!$E$356)))=0,"","Backup: "&amp;IF(LEN(INDEX('Checklist'!$F$4:$F$503,_calc!$E$356))=0,"",INDEX('Checklist'!$F$4:$F$503,_calc!$E$356))&amp;". ")&amp;IF(LEN(IF(LEN(INDEX('Checklist'!$J$4:$J$503,_calc!$E$356))=0,"",INDEX('Checklist'!$J$4:$J$503,_calc!$E$356)))=0,"","Evidence: "&amp;IF(LEN(INDEX('Checklist'!$J$4:$J$503,_calc!$E$356))=0,"",INDEX('Checklist'!$J$4:$J$503,_calc!$E$356))&amp;". ")&amp;IF(LEN(IF(LEN(INDEX('Checklist'!$D$4:$D$503,_calc!$E$356))=0,"",INDEX('Checklist'!$D$4:$D$503,_calc!$E$356)))=0,"","Rule example: "&amp;IF(LEN(INDEX('Checklist'!$D$4:$D$503,_calc!$E$356))=0,"",INDEX('Checklist'!$D$4:$D$503,_calc!$E$356))&amp;". ")&amp;IF(LEN(IF(LEN(INDEX('Checklist'!$P$4:$P$503,_calc!$E$356))=0,"",INDEX('Checklist'!$P$4:$P$503,_calc!$E$356)))=0,"",IF(LEN(INDEX('Checklist'!$P$4:$P$503,_calc!$E$356))=0,"",INDEX('Checklist'!$P$4:$P$503,_calc!$E$356)))))</f>
        <v/>
      </c>
      <c r="K354" s="44">
        <f>IF(_calc!$E$356="","",IF(LEN(INDEX('Checklist'!$G$4:$G$503,_calc!$E$356))=0,"",INDEX('Checklist'!$G$4:$G$503,_calc!$E$356)))</f>
        <v/>
      </c>
    </row>
    <row r="355">
      <c r="A355" s="44">
        <f>IF(_calc!$E$357="","","Survey check – "&amp;IF(LEN(INDEX('Checklist'!$C$4:$C$503,_calc!$E$357))=0,"",INDEX('Checklist'!$C$4:$C$503,_calc!$E$357)))</f>
        <v/>
      </c>
      <c r="B355" s="44">
        <f>IF(_calc!$E$357="","",IF(ISNUMBER(INDEX('Checklist'!$L$4:$L$503,_calc!$E$357)),TEXT(INDEX('Checklist'!$L$4:$L$503,_calc!$E$357),"yyyy-mm-dd"),""))</f>
        <v/>
      </c>
      <c r="C355" s="44">
        <f>IF(_calc!$E$357="","","Survey readiness")</f>
        <v/>
      </c>
      <c r="D355" s="44">
        <f>IF(_calc!$E$357="","",IF(ISNUMBER(INDEX('Checklist'!$H$4:$H$503,_calc!$E$357)),TEXT(INDEX('Checklist'!$H$4:$H$503,_calc!$E$357),"yyyy-mm-dd"),""))</f>
        <v/>
      </c>
      <c r="F355" s="44">
        <f>IF(_calc!$E$357="","",TRIM(IF(LEN(IF(LEN(INDEX('Checklist'!$A$4:$A$503,_calc!$E$357))=0,"",INDEX('Checklist'!$A$4:$A$503,_calc!$E$357)))=0,"","Group: "&amp;IF(LEN(INDEX('Checklist'!$A$4:$A$503,_calc!$E$357))=0,"",INDEX('Checklist'!$A$4:$A$503,_calc!$E$357))&amp;". ")&amp;IF(LEN(IF(LEN(INDEX('Checklist'!$E$4:$E$503,_calc!$E$357))=0,"",INDEX('Checklist'!$E$4:$E$503,_calc!$E$357)))=0,"","Owner: "&amp;IF(LEN(INDEX('Checklist'!$E$4:$E$503,_calc!$E$357))=0,"",INDEX('Checklist'!$E$4:$E$503,_calc!$E$357))&amp;". ")&amp;IF(LEN(IF(LEN(INDEX('Checklist'!$F$4:$F$503,_calc!$E$357))=0,"",INDEX('Checklist'!$F$4:$F$503,_calc!$E$357)))=0,"","Backup: "&amp;IF(LEN(INDEX('Checklist'!$F$4:$F$503,_calc!$E$357))=0,"",INDEX('Checklist'!$F$4:$F$503,_calc!$E$357))&amp;". ")&amp;IF(LEN(IF(LEN(INDEX('Checklist'!$J$4:$J$503,_calc!$E$357))=0,"",INDEX('Checklist'!$J$4:$J$503,_calc!$E$357)))=0,"","Evidence: "&amp;IF(LEN(INDEX('Checklist'!$J$4:$J$503,_calc!$E$357))=0,"",INDEX('Checklist'!$J$4:$J$503,_calc!$E$357))&amp;". ")&amp;IF(LEN(IF(LEN(INDEX('Checklist'!$D$4:$D$503,_calc!$E$357))=0,"",INDEX('Checklist'!$D$4:$D$503,_calc!$E$357)))=0,"","Rule example: "&amp;IF(LEN(INDEX('Checklist'!$D$4:$D$503,_calc!$E$357))=0,"",INDEX('Checklist'!$D$4:$D$503,_calc!$E$357))&amp;". ")&amp;IF(LEN(IF(LEN(INDEX('Checklist'!$P$4:$P$503,_calc!$E$357))=0,"",INDEX('Checklist'!$P$4:$P$503,_calc!$E$357)))=0,"",IF(LEN(INDEX('Checklist'!$P$4:$P$503,_calc!$E$357))=0,"",INDEX('Checklist'!$P$4:$P$503,_calc!$E$357)))))</f>
        <v/>
      </c>
      <c r="K355" s="44">
        <f>IF(_calc!$E$357="","",IF(LEN(INDEX('Checklist'!$G$4:$G$503,_calc!$E$357))=0,"",INDEX('Checklist'!$G$4:$G$503,_calc!$E$357)))</f>
        <v/>
      </c>
    </row>
    <row r="356">
      <c r="A356" s="44">
        <f>IF(_calc!$E$358="","","Survey check – "&amp;IF(LEN(INDEX('Checklist'!$C$4:$C$503,_calc!$E$358))=0,"",INDEX('Checklist'!$C$4:$C$503,_calc!$E$358)))</f>
        <v/>
      </c>
      <c r="B356" s="44">
        <f>IF(_calc!$E$358="","",IF(ISNUMBER(INDEX('Checklist'!$L$4:$L$503,_calc!$E$358)),TEXT(INDEX('Checklist'!$L$4:$L$503,_calc!$E$358),"yyyy-mm-dd"),""))</f>
        <v/>
      </c>
      <c r="C356" s="44">
        <f>IF(_calc!$E$358="","","Survey readiness")</f>
        <v/>
      </c>
      <c r="D356" s="44">
        <f>IF(_calc!$E$358="","",IF(ISNUMBER(INDEX('Checklist'!$H$4:$H$503,_calc!$E$358)),TEXT(INDEX('Checklist'!$H$4:$H$503,_calc!$E$358),"yyyy-mm-dd"),""))</f>
        <v/>
      </c>
      <c r="F356" s="44">
        <f>IF(_calc!$E$358="","",TRIM(IF(LEN(IF(LEN(INDEX('Checklist'!$A$4:$A$503,_calc!$E$358))=0,"",INDEX('Checklist'!$A$4:$A$503,_calc!$E$358)))=0,"","Group: "&amp;IF(LEN(INDEX('Checklist'!$A$4:$A$503,_calc!$E$358))=0,"",INDEX('Checklist'!$A$4:$A$503,_calc!$E$358))&amp;". ")&amp;IF(LEN(IF(LEN(INDEX('Checklist'!$E$4:$E$503,_calc!$E$358))=0,"",INDEX('Checklist'!$E$4:$E$503,_calc!$E$358)))=0,"","Owner: "&amp;IF(LEN(INDEX('Checklist'!$E$4:$E$503,_calc!$E$358))=0,"",INDEX('Checklist'!$E$4:$E$503,_calc!$E$358))&amp;". ")&amp;IF(LEN(IF(LEN(INDEX('Checklist'!$F$4:$F$503,_calc!$E$358))=0,"",INDEX('Checklist'!$F$4:$F$503,_calc!$E$358)))=0,"","Backup: "&amp;IF(LEN(INDEX('Checklist'!$F$4:$F$503,_calc!$E$358))=0,"",INDEX('Checklist'!$F$4:$F$503,_calc!$E$358))&amp;". ")&amp;IF(LEN(IF(LEN(INDEX('Checklist'!$J$4:$J$503,_calc!$E$358))=0,"",INDEX('Checklist'!$J$4:$J$503,_calc!$E$358)))=0,"","Evidence: "&amp;IF(LEN(INDEX('Checklist'!$J$4:$J$503,_calc!$E$358))=0,"",INDEX('Checklist'!$J$4:$J$503,_calc!$E$358))&amp;". ")&amp;IF(LEN(IF(LEN(INDEX('Checklist'!$D$4:$D$503,_calc!$E$358))=0,"",INDEX('Checklist'!$D$4:$D$503,_calc!$E$358)))=0,"","Rule example: "&amp;IF(LEN(INDEX('Checklist'!$D$4:$D$503,_calc!$E$358))=0,"",INDEX('Checklist'!$D$4:$D$503,_calc!$E$358))&amp;". ")&amp;IF(LEN(IF(LEN(INDEX('Checklist'!$P$4:$P$503,_calc!$E$358))=0,"",INDEX('Checklist'!$P$4:$P$503,_calc!$E$358)))=0,"",IF(LEN(INDEX('Checklist'!$P$4:$P$503,_calc!$E$358))=0,"",INDEX('Checklist'!$P$4:$P$503,_calc!$E$358)))))</f>
        <v/>
      </c>
      <c r="K356" s="44">
        <f>IF(_calc!$E$358="","",IF(LEN(INDEX('Checklist'!$G$4:$G$503,_calc!$E$358))=0,"",INDEX('Checklist'!$G$4:$G$503,_calc!$E$358)))</f>
        <v/>
      </c>
    </row>
    <row r="357">
      <c r="A357" s="44">
        <f>IF(_calc!$E$359="","","Survey check – "&amp;IF(LEN(INDEX('Checklist'!$C$4:$C$503,_calc!$E$359))=0,"",INDEX('Checklist'!$C$4:$C$503,_calc!$E$359)))</f>
        <v/>
      </c>
      <c r="B357" s="44">
        <f>IF(_calc!$E$359="","",IF(ISNUMBER(INDEX('Checklist'!$L$4:$L$503,_calc!$E$359)),TEXT(INDEX('Checklist'!$L$4:$L$503,_calc!$E$359),"yyyy-mm-dd"),""))</f>
        <v/>
      </c>
      <c r="C357" s="44">
        <f>IF(_calc!$E$359="","","Survey readiness")</f>
        <v/>
      </c>
      <c r="D357" s="44">
        <f>IF(_calc!$E$359="","",IF(ISNUMBER(INDEX('Checklist'!$H$4:$H$503,_calc!$E$359)),TEXT(INDEX('Checklist'!$H$4:$H$503,_calc!$E$359),"yyyy-mm-dd"),""))</f>
        <v/>
      </c>
      <c r="F357" s="44">
        <f>IF(_calc!$E$359="","",TRIM(IF(LEN(IF(LEN(INDEX('Checklist'!$A$4:$A$503,_calc!$E$359))=0,"",INDEX('Checklist'!$A$4:$A$503,_calc!$E$359)))=0,"","Group: "&amp;IF(LEN(INDEX('Checklist'!$A$4:$A$503,_calc!$E$359))=0,"",INDEX('Checklist'!$A$4:$A$503,_calc!$E$359))&amp;". ")&amp;IF(LEN(IF(LEN(INDEX('Checklist'!$E$4:$E$503,_calc!$E$359))=0,"",INDEX('Checklist'!$E$4:$E$503,_calc!$E$359)))=0,"","Owner: "&amp;IF(LEN(INDEX('Checklist'!$E$4:$E$503,_calc!$E$359))=0,"",INDEX('Checklist'!$E$4:$E$503,_calc!$E$359))&amp;". ")&amp;IF(LEN(IF(LEN(INDEX('Checklist'!$F$4:$F$503,_calc!$E$359))=0,"",INDEX('Checklist'!$F$4:$F$503,_calc!$E$359)))=0,"","Backup: "&amp;IF(LEN(INDEX('Checklist'!$F$4:$F$503,_calc!$E$359))=0,"",INDEX('Checklist'!$F$4:$F$503,_calc!$E$359))&amp;". ")&amp;IF(LEN(IF(LEN(INDEX('Checklist'!$J$4:$J$503,_calc!$E$359))=0,"",INDEX('Checklist'!$J$4:$J$503,_calc!$E$359)))=0,"","Evidence: "&amp;IF(LEN(INDEX('Checklist'!$J$4:$J$503,_calc!$E$359))=0,"",INDEX('Checklist'!$J$4:$J$503,_calc!$E$359))&amp;". ")&amp;IF(LEN(IF(LEN(INDEX('Checklist'!$D$4:$D$503,_calc!$E$359))=0,"",INDEX('Checklist'!$D$4:$D$503,_calc!$E$359)))=0,"","Rule example: "&amp;IF(LEN(INDEX('Checklist'!$D$4:$D$503,_calc!$E$359))=0,"",INDEX('Checklist'!$D$4:$D$503,_calc!$E$359))&amp;". ")&amp;IF(LEN(IF(LEN(INDEX('Checklist'!$P$4:$P$503,_calc!$E$359))=0,"",INDEX('Checklist'!$P$4:$P$503,_calc!$E$359)))=0,"",IF(LEN(INDEX('Checklist'!$P$4:$P$503,_calc!$E$359))=0,"",INDEX('Checklist'!$P$4:$P$503,_calc!$E$359)))))</f>
        <v/>
      </c>
      <c r="K357" s="44">
        <f>IF(_calc!$E$359="","",IF(LEN(INDEX('Checklist'!$G$4:$G$503,_calc!$E$359))=0,"",INDEX('Checklist'!$G$4:$G$503,_calc!$E$359)))</f>
        <v/>
      </c>
    </row>
    <row r="358">
      <c r="A358" s="44">
        <f>IF(_calc!$E$360="","","Survey check – "&amp;IF(LEN(INDEX('Checklist'!$C$4:$C$503,_calc!$E$360))=0,"",INDEX('Checklist'!$C$4:$C$503,_calc!$E$360)))</f>
        <v/>
      </c>
      <c r="B358" s="44">
        <f>IF(_calc!$E$360="","",IF(ISNUMBER(INDEX('Checklist'!$L$4:$L$503,_calc!$E$360)),TEXT(INDEX('Checklist'!$L$4:$L$503,_calc!$E$360),"yyyy-mm-dd"),""))</f>
        <v/>
      </c>
      <c r="C358" s="44">
        <f>IF(_calc!$E$360="","","Survey readiness")</f>
        <v/>
      </c>
      <c r="D358" s="44">
        <f>IF(_calc!$E$360="","",IF(ISNUMBER(INDEX('Checklist'!$H$4:$H$503,_calc!$E$360)),TEXT(INDEX('Checklist'!$H$4:$H$503,_calc!$E$360),"yyyy-mm-dd"),""))</f>
        <v/>
      </c>
      <c r="F358" s="44">
        <f>IF(_calc!$E$360="","",TRIM(IF(LEN(IF(LEN(INDEX('Checklist'!$A$4:$A$503,_calc!$E$360))=0,"",INDEX('Checklist'!$A$4:$A$503,_calc!$E$360)))=0,"","Group: "&amp;IF(LEN(INDEX('Checklist'!$A$4:$A$503,_calc!$E$360))=0,"",INDEX('Checklist'!$A$4:$A$503,_calc!$E$360))&amp;". ")&amp;IF(LEN(IF(LEN(INDEX('Checklist'!$E$4:$E$503,_calc!$E$360))=0,"",INDEX('Checklist'!$E$4:$E$503,_calc!$E$360)))=0,"","Owner: "&amp;IF(LEN(INDEX('Checklist'!$E$4:$E$503,_calc!$E$360))=0,"",INDEX('Checklist'!$E$4:$E$503,_calc!$E$360))&amp;". ")&amp;IF(LEN(IF(LEN(INDEX('Checklist'!$F$4:$F$503,_calc!$E$360))=0,"",INDEX('Checklist'!$F$4:$F$503,_calc!$E$360)))=0,"","Backup: "&amp;IF(LEN(INDEX('Checklist'!$F$4:$F$503,_calc!$E$360))=0,"",INDEX('Checklist'!$F$4:$F$503,_calc!$E$360))&amp;". ")&amp;IF(LEN(IF(LEN(INDEX('Checklist'!$J$4:$J$503,_calc!$E$360))=0,"",INDEX('Checklist'!$J$4:$J$503,_calc!$E$360)))=0,"","Evidence: "&amp;IF(LEN(INDEX('Checklist'!$J$4:$J$503,_calc!$E$360))=0,"",INDEX('Checklist'!$J$4:$J$503,_calc!$E$360))&amp;". ")&amp;IF(LEN(IF(LEN(INDEX('Checklist'!$D$4:$D$503,_calc!$E$360))=0,"",INDEX('Checklist'!$D$4:$D$503,_calc!$E$360)))=0,"","Rule example: "&amp;IF(LEN(INDEX('Checklist'!$D$4:$D$503,_calc!$E$360))=0,"",INDEX('Checklist'!$D$4:$D$503,_calc!$E$360))&amp;". ")&amp;IF(LEN(IF(LEN(INDEX('Checklist'!$P$4:$P$503,_calc!$E$360))=0,"",INDEX('Checklist'!$P$4:$P$503,_calc!$E$360)))=0,"",IF(LEN(INDEX('Checklist'!$P$4:$P$503,_calc!$E$360))=0,"",INDEX('Checklist'!$P$4:$P$503,_calc!$E$360)))))</f>
        <v/>
      </c>
      <c r="K358" s="44">
        <f>IF(_calc!$E$360="","",IF(LEN(INDEX('Checklist'!$G$4:$G$503,_calc!$E$360))=0,"",INDEX('Checklist'!$G$4:$G$503,_calc!$E$360)))</f>
        <v/>
      </c>
    </row>
    <row r="359">
      <c r="A359" s="44">
        <f>IF(_calc!$E$361="","","Survey check – "&amp;IF(LEN(INDEX('Checklist'!$C$4:$C$503,_calc!$E$361))=0,"",INDEX('Checklist'!$C$4:$C$503,_calc!$E$361)))</f>
        <v/>
      </c>
      <c r="B359" s="44">
        <f>IF(_calc!$E$361="","",IF(ISNUMBER(INDEX('Checklist'!$L$4:$L$503,_calc!$E$361)),TEXT(INDEX('Checklist'!$L$4:$L$503,_calc!$E$361),"yyyy-mm-dd"),""))</f>
        <v/>
      </c>
      <c r="C359" s="44">
        <f>IF(_calc!$E$361="","","Survey readiness")</f>
        <v/>
      </c>
      <c r="D359" s="44">
        <f>IF(_calc!$E$361="","",IF(ISNUMBER(INDEX('Checklist'!$H$4:$H$503,_calc!$E$361)),TEXT(INDEX('Checklist'!$H$4:$H$503,_calc!$E$361),"yyyy-mm-dd"),""))</f>
        <v/>
      </c>
      <c r="F359" s="44">
        <f>IF(_calc!$E$361="","",TRIM(IF(LEN(IF(LEN(INDEX('Checklist'!$A$4:$A$503,_calc!$E$361))=0,"",INDEX('Checklist'!$A$4:$A$503,_calc!$E$361)))=0,"","Group: "&amp;IF(LEN(INDEX('Checklist'!$A$4:$A$503,_calc!$E$361))=0,"",INDEX('Checklist'!$A$4:$A$503,_calc!$E$361))&amp;". ")&amp;IF(LEN(IF(LEN(INDEX('Checklist'!$E$4:$E$503,_calc!$E$361))=0,"",INDEX('Checklist'!$E$4:$E$503,_calc!$E$361)))=0,"","Owner: "&amp;IF(LEN(INDEX('Checklist'!$E$4:$E$503,_calc!$E$361))=0,"",INDEX('Checklist'!$E$4:$E$503,_calc!$E$361))&amp;". ")&amp;IF(LEN(IF(LEN(INDEX('Checklist'!$F$4:$F$503,_calc!$E$361))=0,"",INDEX('Checklist'!$F$4:$F$503,_calc!$E$361)))=0,"","Backup: "&amp;IF(LEN(INDEX('Checklist'!$F$4:$F$503,_calc!$E$361))=0,"",INDEX('Checklist'!$F$4:$F$503,_calc!$E$361))&amp;". ")&amp;IF(LEN(IF(LEN(INDEX('Checklist'!$J$4:$J$503,_calc!$E$361))=0,"",INDEX('Checklist'!$J$4:$J$503,_calc!$E$361)))=0,"","Evidence: "&amp;IF(LEN(INDEX('Checklist'!$J$4:$J$503,_calc!$E$361))=0,"",INDEX('Checklist'!$J$4:$J$503,_calc!$E$361))&amp;". ")&amp;IF(LEN(IF(LEN(INDEX('Checklist'!$D$4:$D$503,_calc!$E$361))=0,"",INDEX('Checklist'!$D$4:$D$503,_calc!$E$361)))=0,"","Rule example: "&amp;IF(LEN(INDEX('Checklist'!$D$4:$D$503,_calc!$E$361))=0,"",INDEX('Checklist'!$D$4:$D$503,_calc!$E$361))&amp;". ")&amp;IF(LEN(IF(LEN(INDEX('Checklist'!$P$4:$P$503,_calc!$E$361))=0,"",INDEX('Checklist'!$P$4:$P$503,_calc!$E$361)))=0,"",IF(LEN(INDEX('Checklist'!$P$4:$P$503,_calc!$E$361))=0,"",INDEX('Checklist'!$P$4:$P$503,_calc!$E$361)))))</f>
        <v/>
      </c>
      <c r="K359" s="44">
        <f>IF(_calc!$E$361="","",IF(LEN(INDEX('Checklist'!$G$4:$G$503,_calc!$E$361))=0,"",INDEX('Checklist'!$G$4:$G$503,_calc!$E$361)))</f>
        <v/>
      </c>
    </row>
    <row r="360">
      <c r="A360" s="44">
        <f>IF(_calc!$E$362="","","Survey check – "&amp;IF(LEN(INDEX('Checklist'!$C$4:$C$503,_calc!$E$362))=0,"",INDEX('Checklist'!$C$4:$C$503,_calc!$E$362)))</f>
        <v/>
      </c>
      <c r="B360" s="44">
        <f>IF(_calc!$E$362="","",IF(ISNUMBER(INDEX('Checklist'!$L$4:$L$503,_calc!$E$362)),TEXT(INDEX('Checklist'!$L$4:$L$503,_calc!$E$362),"yyyy-mm-dd"),""))</f>
        <v/>
      </c>
      <c r="C360" s="44">
        <f>IF(_calc!$E$362="","","Survey readiness")</f>
        <v/>
      </c>
      <c r="D360" s="44">
        <f>IF(_calc!$E$362="","",IF(ISNUMBER(INDEX('Checklist'!$H$4:$H$503,_calc!$E$362)),TEXT(INDEX('Checklist'!$H$4:$H$503,_calc!$E$362),"yyyy-mm-dd"),""))</f>
        <v/>
      </c>
      <c r="F360" s="44">
        <f>IF(_calc!$E$362="","",TRIM(IF(LEN(IF(LEN(INDEX('Checklist'!$A$4:$A$503,_calc!$E$362))=0,"",INDEX('Checklist'!$A$4:$A$503,_calc!$E$362)))=0,"","Group: "&amp;IF(LEN(INDEX('Checklist'!$A$4:$A$503,_calc!$E$362))=0,"",INDEX('Checklist'!$A$4:$A$503,_calc!$E$362))&amp;". ")&amp;IF(LEN(IF(LEN(INDEX('Checklist'!$E$4:$E$503,_calc!$E$362))=0,"",INDEX('Checklist'!$E$4:$E$503,_calc!$E$362)))=0,"","Owner: "&amp;IF(LEN(INDEX('Checklist'!$E$4:$E$503,_calc!$E$362))=0,"",INDEX('Checklist'!$E$4:$E$503,_calc!$E$362))&amp;". ")&amp;IF(LEN(IF(LEN(INDEX('Checklist'!$F$4:$F$503,_calc!$E$362))=0,"",INDEX('Checklist'!$F$4:$F$503,_calc!$E$362)))=0,"","Backup: "&amp;IF(LEN(INDEX('Checklist'!$F$4:$F$503,_calc!$E$362))=0,"",INDEX('Checklist'!$F$4:$F$503,_calc!$E$362))&amp;". ")&amp;IF(LEN(IF(LEN(INDEX('Checklist'!$J$4:$J$503,_calc!$E$362))=0,"",INDEX('Checklist'!$J$4:$J$503,_calc!$E$362)))=0,"","Evidence: "&amp;IF(LEN(INDEX('Checklist'!$J$4:$J$503,_calc!$E$362))=0,"",INDEX('Checklist'!$J$4:$J$503,_calc!$E$362))&amp;". ")&amp;IF(LEN(IF(LEN(INDEX('Checklist'!$D$4:$D$503,_calc!$E$362))=0,"",INDEX('Checklist'!$D$4:$D$503,_calc!$E$362)))=0,"","Rule example: "&amp;IF(LEN(INDEX('Checklist'!$D$4:$D$503,_calc!$E$362))=0,"",INDEX('Checklist'!$D$4:$D$503,_calc!$E$362))&amp;". ")&amp;IF(LEN(IF(LEN(INDEX('Checklist'!$P$4:$P$503,_calc!$E$362))=0,"",INDEX('Checklist'!$P$4:$P$503,_calc!$E$362)))=0,"",IF(LEN(INDEX('Checklist'!$P$4:$P$503,_calc!$E$362))=0,"",INDEX('Checklist'!$P$4:$P$503,_calc!$E$362)))))</f>
        <v/>
      </c>
      <c r="K360" s="44">
        <f>IF(_calc!$E$362="","",IF(LEN(INDEX('Checklist'!$G$4:$G$503,_calc!$E$362))=0,"",INDEX('Checklist'!$G$4:$G$503,_calc!$E$362)))</f>
        <v/>
      </c>
    </row>
    <row r="361">
      <c r="A361" s="44">
        <f>IF(_calc!$E$363="","","Survey check – "&amp;IF(LEN(INDEX('Checklist'!$C$4:$C$503,_calc!$E$363))=0,"",INDEX('Checklist'!$C$4:$C$503,_calc!$E$363)))</f>
        <v/>
      </c>
      <c r="B361" s="44">
        <f>IF(_calc!$E$363="","",IF(ISNUMBER(INDEX('Checklist'!$L$4:$L$503,_calc!$E$363)),TEXT(INDEX('Checklist'!$L$4:$L$503,_calc!$E$363),"yyyy-mm-dd"),""))</f>
        <v/>
      </c>
      <c r="C361" s="44">
        <f>IF(_calc!$E$363="","","Survey readiness")</f>
        <v/>
      </c>
      <c r="D361" s="44">
        <f>IF(_calc!$E$363="","",IF(ISNUMBER(INDEX('Checklist'!$H$4:$H$503,_calc!$E$363)),TEXT(INDEX('Checklist'!$H$4:$H$503,_calc!$E$363),"yyyy-mm-dd"),""))</f>
        <v/>
      </c>
      <c r="F361" s="44">
        <f>IF(_calc!$E$363="","",TRIM(IF(LEN(IF(LEN(INDEX('Checklist'!$A$4:$A$503,_calc!$E$363))=0,"",INDEX('Checklist'!$A$4:$A$503,_calc!$E$363)))=0,"","Group: "&amp;IF(LEN(INDEX('Checklist'!$A$4:$A$503,_calc!$E$363))=0,"",INDEX('Checklist'!$A$4:$A$503,_calc!$E$363))&amp;". ")&amp;IF(LEN(IF(LEN(INDEX('Checklist'!$E$4:$E$503,_calc!$E$363))=0,"",INDEX('Checklist'!$E$4:$E$503,_calc!$E$363)))=0,"","Owner: "&amp;IF(LEN(INDEX('Checklist'!$E$4:$E$503,_calc!$E$363))=0,"",INDEX('Checklist'!$E$4:$E$503,_calc!$E$363))&amp;". ")&amp;IF(LEN(IF(LEN(INDEX('Checklist'!$F$4:$F$503,_calc!$E$363))=0,"",INDEX('Checklist'!$F$4:$F$503,_calc!$E$363)))=0,"","Backup: "&amp;IF(LEN(INDEX('Checklist'!$F$4:$F$503,_calc!$E$363))=0,"",INDEX('Checklist'!$F$4:$F$503,_calc!$E$363))&amp;". ")&amp;IF(LEN(IF(LEN(INDEX('Checklist'!$J$4:$J$503,_calc!$E$363))=0,"",INDEX('Checklist'!$J$4:$J$503,_calc!$E$363)))=0,"","Evidence: "&amp;IF(LEN(INDEX('Checklist'!$J$4:$J$503,_calc!$E$363))=0,"",INDEX('Checklist'!$J$4:$J$503,_calc!$E$363))&amp;". ")&amp;IF(LEN(IF(LEN(INDEX('Checklist'!$D$4:$D$503,_calc!$E$363))=0,"",INDEX('Checklist'!$D$4:$D$503,_calc!$E$363)))=0,"","Rule example: "&amp;IF(LEN(INDEX('Checklist'!$D$4:$D$503,_calc!$E$363))=0,"",INDEX('Checklist'!$D$4:$D$503,_calc!$E$363))&amp;". ")&amp;IF(LEN(IF(LEN(INDEX('Checklist'!$P$4:$P$503,_calc!$E$363))=0,"",INDEX('Checklist'!$P$4:$P$503,_calc!$E$363)))=0,"",IF(LEN(INDEX('Checklist'!$P$4:$P$503,_calc!$E$363))=0,"",INDEX('Checklist'!$P$4:$P$503,_calc!$E$363)))))</f>
        <v/>
      </c>
      <c r="K361" s="44">
        <f>IF(_calc!$E$363="","",IF(LEN(INDEX('Checklist'!$G$4:$G$503,_calc!$E$363))=0,"",INDEX('Checklist'!$G$4:$G$503,_calc!$E$363)))</f>
        <v/>
      </c>
    </row>
    <row r="362">
      <c r="A362" s="44">
        <f>IF(_calc!$E$364="","","Survey check – "&amp;IF(LEN(INDEX('Checklist'!$C$4:$C$503,_calc!$E$364))=0,"",INDEX('Checklist'!$C$4:$C$503,_calc!$E$364)))</f>
        <v/>
      </c>
      <c r="B362" s="44">
        <f>IF(_calc!$E$364="","",IF(ISNUMBER(INDEX('Checklist'!$L$4:$L$503,_calc!$E$364)),TEXT(INDEX('Checklist'!$L$4:$L$503,_calc!$E$364),"yyyy-mm-dd"),""))</f>
        <v/>
      </c>
      <c r="C362" s="44">
        <f>IF(_calc!$E$364="","","Survey readiness")</f>
        <v/>
      </c>
      <c r="D362" s="44">
        <f>IF(_calc!$E$364="","",IF(ISNUMBER(INDEX('Checklist'!$H$4:$H$503,_calc!$E$364)),TEXT(INDEX('Checklist'!$H$4:$H$503,_calc!$E$364),"yyyy-mm-dd"),""))</f>
        <v/>
      </c>
      <c r="F362" s="44">
        <f>IF(_calc!$E$364="","",TRIM(IF(LEN(IF(LEN(INDEX('Checklist'!$A$4:$A$503,_calc!$E$364))=0,"",INDEX('Checklist'!$A$4:$A$503,_calc!$E$364)))=0,"","Group: "&amp;IF(LEN(INDEX('Checklist'!$A$4:$A$503,_calc!$E$364))=0,"",INDEX('Checklist'!$A$4:$A$503,_calc!$E$364))&amp;". ")&amp;IF(LEN(IF(LEN(INDEX('Checklist'!$E$4:$E$503,_calc!$E$364))=0,"",INDEX('Checklist'!$E$4:$E$503,_calc!$E$364)))=0,"","Owner: "&amp;IF(LEN(INDEX('Checklist'!$E$4:$E$503,_calc!$E$364))=0,"",INDEX('Checklist'!$E$4:$E$503,_calc!$E$364))&amp;". ")&amp;IF(LEN(IF(LEN(INDEX('Checklist'!$F$4:$F$503,_calc!$E$364))=0,"",INDEX('Checklist'!$F$4:$F$503,_calc!$E$364)))=0,"","Backup: "&amp;IF(LEN(INDEX('Checklist'!$F$4:$F$503,_calc!$E$364))=0,"",INDEX('Checklist'!$F$4:$F$503,_calc!$E$364))&amp;". ")&amp;IF(LEN(IF(LEN(INDEX('Checklist'!$J$4:$J$503,_calc!$E$364))=0,"",INDEX('Checklist'!$J$4:$J$503,_calc!$E$364)))=0,"","Evidence: "&amp;IF(LEN(INDEX('Checklist'!$J$4:$J$503,_calc!$E$364))=0,"",INDEX('Checklist'!$J$4:$J$503,_calc!$E$364))&amp;". ")&amp;IF(LEN(IF(LEN(INDEX('Checklist'!$D$4:$D$503,_calc!$E$364))=0,"",INDEX('Checklist'!$D$4:$D$503,_calc!$E$364)))=0,"","Rule example: "&amp;IF(LEN(INDEX('Checklist'!$D$4:$D$503,_calc!$E$364))=0,"",INDEX('Checklist'!$D$4:$D$503,_calc!$E$364))&amp;". ")&amp;IF(LEN(IF(LEN(INDEX('Checklist'!$P$4:$P$503,_calc!$E$364))=0,"",INDEX('Checklist'!$P$4:$P$503,_calc!$E$364)))=0,"",IF(LEN(INDEX('Checklist'!$P$4:$P$503,_calc!$E$364))=0,"",INDEX('Checklist'!$P$4:$P$503,_calc!$E$364)))))</f>
        <v/>
      </c>
      <c r="K362" s="44">
        <f>IF(_calc!$E$364="","",IF(LEN(INDEX('Checklist'!$G$4:$G$503,_calc!$E$364))=0,"",INDEX('Checklist'!$G$4:$G$503,_calc!$E$364)))</f>
        <v/>
      </c>
    </row>
    <row r="363">
      <c r="A363" s="44">
        <f>IF(_calc!$E$365="","","Survey check – "&amp;IF(LEN(INDEX('Checklist'!$C$4:$C$503,_calc!$E$365))=0,"",INDEX('Checklist'!$C$4:$C$503,_calc!$E$365)))</f>
        <v/>
      </c>
      <c r="B363" s="44">
        <f>IF(_calc!$E$365="","",IF(ISNUMBER(INDEX('Checklist'!$L$4:$L$503,_calc!$E$365)),TEXT(INDEX('Checklist'!$L$4:$L$503,_calc!$E$365),"yyyy-mm-dd"),""))</f>
        <v/>
      </c>
      <c r="C363" s="44">
        <f>IF(_calc!$E$365="","","Survey readiness")</f>
        <v/>
      </c>
      <c r="D363" s="44">
        <f>IF(_calc!$E$365="","",IF(ISNUMBER(INDEX('Checklist'!$H$4:$H$503,_calc!$E$365)),TEXT(INDEX('Checklist'!$H$4:$H$503,_calc!$E$365),"yyyy-mm-dd"),""))</f>
        <v/>
      </c>
      <c r="F363" s="44">
        <f>IF(_calc!$E$365="","",TRIM(IF(LEN(IF(LEN(INDEX('Checklist'!$A$4:$A$503,_calc!$E$365))=0,"",INDEX('Checklist'!$A$4:$A$503,_calc!$E$365)))=0,"","Group: "&amp;IF(LEN(INDEX('Checklist'!$A$4:$A$503,_calc!$E$365))=0,"",INDEX('Checklist'!$A$4:$A$503,_calc!$E$365))&amp;". ")&amp;IF(LEN(IF(LEN(INDEX('Checklist'!$E$4:$E$503,_calc!$E$365))=0,"",INDEX('Checklist'!$E$4:$E$503,_calc!$E$365)))=0,"","Owner: "&amp;IF(LEN(INDEX('Checklist'!$E$4:$E$503,_calc!$E$365))=0,"",INDEX('Checklist'!$E$4:$E$503,_calc!$E$365))&amp;". ")&amp;IF(LEN(IF(LEN(INDEX('Checklist'!$F$4:$F$503,_calc!$E$365))=0,"",INDEX('Checklist'!$F$4:$F$503,_calc!$E$365)))=0,"","Backup: "&amp;IF(LEN(INDEX('Checklist'!$F$4:$F$503,_calc!$E$365))=0,"",INDEX('Checklist'!$F$4:$F$503,_calc!$E$365))&amp;". ")&amp;IF(LEN(IF(LEN(INDEX('Checklist'!$J$4:$J$503,_calc!$E$365))=0,"",INDEX('Checklist'!$J$4:$J$503,_calc!$E$365)))=0,"","Evidence: "&amp;IF(LEN(INDEX('Checklist'!$J$4:$J$503,_calc!$E$365))=0,"",INDEX('Checklist'!$J$4:$J$503,_calc!$E$365))&amp;". ")&amp;IF(LEN(IF(LEN(INDEX('Checklist'!$D$4:$D$503,_calc!$E$365))=0,"",INDEX('Checklist'!$D$4:$D$503,_calc!$E$365)))=0,"","Rule example: "&amp;IF(LEN(INDEX('Checklist'!$D$4:$D$503,_calc!$E$365))=0,"",INDEX('Checklist'!$D$4:$D$503,_calc!$E$365))&amp;". ")&amp;IF(LEN(IF(LEN(INDEX('Checklist'!$P$4:$P$503,_calc!$E$365))=0,"",INDEX('Checklist'!$P$4:$P$503,_calc!$E$365)))=0,"",IF(LEN(INDEX('Checklist'!$P$4:$P$503,_calc!$E$365))=0,"",INDEX('Checklist'!$P$4:$P$503,_calc!$E$365)))))</f>
        <v/>
      </c>
      <c r="K363" s="44">
        <f>IF(_calc!$E$365="","",IF(LEN(INDEX('Checklist'!$G$4:$G$503,_calc!$E$365))=0,"",INDEX('Checklist'!$G$4:$G$503,_calc!$E$365)))</f>
        <v/>
      </c>
    </row>
    <row r="364">
      <c r="A364" s="44">
        <f>IF(_calc!$E$366="","","Survey check – "&amp;IF(LEN(INDEX('Checklist'!$C$4:$C$503,_calc!$E$366))=0,"",INDEX('Checklist'!$C$4:$C$503,_calc!$E$366)))</f>
        <v/>
      </c>
      <c r="B364" s="44">
        <f>IF(_calc!$E$366="","",IF(ISNUMBER(INDEX('Checklist'!$L$4:$L$503,_calc!$E$366)),TEXT(INDEX('Checklist'!$L$4:$L$503,_calc!$E$366),"yyyy-mm-dd"),""))</f>
        <v/>
      </c>
      <c r="C364" s="44">
        <f>IF(_calc!$E$366="","","Survey readiness")</f>
        <v/>
      </c>
      <c r="D364" s="44">
        <f>IF(_calc!$E$366="","",IF(ISNUMBER(INDEX('Checklist'!$H$4:$H$503,_calc!$E$366)),TEXT(INDEX('Checklist'!$H$4:$H$503,_calc!$E$366),"yyyy-mm-dd"),""))</f>
        <v/>
      </c>
      <c r="F364" s="44">
        <f>IF(_calc!$E$366="","",TRIM(IF(LEN(IF(LEN(INDEX('Checklist'!$A$4:$A$503,_calc!$E$366))=0,"",INDEX('Checklist'!$A$4:$A$503,_calc!$E$366)))=0,"","Group: "&amp;IF(LEN(INDEX('Checklist'!$A$4:$A$503,_calc!$E$366))=0,"",INDEX('Checklist'!$A$4:$A$503,_calc!$E$366))&amp;". ")&amp;IF(LEN(IF(LEN(INDEX('Checklist'!$E$4:$E$503,_calc!$E$366))=0,"",INDEX('Checklist'!$E$4:$E$503,_calc!$E$366)))=0,"","Owner: "&amp;IF(LEN(INDEX('Checklist'!$E$4:$E$503,_calc!$E$366))=0,"",INDEX('Checklist'!$E$4:$E$503,_calc!$E$366))&amp;". ")&amp;IF(LEN(IF(LEN(INDEX('Checklist'!$F$4:$F$503,_calc!$E$366))=0,"",INDEX('Checklist'!$F$4:$F$503,_calc!$E$366)))=0,"","Backup: "&amp;IF(LEN(INDEX('Checklist'!$F$4:$F$503,_calc!$E$366))=0,"",INDEX('Checklist'!$F$4:$F$503,_calc!$E$366))&amp;". ")&amp;IF(LEN(IF(LEN(INDEX('Checklist'!$J$4:$J$503,_calc!$E$366))=0,"",INDEX('Checklist'!$J$4:$J$503,_calc!$E$366)))=0,"","Evidence: "&amp;IF(LEN(INDEX('Checklist'!$J$4:$J$503,_calc!$E$366))=0,"",INDEX('Checklist'!$J$4:$J$503,_calc!$E$366))&amp;". ")&amp;IF(LEN(IF(LEN(INDEX('Checklist'!$D$4:$D$503,_calc!$E$366))=0,"",INDEX('Checklist'!$D$4:$D$503,_calc!$E$366)))=0,"","Rule example: "&amp;IF(LEN(INDEX('Checklist'!$D$4:$D$503,_calc!$E$366))=0,"",INDEX('Checklist'!$D$4:$D$503,_calc!$E$366))&amp;". ")&amp;IF(LEN(IF(LEN(INDEX('Checklist'!$P$4:$P$503,_calc!$E$366))=0,"",INDEX('Checklist'!$P$4:$P$503,_calc!$E$366)))=0,"",IF(LEN(INDEX('Checklist'!$P$4:$P$503,_calc!$E$366))=0,"",INDEX('Checklist'!$P$4:$P$503,_calc!$E$366)))))</f>
        <v/>
      </c>
      <c r="K364" s="44">
        <f>IF(_calc!$E$366="","",IF(LEN(INDEX('Checklist'!$G$4:$G$503,_calc!$E$366))=0,"",INDEX('Checklist'!$G$4:$G$503,_calc!$E$366)))</f>
        <v/>
      </c>
    </row>
    <row r="365">
      <c r="A365" s="44">
        <f>IF(_calc!$E$367="","","Survey check – "&amp;IF(LEN(INDEX('Checklist'!$C$4:$C$503,_calc!$E$367))=0,"",INDEX('Checklist'!$C$4:$C$503,_calc!$E$367)))</f>
        <v/>
      </c>
      <c r="B365" s="44">
        <f>IF(_calc!$E$367="","",IF(ISNUMBER(INDEX('Checklist'!$L$4:$L$503,_calc!$E$367)),TEXT(INDEX('Checklist'!$L$4:$L$503,_calc!$E$367),"yyyy-mm-dd"),""))</f>
        <v/>
      </c>
      <c r="C365" s="44">
        <f>IF(_calc!$E$367="","","Survey readiness")</f>
        <v/>
      </c>
      <c r="D365" s="44">
        <f>IF(_calc!$E$367="","",IF(ISNUMBER(INDEX('Checklist'!$H$4:$H$503,_calc!$E$367)),TEXT(INDEX('Checklist'!$H$4:$H$503,_calc!$E$367),"yyyy-mm-dd"),""))</f>
        <v/>
      </c>
      <c r="F365" s="44">
        <f>IF(_calc!$E$367="","",TRIM(IF(LEN(IF(LEN(INDEX('Checklist'!$A$4:$A$503,_calc!$E$367))=0,"",INDEX('Checklist'!$A$4:$A$503,_calc!$E$367)))=0,"","Group: "&amp;IF(LEN(INDEX('Checklist'!$A$4:$A$503,_calc!$E$367))=0,"",INDEX('Checklist'!$A$4:$A$503,_calc!$E$367))&amp;". ")&amp;IF(LEN(IF(LEN(INDEX('Checklist'!$E$4:$E$503,_calc!$E$367))=0,"",INDEX('Checklist'!$E$4:$E$503,_calc!$E$367)))=0,"","Owner: "&amp;IF(LEN(INDEX('Checklist'!$E$4:$E$503,_calc!$E$367))=0,"",INDEX('Checklist'!$E$4:$E$503,_calc!$E$367))&amp;". ")&amp;IF(LEN(IF(LEN(INDEX('Checklist'!$F$4:$F$503,_calc!$E$367))=0,"",INDEX('Checklist'!$F$4:$F$503,_calc!$E$367)))=0,"","Backup: "&amp;IF(LEN(INDEX('Checklist'!$F$4:$F$503,_calc!$E$367))=0,"",INDEX('Checklist'!$F$4:$F$503,_calc!$E$367))&amp;". ")&amp;IF(LEN(IF(LEN(INDEX('Checklist'!$J$4:$J$503,_calc!$E$367))=0,"",INDEX('Checklist'!$J$4:$J$503,_calc!$E$367)))=0,"","Evidence: "&amp;IF(LEN(INDEX('Checklist'!$J$4:$J$503,_calc!$E$367))=0,"",INDEX('Checklist'!$J$4:$J$503,_calc!$E$367))&amp;". ")&amp;IF(LEN(IF(LEN(INDEX('Checklist'!$D$4:$D$503,_calc!$E$367))=0,"",INDEX('Checklist'!$D$4:$D$503,_calc!$E$367)))=0,"","Rule example: "&amp;IF(LEN(INDEX('Checklist'!$D$4:$D$503,_calc!$E$367))=0,"",INDEX('Checklist'!$D$4:$D$503,_calc!$E$367))&amp;". ")&amp;IF(LEN(IF(LEN(INDEX('Checklist'!$P$4:$P$503,_calc!$E$367))=0,"",INDEX('Checklist'!$P$4:$P$503,_calc!$E$367)))=0,"",IF(LEN(INDEX('Checklist'!$P$4:$P$503,_calc!$E$367))=0,"",INDEX('Checklist'!$P$4:$P$503,_calc!$E$367)))))</f>
        <v/>
      </c>
      <c r="K365" s="44">
        <f>IF(_calc!$E$367="","",IF(LEN(INDEX('Checklist'!$G$4:$G$503,_calc!$E$367))=0,"",INDEX('Checklist'!$G$4:$G$503,_calc!$E$367)))</f>
        <v/>
      </c>
    </row>
    <row r="366">
      <c r="A366" s="44">
        <f>IF(_calc!$E$368="","","Survey check – "&amp;IF(LEN(INDEX('Checklist'!$C$4:$C$503,_calc!$E$368))=0,"",INDEX('Checklist'!$C$4:$C$503,_calc!$E$368)))</f>
        <v/>
      </c>
      <c r="B366" s="44">
        <f>IF(_calc!$E$368="","",IF(ISNUMBER(INDEX('Checklist'!$L$4:$L$503,_calc!$E$368)),TEXT(INDEX('Checklist'!$L$4:$L$503,_calc!$E$368),"yyyy-mm-dd"),""))</f>
        <v/>
      </c>
      <c r="C366" s="44">
        <f>IF(_calc!$E$368="","","Survey readiness")</f>
        <v/>
      </c>
      <c r="D366" s="44">
        <f>IF(_calc!$E$368="","",IF(ISNUMBER(INDEX('Checklist'!$H$4:$H$503,_calc!$E$368)),TEXT(INDEX('Checklist'!$H$4:$H$503,_calc!$E$368),"yyyy-mm-dd"),""))</f>
        <v/>
      </c>
      <c r="F366" s="44">
        <f>IF(_calc!$E$368="","",TRIM(IF(LEN(IF(LEN(INDEX('Checklist'!$A$4:$A$503,_calc!$E$368))=0,"",INDEX('Checklist'!$A$4:$A$503,_calc!$E$368)))=0,"","Group: "&amp;IF(LEN(INDEX('Checklist'!$A$4:$A$503,_calc!$E$368))=0,"",INDEX('Checklist'!$A$4:$A$503,_calc!$E$368))&amp;". ")&amp;IF(LEN(IF(LEN(INDEX('Checklist'!$E$4:$E$503,_calc!$E$368))=0,"",INDEX('Checklist'!$E$4:$E$503,_calc!$E$368)))=0,"","Owner: "&amp;IF(LEN(INDEX('Checklist'!$E$4:$E$503,_calc!$E$368))=0,"",INDEX('Checklist'!$E$4:$E$503,_calc!$E$368))&amp;". ")&amp;IF(LEN(IF(LEN(INDEX('Checklist'!$F$4:$F$503,_calc!$E$368))=0,"",INDEX('Checklist'!$F$4:$F$503,_calc!$E$368)))=0,"","Backup: "&amp;IF(LEN(INDEX('Checklist'!$F$4:$F$503,_calc!$E$368))=0,"",INDEX('Checklist'!$F$4:$F$503,_calc!$E$368))&amp;". ")&amp;IF(LEN(IF(LEN(INDEX('Checklist'!$J$4:$J$503,_calc!$E$368))=0,"",INDEX('Checklist'!$J$4:$J$503,_calc!$E$368)))=0,"","Evidence: "&amp;IF(LEN(INDEX('Checklist'!$J$4:$J$503,_calc!$E$368))=0,"",INDEX('Checklist'!$J$4:$J$503,_calc!$E$368))&amp;". ")&amp;IF(LEN(IF(LEN(INDEX('Checklist'!$D$4:$D$503,_calc!$E$368))=0,"",INDEX('Checklist'!$D$4:$D$503,_calc!$E$368)))=0,"","Rule example: "&amp;IF(LEN(INDEX('Checklist'!$D$4:$D$503,_calc!$E$368))=0,"",INDEX('Checklist'!$D$4:$D$503,_calc!$E$368))&amp;". ")&amp;IF(LEN(IF(LEN(INDEX('Checklist'!$P$4:$P$503,_calc!$E$368))=0,"",INDEX('Checklist'!$P$4:$P$503,_calc!$E$368)))=0,"",IF(LEN(INDEX('Checklist'!$P$4:$P$503,_calc!$E$368))=0,"",INDEX('Checklist'!$P$4:$P$503,_calc!$E$368)))))</f>
        <v/>
      </c>
      <c r="K366" s="44">
        <f>IF(_calc!$E$368="","",IF(LEN(INDEX('Checklist'!$G$4:$G$503,_calc!$E$368))=0,"",INDEX('Checklist'!$G$4:$G$503,_calc!$E$368)))</f>
        <v/>
      </c>
    </row>
    <row r="367">
      <c r="A367" s="44">
        <f>IF(_calc!$E$369="","","Survey check – "&amp;IF(LEN(INDEX('Checklist'!$C$4:$C$503,_calc!$E$369))=0,"",INDEX('Checklist'!$C$4:$C$503,_calc!$E$369)))</f>
        <v/>
      </c>
      <c r="B367" s="44">
        <f>IF(_calc!$E$369="","",IF(ISNUMBER(INDEX('Checklist'!$L$4:$L$503,_calc!$E$369)),TEXT(INDEX('Checklist'!$L$4:$L$503,_calc!$E$369),"yyyy-mm-dd"),""))</f>
        <v/>
      </c>
      <c r="C367" s="44">
        <f>IF(_calc!$E$369="","","Survey readiness")</f>
        <v/>
      </c>
      <c r="D367" s="44">
        <f>IF(_calc!$E$369="","",IF(ISNUMBER(INDEX('Checklist'!$H$4:$H$503,_calc!$E$369)),TEXT(INDEX('Checklist'!$H$4:$H$503,_calc!$E$369),"yyyy-mm-dd"),""))</f>
        <v/>
      </c>
      <c r="F367" s="44">
        <f>IF(_calc!$E$369="","",TRIM(IF(LEN(IF(LEN(INDEX('Checklist'!$A$4:$A$503,_calc!$E$369))=0,"",INDEX('Checklist'!$A$4:$A$503,_calc!$E$369)))=0,"","Group: "&amp;IF(LEN(INDEX('Checklist'!$A$4:$A$503,_calc!$E$369))=0,"",INDEX('Checklist'!$A$4:$A$503,_calc!$E$369))&amp;". ")&amp;IF(LEN(IF(LEN(INDEX('Checklist'!$E$4:$E$503,_calc!$E$369))=0,"",INDEX('Checklist'!$E$4:$E$503,_calc!$E$369)))=0,"","Owner: "&amp;IF(LEN(INDEX('Checklist'!$E$4:$E$503,_calc!$E$369))=0,"",INDEX('Checklist'!$E$4:$E$503,_calc!$E$369))&amp;". ")&amp;IF(LEN(IF(LEN(INDEX('Checklist'!$F$4:$F$503,_calc!$E$369))=0,"",INDEX('Checklist'!$F$4:$F$503,_calc!$E$369)))=0,"","Backup: "&amp;IF(LEN(INDEX('Checklist'!$F$4:$F$503,_calc!$E$369))=0,"",INDEX('Checklist'!$F$4:$F$503,_calc!$E$369))&amp;". ")&amp;IF(LEN(IF(LEN(INDEX('Checklist'!$J$4:$J$503,_calc!$E$369))=0,"",INDEX('Checklist'!$J$4:$J$503,_calc!$E$369)))=0,"","Evidence: "&amp;IF(LEN(INDEX('Checklist'!$J$4:$J$503,_calc!$E$369))=0,"",INDEX('Checklist'!$J$4:$J$503,_calc!$E$369))&amp;". ")&amp;IF(LEN(IF(LEN(INDEX('Checklist'!$D$4:$D$503,_calc!$E$369))=0,"",INDEX('Checklist'!$D$4:$D$503,_calc!$E$369)))=0,"","Rule example: "&amp;IF(LEN(INDEX('Checklist'!$D$4:$D$503,_calc!$E$369))=0,"",INDEX('Checklist'!$D$4:$D$503,_calc!$E$369))&amp;". ")&amp;IF(LEN(IF(LEN(INDEX('Checklist'!$P$4:$P$503,_calc!$E$369))=0,"",INDEX('Checklist'!$P$4:$P$503,_calc!$E$369)))=0,"",IF(LEN(INDEX('Checklist'!$P$4:$P$503,_calc!$E$369))=0,"",INDEX('Checklist'!$P$4:$P$503,_calc!$E$369)))))</f>
        <v/>
      </c>
      <c r="K367" s="44">
        <f>IF(_calc!$E$369="","",IF(LEN(INDEX('Checklist'!$G$4:$G$503,_calc!$E$369))=0,"",INDEX('Checklist'!$G$4:$G$503,_calc!$E$369)))</f>
        <v/>
      </c>
    </row>
    <row r="368">
      <c r="A368" s="44">
        <f>IF(_calc!$E$370="","","Survey check – "&amp;IF(LEN(INDEX('Checklist'!$C$4:$C$503,_calc!$E$370))=0,"",INDEX('Checklist'!$C$4:$C$503,_calc!$E$370)))</f>
        <v/>
      </c>
      <c r="B368" s="44">
        <f>IF(_calc!$E$370="","",IF(ISNUMBER(INDEX('Checklist'!$L$4:$L$503,_calc!$E$370)),TEXT(INDEX('Checklist'!$L$4:$L$503,_calc!$E$370),"yyyy-mm-dd"),""))</f>
        <v/>
      </c>
      <c r="C368" s="44">
        <f>IF(_calc!$E$370="","","Survey readiness")</f>
        <v/>
      </c>
      <c r="D368" s="44">
        <f>IF(_calc!$E$370="","",IF(ISNUMBER(INDEX('Checklist'!$H$4:$H$503,_calc!$E$370)),TEXT(INDEX('Checklist'!$H$4:$H$503,_calc!$E$370),"yyyy-mm-dd"),""))</f>
        <v/>
      </c>
      <c r="F368" s="44">
        <f>IF(_calc!$E$370="","",TRIM(IF(LEN(IF(LEN(INDEX('Checklist'!$A$4:$A$503,_calc!$E$370))=0,"",INDEX('Checklist'!$A$4:$A$503,_calc!$E$370)))=0,"","Group: "&amp;IF(LEN(INDEX('Checklist'!$A$4:$A$503,_calc!$E$370))=0,"",INDEX('Checklist'!$A$4:$A$503,_calc!$E$370))&amp;". ")&amp;IF(LEN(IF(LEN(INDEX('Checklist'!$E$4:$E$503,_calc!$E$370))=0,"",INDEX('Checklist'!$E$4:$E$503,_calc!$E$370)))=0,"","Owner: "&amp;IF(LEN(INDEX('Checklist'!$E$4:$E$503,_calc!$E$370))=0,"",INDEX('Checklist'!$E$4:$E$503,_calc!$E$370))&amp;". ")&amp;IF(LEN(IF(LEN(INDEX('Checklist'!$F$4:$F$503,_calc!$E$370))=0,"",INDEX('Checklist'!$F$4:$F$503,_calc!$E$370)))=0,"","Backup: "&amp;IF(LEN(INDEX('Checklist'!$F$4:$F$503,_calc!$E$370))=0,"",INDEX('Checklist'!$F$4:$F$503,_calc!$E$370))&amp;". ")&amp;IF(LEN(IF(LEN(INDEX('Checklist'!$J$4:$J$503,_calc!$E$370))=0,"",INDEX('Checklist'!$J$4:$J$503,_calc!$E$370)))=0,"","Evidence: "&amp;IF(LEN(INDEX('Checklist'!$J$4:$J$503,_calc!$E$370))=0,"",INDEX('Checklist'!$J$4:$J$503,_calc!$E$370))&amp;". ")&amp;IF(LEN(IF(LEN(INDEX('Checklist'!$D$4:$D$503,_calc!$E$370))=0,"",INDEX('Checklist'!$D$4:$D$503,_calc!$E$370)))=0,"","Rule example: "&amp;IF(LEN(INDEX('Checklist'!$D$4:$D$503,_calc!$E$370))=0,"",INDEX('Checklist'!$D$4:$D$503,_calc!$E$370))&amp;". ")&amp;IF(LEN(IF(LEN(INDEX('Checklist'!$P$4:$P$503,_calc!$E$370))=0,"",INDEX('Checklist'!$P$4:$P$503,_calc!$E$370)))=0,"",IF(LEN(INDEX('Checklist'!$P$4:$P$503,_calc!$E$370))=0,"",INDEX('Checklist'!$P$4:$P$503,_calc!$E$370)))))</f>
        <v/>
      </c>
      <c r="K368" s="44">
        <f>IF(_calc!$E$370="","",IF(LEN(INDEX('Checklist'!$G$4:$G$503,_calc!$E$370))=0,"",INDEX('Checklist'!$G$4:$G$503,_calc!$E$370)))</f>
        <v/>
      </c>
    </row>
    <row r="369">
      <c r="A369" s="44">
        <f>IF(_calc!$E$371="","","Survey check – "&amp;IF(LEN(INDEX('Checklist'!$C$4:$C$503,_calc!$E$371))=0,"",INDEX('Checklist'!$C$4:$C$503,_calc!$E$371)))</f>
        <v/>
      </c>
      <c r="B369" s="44">
        <f>IF(_calc!$E$371="","",IF(ISNUMBER(INDEX('Checklist'!$L$4:$L$503,_calc!$E$371)),TEXT(INDEX('Checklist'!$L$4:$L$503,_calc!$E$371),"yyyy-mm-dd"),""))</f>
        <v/>
      </c>
      <c r="C369" s="44">
        <f>IF(_calc!$E$371="","","Survey readiness")</f>
        <v/>
      </c>
      <c r="D369" s="44">
        <f>IF(_calc!$E$371="","",IF(ISNUMBER(INDEX('Checklist'!$H$4:$H$503,_calc!$E$371)),TEXT(INDEX('Checklist'!$H$4:$H$503,_calc!$E$371),"yyyy-mm-dd"),""))</f>
        <v/>
      </c>
      <c r="F369" s="44">
        <f>IF(_calc!$E$371="","",TRIM(IF(LEN(IF(LEN(INDEX('Checklist'!$A$4:$A$503,_calc!$E$371))=0,"",INDEX('Checklist'!$A$4:$A$503,_calc!$E$371)))=0,"","Group: "&amp;IF(LEN(INDEX('Checklist'!$A$4:$A$503,_calc!$E$371))=0,"",INDEX('Checklist'!$A$4:$A$503,_calc!$E$371))&amp;". ")&amp;IF(LEN(IF(LEN(INDEX('Checklist'!$E$4:$E$503,_calc!$E$371))=0,"",INDEX('Checklist'!$E$4:$E$503,_calc!$E$371)))=0,"","Owner: "&amp;IF(LEN(INDEX('Checklist'!$E$4:$E$503,_calc!$E$371))=0,"",INDEX('Checklist'!$E$4:$E$503,_calc!$E$371))&amp;". ")&amp;IF(LEN(IF(LEN(INDEX('Checklist'!$F$4:$F$503,_calc!$E$371))=0,"",INDEX('Checklist'!$F$4:$F$503,_calc!$E$371)))=0,"","Backup: "&amp;IF(LEN(INDEX('Checklist'!$F$4:$F$503,_calc!$E$371))=0,"",INDEX('Checklist'!$F$4:$F$503,_calc!$E$371))&amp;". ")&amp;IF(LEN(IF(LEN(INDEX('Checklist'!$J$4:$J$503,_calc!$E$371))=0,"",INDEX('Checklist'!$J$4:$J$503,_calc!$E$371)))=0,"","Evidence: "&amp;IF(LEN(INDEX('Checklist'!$J$4:$J$503,_calc!$E$371))=0,"",INDEX('Checklist'!$J$4:$J$503,_calc!$E$371))&amp;". ")&amp;IF(LEN(IF(LEN(INDEX('Checklist'!$D$4:$D$503,_calc!$E$371))=0,"",INDEX('Checklist'!$D$4:$D$503,_calc!$E$371)))=0,"","Rule example: "&amp;IF(LEN(INDEX('Checklist'!$D$4:$D$503,_calc!$E$371))=0,"",INDEX('Checklist'!$D$4:$D$503,_calc!$E$371))&amp;". ")&amp;IF(LEN(IF(LEN(INDEX('Checklist'!$P$4:$P$503,_calc!$E$371))=0,"",INDEX('Checklist'!$P$4:$P$503,_calc!$E$371)))=0,"",IF(LEN(INDEX('Checklist'!$P$4:$P$503,_calc!$E$371))=0,"",INDEX('Checklist'!$P$4:$P$503,_calc!$E$371)))))</f>
        <v/>
      </c>
      <c r="K369" s="44">
        <f>IF(_calc!$E$371="","",IF(LEN(INDEX('Checklist'!$G$4:$G$503,_calc!$E$371))=0,"",INDEX('Checklist'!$G$4:$G$503,_calc!$E$371)))</f>
        <v/>
      </c>
    </row>
    <row r="370">
      <c r="A370" s="44">
        <f>IF(_calc!$E$372="","","Survey check – "&amp;IF(LEN(INDEX('Checklist'!$C$4:$C$503,_calc!$E$372))=0,"",INDEX('Checklist'!$C$4:$C$503,_calc!$E$372)))</f>
        <v/>
      </c>
      <c r="B370" s="44">
        <f>IF(_calc!$E$372="","",IF(ISNUMBER(INDEX('Checklist'!$L$4:$L$503,_calc!$E$372)),TEXT(INDEX('Checklist'!$L$4:$L$503,_calc!$E$372),"yyyy-mm-dd"),""))</f>
        <v/>
      </c>
      <c r="C370" s="44">
        <f>IF(_calc!$E$372="","","Survey readiness")</f>
        <v/>
      </c>
      <c r="D370" s="44">
        <f>IF(_calc!$E$372="","",IF(ISNUMBER(INDEX('Checklist'!$H$4:$H$503,_calc!$E$372)),TEXT(INDEX('Checklist'!$H$4:$H$503,_calc!$E$372),"yyyy-mm-dd"),""))</f>
        <v/>
      </c>
      <c r="F370" s="44">
        <f>IF(_calc!$E$372="","",TRIM(IF(LEN(IF(LEN(INDEX('Checklist'!$A$4:$A$503,_calc!$E$372))=0,"",INDEX('Checklist'!$A$4:$A$503,_calc!$E$372)))=0,"","Group: "&amp;IF(LEN(INDEX('Checklist'!$A$4:$A$503,_calc!$E$372))=0,"",INDEX('Checklist'!$A$4:$A$503,_calc!$E$372))&amp;". ")&amp;IF(LEN(IF(LEN(INDEX('Checklist'!$E$4:$E$503,_calc!$E$372))=0,"",INDEX('Checklist'!$E$4:$E$503,_calc!$E$372)))=0,"","Owner: "&amp;IF(LEN(INDEX('Checklist'!$E$4:$E$503,_calc!$E$372))=0,"",INDEX('Checklist'!$E$4:$E$503,_calc!$E$372))&amp;". ")&amp;IF(LEN(IF(LEN(INDEX('Checklist'!$F$4:$F$503,_calc!$E$372))=0,"",INDEX('Checklist'!$F$4:$F$503,_calc!$E$372)))=0,"","Backup: "&amp;IF(LEN(INDEX('Checklist'!$F$4:$F$503,_calc!$E$372))=0,"",INDEX('Checklist'!$F$4:$F$503,_calc!$E$372))&amp;". ")&amp;IF(LEN(IF(LEN(INDEX('Checklist'!$J$4:$J$503,_calc!$E$372))=0,"",INDEX('Checklist'!$J$4:$J$503,_calc!$E$372)))=0,"","Evidence: "&amp;IF(LEN(INDEX('Checklist'!$J$4:$J$503,_calc!$E$372))=0,"",INDEX('Checklist'!$J$4:$J$503,_calc!$E$372))&amp;". ")&amp;IF(LEN(IF(LEN(INDEX('Checklist'!$D$4:$D$503,_calc!$E$372))=0,"",INDEX('Checklist'!$D$4:$D$503,_calc!$E$372)))=0,"","Rule example: "&amp;IF(LEN(INDEX('Checklist'!$D$4:$D$503,_calc!$E$372))=0,"",INDEX('Checklist'!$D$4:$D$503,_calc!$E$372))&amp;". ")&amp;IF(LEN(IF(LEN(INDEX('Checklist'!$P$4:$P$503,_calc!$E$372))=0,"",INDEX('Checklist'!$P$4:$P$503,_calc!$E$372)))=0,"",IF(LEN(INDEX('Checklist'!$P$4:$P$503,_calc!$E$372))=0,"",INDEX('Checklist'!$P$4:$P$503,_calc!$E$372)))))</f>
        <v/>
      </c>
      <c r="K370" s="44">
        <f>IF(_calc!$E$372="","",IF(LEN(INDEX('Checklist'!$G$4:$G$503,_calc!$E$372))=0,"",INDEX('Checklist'!$G$4:$G$503,_calc!$E$372)))</f>
        <v/>
      </c>
    </row>
    <row r="371">
      <c r="A371" s="44">
        <f>IF(_calc!$E$373="","","Survey check – "&amp;IF(LEN(INDEX('Checklist'!$C$4:$C$503,_calc!$E$373))=0,"",INDEX('Checklist'!$C$4:$C$503,_calc!$E$373)))</f>
        <v/>
      </c>
      <c r="B371" s="44">
        <f>IF(_calc!$E$373="","",IF(ISNUMBER(INDEX('Checklist'!$L$4:$L$503,_calc!$E$373)),TEXT(INDEX('Checklist'!$L$4:$L$503,_calc!$E$373),"yyyy-mm-dd"),""))</f>
        <v/>
      </c>
      <c r="C371" s="44">
        <f>IF(_calc!$E$373="","","Survey readiness")</f>
        <v/>
      </c>
      <c r="D371" s="44">
        <f>IF(_calc!$E$373="","",IF(ISNUMBER(INDEX('Checklist'!$H$4:$H$503,_calc!$E$373)),TEXT(INDEX('Checklist'!$H$4:$H$503,_calc!$E$373),"yyyy-mm-dd"),""))</f>
        <v/>
      </c>
      <c r="F371" s="44">
        <f>IF(_calc!$E$373="","",TRIM(IF(LEN(IF(LEN(INDEX('Checklist'!$A$4:$A$503,_calc!$E$373))=0,"",INDEX('Checklist'!$A$4:$A$503,_calc!$E$373)))=0,"","Group: "&amp;IF(LEN(INDEX('Checklist'!$A$4:$A$503,_calc!$E$373))=0,"",INDEX('Checklist'!$A$4:$A$503,_calc!$E$373))&amp;". ")&amp;IF(LEN(IF(LEN(INDEX('Checklist'!$E$4:$E$503,_calc!$E$373))=0,"",INDEX('Checklist'!$E$4:$E$503,_calc!$E$373)))=0,"","Owner: "&amp;IF(LEN(INDEX('Checklist'!$E$4:$E$503,_calc!$E$373))=0,"",INDEX('Checklist'!$E$4:$E$503,_calc!$E$373))&amp;". ")&amp;IF(LEN(IF(LEN(INDEX('Checklist'!$F$4:$F$503,_calc!$E$373))=0,"",INDEX('Checklist'!$F$4:$F$503,_calc!$E$373)))=0,"","Backup: "&amp;IF(LEN(INDEX('Checklist'!$F$4:$F$503,_calc!$E$373))=0,"",INDEX('Checklist'!$F$4:$F$503,_calc!$E$373))&amp;". ")&amp;IF(LEN(IF(LEN(INDEX('Checklist'!$J$4:$J$503,_calc!$E$373))=0,"",INDEX('Checklist'!$J$4:$J$503,_calc!$E$373)))=0,"","Evidence: "&amp;IF(LEN(INDEX('Checklist'!$J$4:$J$503,_calc!$E$373))=0,"",INDEX('Checklist'!$J$4:$J$503,_calc!$E$373))&amp;". ")&amp;IF(LEN(IF(LEN(INDEX('Checklist'!$D$4:$D$503,_calc!$E$373))=0,"",INDEX('Checklist'!$D$4:$D$503,_calc!$E$373)))=0,"","Rule example: "&amp;IF(LEN(INDEX('Checklist'!$D$4:$D$503,_calc!$E$373))=0,"",INDEX('Checklist'!$D$4:$D$503,_calc!$E$373))&amp;". ")&amp;IF(LEN(IF(LEN(INDEX('Checklist'!$P$4:$P$503,_calc!$E$373))=0,"",INDEX('Checklist'!$P$4:$P$503,_calc!$E$373)))=0,"",IF(LEN(INDEX('Checklist'!$P$4:$P$503,_calc!$E$373))=0,"",INDEX('Checklist'!$P$4:$P$503,_calc!$E$373)))))</f>
        <v/>
      </c>
      <c r="K371" s="44">
        <f>IF(_calc!$E$373="","",IF(LEN(INDEX('Checklist'!$G$4:$G$503,_calc!$E$373))=0,"",INDEX('Checklist'!$G$4:$G$503,_calc!$E$373)))</f>
        <v/>
      </c>
    </row>
    <row r="372">
      <c r="A372" s="44">
        <f>IF(_calc!$E$374="","","Survey check – "&amp;IF(LEN(INDEX('Checklist'!$C$4:$C$503,_calc!$E$374))=0,"",INDEX('Checklist'!$C$4:$C$503,_calc!$E$374)))</f>
        <v/>
      </c>
      <c r="B372" s="44">
        <f>IF(_calc!$E$374="","",IF(ISNUMBER(INDEX('Checklist'!$L$4:$L$503,_calc!$E$374)),TEXT(INDEX('Checklist'!$L$4:$L$503,_calc!$E$374),"yyyy-mm-dd"),""))</f>
        <v/>
      </c>
      <c r="C372" s="44">
        <f>IF(_calc!$E$374="","","Survey readiness")</f>
        <v/>
      </c>
      <c r="D372" s="44">
        <f>IF(_calc!$E$374="","",IF(ISNUMBER(INDEX('Checklist'!$H$4:$H$503,_calc!$E$374)),TEXT(INDEX('Checklist'!$H$4:$H$503,_calc!$E$374),"yyyy-mm-dd"),""))</f>
        <v/>
      </c>
      <c r="F372" s="44">
        <f>IF(_calc!$E$374="","",TRIM(IF(LEN(IF(LEN(INDEX('Checklist'!$A$4:$A$503,_calc!$E$374))=0,"",INDEX('Checklist'!$A$4:$A$503,_calc!$E$374)))=0,"","Group: "&amp;IF(LEN(INDEX('Checklist'!$A$4:$A$503,_calc!$E$374))=0,"",INDEX('Checklist'!$A$4:$A$503,_calc!$E$374))&amp;". ")&amp;IF(LEN(IF(LEN(INDEX('Checklist'!$E$4:$E$503,_calc!$E$374))=0,"",INDEX('Checklist'!$E$4:$E$503,_calc!$E$374)))=0,"","Owner: "&amp;IF(LEN(INDEX('Checklist'!$E$4:$E$503,_calc!$E$374))=0,"",INDEX('Checklist'!$E$4:$E$503,_calc!$E$374))&amp;". ")&amp;IF(LEN(IF(LEN(INDEX('Checklist'!$F$4:$F$503,_calc!$E$374))=0,"",INDEX('Checklist'!$F$4:$F$503,_calc!$E$374)))=0,"","Backup: "&amp;IF(LEN(INDEX('Checklist'!$F$4:$F$503,_calc!$E$374))=0,"",INDEX('Checklist'!$F$4:$F$503,_calc!$E$374))&amp;". ")&amp;IF(LEN(IF(LEN(INDEX('Checklist'!$J$4:$J$503,_calc!$E$374))=0,"",INDEX('Checklist'!$J$4:$J$503,_calc!$E$374)))=0,"","Evidence: "&amp;IF(LEN(INDEX('Checklist'!$J$4:$J$503,_calc!$E$374))=0,"",INDEX('Checklist'!$J$4:$J$503,_calc!$E$374))&amp;". ")&amp;IF(LEN(IF(LEN(INDEX('Checklist'!$D$4:$D$503,_calc!$E$374))=0,"",INDEX('Checklist'!$D$4:$D$503,_calc!$E$374)))=0,"","Rule example: "&amp;IF(LEN(INDEX('Checklist'!$D$4:$D$503,_calc!$E$374))=0,"",INDEX('Checklist'!$D$4:$D$503,_calc!$E$374))&amp;". ")&amp;IF(LEN(IF(LEN(INDEX('Checklist'!$P$4:$P$503,_calc!$E$374))=0,"",INDEX('Checklist'!$P$4:$P$503,_calc!$E$374)))=0,"",IF(LEN(INDEX('Checklist'!$P$4:$P$503,_calc!$E$374))=0,"",INDEX('Checklist'!$P$4:$P$503,_calc!$E$374)))))</f>
        <v/>
      </c>
      <c r="K372" s="44">
        <f>IF(_calc!$E$374="","",IF(LEN(INDEX('Checklist'!$G$4:$G$503,_calc!$E$374))=0,"",INDEX('Checklist'!$G$4:$G$503,_calc!$E$374)))</f>
        <v/>
      </c>
    </row>
    <row r="373">
      <c r="A373" s="44">
        <f>IF(_calc!$E$375="","","Survey check – "&amp;IF(LEN(INDEX('Checklist'!$C$4:$C$503,_calc!$E$375))=0,"",INDEX('Checklist'!$C$4:$C$503,_calc!$E$375)))</f>
        <v/>
      </c>
      <c r="B373" s="44">
        <f>IF(_calc!$E$375="","",IF(ISNUMBER(INDEX('Checklist'!$L$4:$L$503,_calc!$E$375)),TEXT(INDEX('Checklist'!$L$4:$L$503,_calc!$E$375),"yyyy-mm-dd"),""))</f>
        <v/>
      </c>
      <c r="C373" s="44">
        <f>IF(_calc!$E$375="","","Survey readiness")</f>
        <v/>
      </c>
      <c r="D373" s="44">
        <f>IF(_calc!$E$375="","",IF(ISNUMBER(INDEX('Checklist'!$H$4:$H$503,_calc!$E$375)),TEXT(INDEX('Checklist'!$H$4:$H$503,_calc!$E$375),"yyyy-mm-dd"),""))</f>
        <v/>
      </c>
      <c r="F373" s="44">
        <f>IF(_calc!$E$375="","",TRIM(IF(LEN(IF(LEN(INDEX('Checklist'!$A$4:$A$503,_calc!$E$375))=0,"",INDEX('Checklist'!$A$4:$A$503,_calc!$E$375)))=0,"","Group: "&amp;IF(LEN(INDEX('Checklist'!$A$4:$A$503,_calc!$E$375))=0,"",INDEX('Checklist'!$A$4:$A$503,_calc!$E$375))&amp;". ")&amp;IF(LEN(IF(LEN(INDEX('Checklist'!$E$4:$E$503,_calc!$E$375))=0,"",INDEX('Checklist'!$E$4:$E$503,_calc!$E$375)))=0,"","Owner: "&amp;IF(LEN(INDEX('Checklist'!$E$4:$E$503,_calc!$E$375))=0,"",INDEX('Checklist'!$E$4:$E$503,_calc!$E$375))&amp;". ")&amp;IF(LEN(IF(LEN(INDEX('Checklist'!$F$4:$F$503,_calc!$E$375))=0,"",INDEX('Checklist'!$F$4:$F$503,_calc!$E$375)))=0,"","Backup: "&amp;IF(LEN(INDEX('Checklist'!$F$4:$F$503,_calc!$E$375))=0,"",INDEX('Checklist'!$F$4:$F$503,_calc!$E$375))&amp;". ")&amp;IF(LEN(IF(LEN(INDEX('Checklist'!$J$4:$J$503,_calc!$E$375))=0,"",INDEX('Checklist'!$J$4:$J$503,_calc!$E$375)))=0,"","Evidence: "&amp;IF(LEN(INDEX('Checklist'!$J$4:$J$503,_calc!$E$375))=0,"",INDEX('Checklist'!$J$4:$J$503,_calc!$E$375))&amp;". ")&amp;IF(LEN(IF(LEN(INDEX('Checklist'!$D$4:$D$503,_calc!$E$375))=0,"",INDEX('Checklist'!$D$4:$D$503,_calc!$E$375)))=0,"","Rule example: "&amp;IF(LEN(INDEX('Checklist'!$D$4:$D$503,_calc!$E$375))=0,"",INDEX('Checklist'!$D$4:$D$503,_calc!$E$375))&amp;". ")&amp;IF(LEN(IF(LEN(INDEX('Checklist'!$P$4:$P$503,_calc!$E$375))=0,"",INDEX('Checklist'!$P$4:$P$503,_calc!$E$375)))=0,"",IF(LEN(INDEX('Checklist'!$P$4:$P$503,_calc!$E$375))=0,"",INDEX('Checklist'!$P$4:$P$503,_calc!$E$375)))))</f>
        <v/>
      </c>
      <c r="K373" s="44">
        <f>IF(_calc!$E$375="","",IF(LEN(INDEX('Checklist'!$G$4:$G$503,_calc!$E$375))=0,"",INDEX('Checklist'!$G$4:$G$503,_calc!$E$375)))</f>
        <v/>
      </c>
    </row>
    <row r="374">
      <c r="A374" s="44">
        <f>IF(_calc!$E$376="","","Survey check – "&amp;IF(LEN(INDEX('Checklist'!$C$4:$C$503,_calc!$E$376))=0,"",INDEX('Checklist'!$C$4:$C$503,_calc!$E$376)))</f>
        <v/>
      </c>
      <c r="B374" s="44">
        <f>IF(_calc!$E$376="","",IF(ISNUMBER(INDEX('Checklist'!$L$4:$L$503,_calc!$E$376)),TEXT(INDEX('Checklist'!$L$4:$L$503,_calc!$E$376),"yyyy-mm-dd"),""))</f>
        <v/>
      </c>
      <c r="C374" s="44">
        <f>IF(_calc!$E$376="","","Survey readiness")</f>
        <v/>
      </c>
      <c r="D374" s="44">
        <f>IF(_calc!$E$376="","",IF(ISNUMBER(INDEX('Checklist'!$H$4:$H$503,_calc!$E$376)),TEXT(INDEX('Checklist'!$H$4:$H$503,_calc!$E$376),"yyyy-mm-dd"),""))</f>
        <v/>
      </c>
      <c r="F374" s="44">
        <f>IF(_calc!$E$376="","",TRIM(IF(LEN(IF(LEN(INDEX('Checklist'!$A$4:$A$503,_calc!$E$376))=0,"",INDEX('Checklist'!$A$4:$A$503,_calc!$E$376)))=0,"","Group: "&amp;IF(LEN(INDEX('Checklist'!$A$4:$A$503,_calc!$E$376))=0,"",INDEX('Checklist'!$A$4:$A$503,_calc!$E$376))&amp;". ")&amp;IF(LEN(IF(LEN(INDEX('Checklist'!$E$4:$E$503,_calc!$E$376))=0,"",INDEX('Checklist'!$E$4:$E$503,_calc!$E$376)))=0,"","Owner: "&amp;IF(LEN(INDEX('Checklist'!$E$4:$E$503,_calc!$E$376))=0,"",INDEX('Checklist'!$E$4:$E$503,_calc!$E$376))&amp;". ")&amp;IF(LEN(IF(LEN(INDEX('Checklist'!$F$4:$F$503,_calc!$E$376))=0,"",INDEX('Checklist'!$F$4:$F$503,_calc!$E$376)))=0,"","Backup: "&amp;IF(LEN(INDEX('Checklist'!$F$4:$F$503,_calc!$E$376))=0,"",INDEX('Checklist'!$F$4:$F$503,_calc!$E$376))&amp;". ")&amp;IF(LEN(IF(LEN(INDEX('Checklist'!$J$4:$J$503,_calc!$E$376))=0,"",INDEX('Checklist'!$J$4:$J$503,_calc!$E$376)))=0,"","Evidence: "&amp;IF(LEN(INDEX('Checklist'!$J$4:$J$503,_calc!$E$376))=0,"",INDEX('Checklist'!$J$4:$J$503,_calc!$E$376))&amp;". ")&amp;IF(LEN(IF(LEN(INDEX('Checklist'!$D$4:$D$503,_calc!$E$376))=0,"",INDEX('Checklist'!$D$4:$D$503,_calc!$E$376)))=0,"","Rule example: "&amp;IF(LEN(INDEX('Checklist'!$D$4:$D$503,_calc!$E$376))=0,"",INDEX('Checklist'!$D$4:$D$503,_calc!$E$376))&amp;". ")&amp;IF(LEN(IF(LEN(INDEX('Checklist'!$P$4:$P$503,_calc!$E$376))=0,"",INDEX('Checklist'!$P$4:$P$503,_calc!$E$376)))=0,"",IF(LEN(INDEX('Checklist'!$P$4:$P$503,_calc!$E$376))=0,"",INDEX('Checklist'!$P$4:$P$503,_calc!$E$376)))))</f>
        <v/>
      </c>
      <c r="K374" s="44">
        <f>IF(_calc!$E$376="","",IF(LEN(INDEX('Checklist'!$G$4:$G$503,_calc!$E$376))=0,"",INDEX('Checklist'!$G$4:$G$503,_calc!$E$376)))</f>
        <v/>
      </c>
    </row>
    <row r="375">
      <c r="A375" s="44">
        <f>IF(_calc!$E$377="","","Survey check – "&amp;IF(LEN(INDEX('Checklist'!$C$4:$C$503,_calc!$E$377))=0,"",INDEX('Checklist'!$C$4:$C$503,_calc!$E$377)))</f>
        <v/>
      </c>
      <c r="B375" s="44">
        <f>IF(_calc!$E$377="","",IF(ISNUMBER(INDEX('Checklist'!$L$4:$L$503,_calc!$E$377)),TEXT(INDEX('Checklist'!$L$4:$L$503,_calc!$E$377),"yyyy-mm-dd"),""))</f>
        <v/>
      </c>
      <c r="C375" s="44">
        <f>IF(_calc!$E$377="","","Survey readiness")</f>
        <v/>
      </c>
      <c r="D375" s="44">
        <f>IF(_calc!$E$377="","",IF(ISNUMBER(INDEX('Checklist'!$H$4:$H$503,_calc!$E$377)),TEXT(INDEX('Checklist'!$H$4:$H$503,_calc!$E$377),"yyyy-mm-dd"),""))</f>
        <v/>
      </c>
      <c r="F375" s="44">
        <f>IF(_calc!$E$377="","",TRIM(IF(LEN(IF(LEN(INDEX('Checklist'!$A$4:$A$503,_calc!$E$377))=0,"",INDEX('Checklist'!$A$4:$A$503,_calc!$E$377)))=0,"","Group: "&amp;IF(LEN(INDEX('Checklist'!$A$4:$A$503,_calc!$E$377))=0,"",INDEX('Checklist'!$A$4:$A$503,_calc!$E$377))&amp;". ")&amp;IF(LEN(IF(LEN(INDEX('Checklist'!$E$4:$E$503,_calc!$E$377))=0,"",INDEX('Checklist'!$E$4:$E$503,_calc!$E$377)))=0,"","Owner: "&amp;IF(LEN(INDEX('Checklist'!$E$4:$E$503,_calc!$E$377))=0,"",INDEX('Checklist'!$E$4:$E$503,_calc!$E$377))&amp;". ")&amp;IF(LEN(IF(LEN(INDEX('Checklist'!$F$4:$F$503,_calc!$E$377))=0,"",INDEX('Checklist'!$F$4:$F$503,_calc!$E$377)))=0,"","Backup: "&amp;IF(LEN(INDEX('Checklist'!$F$4:$F$503,_calc!$E$377))=0,"",INDEX('Checklist'!$F$4:$F$503,_calc!$E$377))&amp;". ")&amp;IF(LEN(IF(LEN(INDEX('Checklist'!$J$4:$J$503,_calc!$E$377))=0,"",INDEX('Checklist'!$J$4:$J$503,_calc!$E$377)))=0,"","Evidence: "&amp;IF(LEN(INDEX('Checklist'!$J$4:$J$503,_calc!$E$377))=0,"",INDEX('Checklist'!$J$4:$J$503,_calc!$E$377))&amp;". ")&amp;IF(LEN(IF(LEN(INDEX('Checklist'!$D$4:$D$503,_calc!$E$377))=0,"",INDEX('Checklist'!$D$4:$D$503,_calc!$E$377)))=0,"","Rule example: "&amp;IF(LEN(INDEX('Checklist'!$D$4:$D$503,_calc!$E$377))=0,"",INDEX('Checklist'!$D$4:$D$503,_calc!$E$377))&amp;". ")&amp;IF(LEN(IF(LEN(INDEX('Checklist'!$P$4:$P$503,_calc!$E$377))=0,"",INDEX('Checklist'!$P$4:$P$503,_calc!$E$377)))=0,"",IF(LEN(INDEX('Checklist'!$P$4:$P$503,_calc!$E$377))=0,"",INDEX('Checklist'!$P$4:$P$503,_calc!$E$377)))))</f>
        <v/>
      </c>
      <c r="K375" s="44">
        <f>IF(_calc!$E$377="","",IF(LEN(INDEX('Checklist'!$G$4:$G$503,_calc!$E$377))=0,"",INDEX('Checklist'!$G$4:$G$503,_calc!$E$377)))</f>
        <v/>
      </c>
    </row>
    <row r="376">
      <c r="A376" s="44">
        <f>IF(_calc!$E$378="","","Survey check – "&amp;IF(LEN(INDEX('Checklist'!$C$4:$C$503,_calc!$E$378))=0,"",INDEX('Checklist'!$C$4:$C$503,_calc!$E$378)))</f>
        <v/>
      </c>
      <c r="B376" s="44">
        <f>IF(_calc!$E$378="","",IF(ISNUMBER(INDEX('Checklist'!$L$4:$L$503,_calc!$E$378)),TEXT(INDEX('Checklist'!$L$4:$L$503,_calc!$E$378),"yyyy-mm-dd"),""))</f>
        <v/>
      </c>
      <c r="C376" s="44">
        <f>IF(_calc!$E$378="","","Survey readiness")</f>
        <v/>
      </c>
      <c r="D376" s="44">
        <f>IF(_calc!$E$378="","",IF(ISNUMBER(INDEX('Checklist'!$H$4:$H$503,_calc!$E$378)),TEXT(INDEX('Checklist'!$H$4:$H$503,_calc!$E$378),"yyyy-mm-dd"),""))</f>
        <v/>
      </c>
      <c r="F376" s="44">
        <f>IF(_calc!$E$378="","",TRIM(IF(LEN(IF(LEN(INDEX('Checklist'!$A$4:$A$503,_calc!$E$378))=0,"",INDEX('Checklist'!$A$4:$A$503,_calc!$E$378)))=0,"","Group: "&amp;IF(LEN(INDEX('Checklist'!$A$4:$A$503,_calc!$E$378))=0,"",INDEX('Checklist'!$A$4:$A$503,_calc!$E$378))&amp;". ")&amp;IF(LEN(IF(LEN(INDEX('Checklist'!$E$4:$E$503,_calc!$E$378))=0,"",INDEX('Checklist'!$E$4:$E$503,_calc!$E$378)))=0,"","Owner: "&amp;IF(LEN(INDEX('Checklist'!$E$4:$E$503,_calc!$E$378))=0,"",INDEX('Checklist'!$E$4:$E$503,_calc!$E$378))&amp;". ")&amp;IF(LEN(IF(LEN(INDEX('Checklist'!$F$4:$F$503,_calc!$E$378))=0,"",INDEX('Checklist'!$F$4:$F$503,_calc!$E$378)))=0,"","Backup: "&amp;IF(LEN(INDEX('Checklist'!$F$4:$F$503,_calc!$E$378))=0,"",INDEX('Checklist'!$F$4:$F$503,_calc!$E$378))&amp;". ")&amp;IF(LEN(IF(LEN(INDEX('Checklist'!$J$4:$J$503,_calc!$E$378))=0,"",INDEX('Checklist'!$J$4:$J$503,_calc!$E$378)))=0,"","Evidence: "&amp;IF(LEN(INDEX('Checklist'!$J$4:$J$503,_calc!$E$378))=0,"",INDEX('Checklist'!$J$4:$J$503,_calc!$E$378))&amp;". ")&amp;IF(LEN(IF(LEN(INDEX('Checklist'!$D$4:$D$503,_calc!$E$378))=0,"",INDEX('Checklist'!$D$4:$D$503,_calc!$E$378)))=0,"","Rule example: "&amp;IF(LEN(INDEX('Checklist'!$D$4:$D$503,_calc!$E$378))=0,"",INDEX('Checklist'!$D$4:$D$503,_calc!$E$378))&amp;". ")&amp;IF(LEN(IF(LEN(INDEX('Checklist'!$P$4:$P$503,_calc!$E$378))=0,"",INDEX('Checklist'!$P$4:$P$503,_calc!$E$378)))=0,"",IF(LEN(INDEX('Checklist'!$P$4:$P$503,_calc!$E$378))=0,"",INDEX('Checklist'!$P$4:$P$503,_calc!$E$378)))))</f>
        <v/>
      </c>
      <c r="K376" s="44">
        <f>IF(_calc!$E$378="","",IF(LEN(INDEX('Checklist'!$G$4:$G$503,_calc!$E$378))=0,"",INDEX('Checklist'!$G$4:$G$503,_calc!$E$378)))</f>
        <v/>
      </c>
    </row>
    <row r="377">
      <c r="A377" s="44">
        <f>IF(_calc!$E$379="","","Survey check – "&amp;IF(LEN(INDEX('Checklist'!$C$4:$C$503,_calc!$E$379))=0,"",INDEX('Checklist'!$C$4:$C$503,_calc!$E$379)))</f>
        <v/>
      </c>
      <c r="B377" s="44">
        <f>IF(_calc!$E$379="","",IF(ISNUMBER(INDEX('Checklist'!$L$4:$L$503,_calc!$E$379)),TEXT(INDEX('Checklist'!$L$4:$L$503,_calc!$E$379),"yyyy-mm-dd"),""))</f>
        <v/>
      </c>
      <c r="C377" s="44">
        <f>IF(_calc!$E$379="","","Survey readiness")</f>
        <v/>
      </c>
      <c r="D377" s="44">
        <f>IF(_calc!$E$379="","",IF(ISNUMBER(INDEX('Checklist'!$H$4:$H$503,_calc!$E$379)),TEXT(INDEX('Checklist'!$H$4:$H$503,_calc!$E$379),"yyyy-mm-dd"),""))</f>
        <v/>
      </c>
      <c r="F377" s="44">
        <f>IF(_calc!$E$379="","",TRIM(IF(LEN(IF(LEN(INDEX('Checklist'!$A$4:$A$503,_calc!$E$379))=0,"",INDEX('Checklist'!$A$4:$A$503,_calc!$E$379)))=0,"","Group: "&amp;IF(LEN(INDEX('Checklist'!$A$4:$A$503,_calc!$E$379))=0,"",INDEX('Checklist'!$A$4:$A$503,_calc!$E$379))&amp;". ")&amp;IF(LEN(IF(LEN(INDEX('Checklist'!$E$4:$E$503,_calc!$E$379))=0,"",INDEX('Checklist'!$E$4:$E$503,_calc!$E$379)))=0,"","Owner: "&amp;IF(LEN(INDEX('Checklist'!$E$4:$E$503,_calc!$E$379))=0,"",INDEX('Checklist'!$E$4:$E$503,_calc!$E$379))&amp;". ")&amp;IF(LEN(IF(LEN(INDEX('Checklist'!$F$4:$F$503,_calc!$E$379))=0,"",INDEX('Checklist'!$F$4:$F$503,_calc!$E$379)))=0,"","Backup: "&amp;IF(LEN(INDEX('Checklist'!$F$4:$F$503,_calc!$E$379))=0,"",INDEX('Checklist'!$F$4:$F$503,_calc!$E$379))&amp;". ")&amp;IF(LEN(IF(LEN(INDEX('Checklist'!$J$4:$J$503,_calc!$E$379))=0,"",INDEX('Checklist'!$J$4:$J$503,_calc!$E$379)))=0,"","Evidence: "&amp;IF(LEN(INDEX('Checklist'!$J$4:$J$503,_calc!$E$379))=0,"",INDEX('Checklist'!$J$4:$J$503,_calc!$E$379))&amp;". ")&amp;IF(LEN(IF(LEN(INDEX('Checklist'!$D$4:$D$503,_calc!$E$379))=0,"",INDEX('Checklist'!$D$4:$D$503,_calc!$E$379)))=0,"","Rule example: "&amp;IF(LEN(INDEX('Checklist'!$D$4:$D$503,_calc!$E$379))=0,"",INDEX('Checklist'!$D$4:$D$503,_calc!$E$379))&amp;". ")&amp;IF(LEN(IF(LEN(INDEX('Checklist'!$P$4:$P$503,_calc!$E$379))=0,"",INDEX('Checklist'!$P$4:$P$503,_calc!$E$379)))=0,"",IF(LEN(INDEX('Checklist'!$P$4:$P$503,_calc!$E$379))=0,"",INDEX('Checklist'!$P$4:$P$503,_calc!$E$379)))))</f>
        <v/>
      </c>
      <c r="K377" s="44">
        <f>IF(_calc!$E$379="","",IF(LEN(INDEX('Checklist'!$G$4:$G$503,_calc!$E$379))=0,"",INDEX('Checklist'!$G$4:$G$503,_calc!$E$379)))</f>
        <v/>
      </c>
    </row>
    <row r="378">
      <c r="A378" s="44">
        <f>IF(_calc!$E$380="","","Survey check – "&amp;IF(LEN(INDEX('Checklist'!$C$4:$C$503,_calc!$E$380))=0,"",INDEX('Checklist'!$C$4:$C$503,_calc!$E$380)))</f>
        <v/>
      </c>
      <c r="B378" s="44">
        <f>IF(_calc!$E$380="","",IF(ISNUMBER(INDEX('Checklist'!$L$4:$L$503,_calc!$E$380)),TEXT(INDEX('Checklist'!$L$4:$L$503,_calc!$E$380),"yyyy-mm-dd"),""))</f>
        <v/>
      </c>
      <c r="C378" s="44">
        <f>IF(_calc!$E$380="","","Survey readiness")</f>
        <v/>
      </c>
      <c r="D378" s="44">
        <f>IF(_calc!$E$380="","",IF(ISNUMBER(INDEX('Checklist'!$H$4:$H$503,_calc!$E$380)),TEXT(INDEX('Checklist'!$H$4:$H$503,_calc!$E$380),"yyyy-mm-dd"),""))</f>
        <v/>
      </c>
      <c r="F378" s="44">
        <f>IF(_calc!$E$380="","",TRIM(IF(LEN(IF(LEN(INDEX('Checklist'!$A$4:$A$503,_calc!$E$380))=0,"",INDEX('Checklist'!$A$4:$A$503,_calc!$E$380)))=0,"","Group: "&amp;IF(LEN(INDEX('Checklist'!$A$4:$A$503,_calc!$E$380))=0,"",INDEX('Checklist'!$A$4:$A$503,_calc!$E$380))&amp;". ")&amp;IF(LEN(IF(LEN(INDEX('Checklist'!$E$4:$E$503,_calc!$E$380))=0,"",INDEX('Checklist'!$E$4:$E$503,_calc!$E$380)))=0,"","Owner: "&amp;IF(LEN(INDEX('Checklist'!$E$4:$E$503,_calc!$E$380))=0,"",INDEX('Checklist'!$E$4:$E$503,_calc!$E$380))&amp;". ")&amp;IF(LEN(IF(LEN(INDEX('Checklist'!$F$4:$F$503,_calc!$E$380))=0,"",INDEX('Checklist'!$F$4:$F$503,_calc!$E$380)))=0,"","Backup: "&amp;IF(LEN(INDEX('Checklist'!$F$4:$F$503,_calc!$E$380))=0,"",INDEX('Checklist'!$F$4:$F$503,_calc!$E$380))&amp;". ")&amp;IF(LEN(IF(LEN(INDEX('Checklist'!$J$4:$J$503,_calc!$E$380))=0,"",INDEX('Checklist'!$J$4:$J$503,_calc!$E$380)))=0,"","Evidence: "&amp;IF(LEN(INDEX('Checklist'!$J$4:$J$503,_calc!$E$380))=0,"",INDEX('Checklist'!$J$4:$J$503,_calc!$E$380))&amp;". ")&amp;IF(LEN(IF(LEN(INDEX('Checklist'!$D$4:$D$503,_calc!$E$380))=0,"",INDEX('Checklist'!$D$4:$D$503,_calc!$E$380)))=0,"","Rule example: "&amp;IF(LEN(INDEX('Checklist'!$D$4:$D$503,_calc!$E$380))=0,"",INDEX('Checklist'!$D$4:$D$503,_calc!$E$380))&amp;". ")&amp;IF(LEN(IF(LEN(INDEX('Checklist'!$P$4:$P$503,_calc!$E$380))=0,"",INDEX('Checklist'!$P$4:$P$503,_calc!$E$380)))=0,"",IF(LEN(INDEX('Checklist'!$P$4:$P$503,_calc!$E$380))=0,"",INDEX('Checklist'!$P$4:$P$503,_calc!$E$380)))))</f>
        <v/>
      </c>
      <c r="K378" s="44">
        <f>IF(_calc!$E$380="","",IF(LEN(INDEX('Checklist'!$G$4:$G$503,_calc!$E$380))=0,"",INDEX('Checklist'!$G$4:$G$503,_calc!$E$380)))</f>
        <v/>
      </c>
    </row>
    <row r="379">
      <c r="A379" s="44">
        <f>IF(_calc!$E$381="","","Survey check – "&amp;IF(LEN(INDEX('Checklist'!$C$4:$C$503,_calc!$E$381))=0,"",INDEX('Checklist'!$C$4:$C$503,_calc!$E$381)))</f>
        <v/>
      </c>
      <c r="B379" s="44">
        <f>IF(_calc!$E$381="","",IF(ISNUMBER(INDEX('Checklist'!$L$4:$L$503,_calc!$E$381)),TEXT(INDEX('Checklist'!$L$4:$L$503,_calc!$E$381),"yyyy-mm-dd"),""))</f>
        <v/>
      </c>
      <c r="C379" s="44">
        <f>IF(_calc!$E$381="","","Survey readiness")</f>
        <v/>
      </c>
      <c r="D379" s="44">
        <f>IF(_calc!$E$381="","",IF(ISNUMBER(INDEX('Checklist'!$H$4:$H$503,_calc!$E$381)),TEXT(INDEX('Checklist'!$H$4:$H$503,_calc!$E$381),"yyyy-mm-dd"),""))</f>
        <v/>
      </c>
      <c r="F379" s="44">
        <f>IF(_calc!$E$381="","",TRIM(IF(LEN(IF(LEN(INDEX('Checklist'!$A$4:$A$503,_calc!$E$381))=0,"",INDEX('Checklist'!$A$4:$A$503,_calc!$E$381)))=0,"","Group: "&amp;IF(LEN(INDEX('Checklist'!$A$4:$A$503,_calc!$E$381))=0,"",INDEX('Checklist'!$A$4:$A$503,_calc!$E$381))&amp;". ")&amp;IF(LEN(IF(LEN(INDEX('Checklist'!$E$4:$E$503,_calc!$E$381))=0,"",INDEX('Checklist'!$E$4:$E$503,_calc!$E$381)))=0,"","Owner: "&amp;IF(LEN(INDEX('Checklist'!$E$4:$E$503,_calc!$E$381))=0,"",INDEX('Checklist'!$E$4:$E$503,_calc!$E$381))&amp;". ")&amp;IF(LEN(IF(LEN(INDEX('Checklist'!$F$4:$F$503,_calc!$E$381))=0,"",INDEX('Checklist'!$F$4:$F$503,_calc!$E$381)))=0,"","Backup: "&amp;IF(LEN(INDEX('Checklist'!$F$4:$F$503,_calc!$E$381))=0,"",INDEX('Checklist'!$F$4:$F$503,_calc!$E$381))&amp;". ")&amp;IF(LEN(IF(LEN(INDEX('Checklist'!$J$4:$J$503,_calc!$E$381))=0,"",INDEX('Checklist'!$J$4:$J$503,_calc!$E$381)))=0,"","Evidence: "&amp;IF(LEN(INDEX('Checklist'!$J$4:$J$503,_calc!$E$381))=0,"",INDEX('Checklist'!$J$4:$J$503,_calc!$E$381))&amp;". ")&amp;IF(LEN(IF(LEN(INDEX('Checklist'!$D$4:$D$503,_calc!$E$381))=0,"",INDEX('Checklist'!$D$4:$D$503,_calc!$E$381)))=0,"","Rule example: "&amp;IF(LEN(INDEX('Checklist'!$D$4:$D$503,_calc!$E$381))=0,"",INDEX('Checklist'!$D$4:$D$503,_calc!$E$381))&amp;". ")&amp;IF(LEN(IF(LEN(INDEX('Checklist'!$P$4:$P$503,_calc!$E$381))=0,"",INDEX('Checklist'!$P$4:$P$503,_calc!$E$381)))=0,"",IF(LEN(INDEX('Checklist'!$P$4:$P$503,_calc!$E$381))=0,"",INDEX('Checklist'!$P$4:$P$503,_calc!$E$381)))))</f>
        <v/>
      </c>
      <c r="K379" s="44">
        <f>IF(_calc!$E$381="","",IF(LEN(INDEX('Checklist'!$G$4:$G$503,_calc!$E$381))=0,"",INDEX('Checklist'!$G$4:$G$503,_calc!$E$381)))</f>
        <v/>
      </c>
    </row>
    <row r="380">
      <c r="A380" s="44">
        <f>IF(_calc!$E$382="","","Survey check – "&amp;IF(LEN(INDEX('Checklist'!$C$4:$C$503,_calc!$E$382))=0,"",INDEX('Checklist'!$C$4:$C$503,_calc!$E$382)))</f>
        <v/>
      </c>
      <c r="B380" s="44">
        <f>IF(_calc!$E$382="","",IF(ISNUMBER(INDEX('Checklist'!$L$4:$L$503,_calc!$E$382)),TEXT(INDEX('Checklist'!$L$4:$L$503,_calc!$E$382),"yyyy-mm-dd"),""))</f>
        <v/>
      </c>
      <c r="C380" s="44">
        <f>IF(_calc!$E$382="","","Survey readiness")</f>
        <v/>
      </c>
      <c r="D380" s="44">
        <f>IF(_calc!$E$382="","",IF(ISNUMBER(INDEX('Checklist'!$H$4:$H$503,_calc!$E$382)),TEXT(INDEX('Checklist'!$H$4:$H$503,_calc!$E$382),"yyyy-mm-dd"),""))</f>
        <v/>
      </c>
      <c r="F380" s="44">
        <f>IF(_calc!$E$382="","",TRIM(IF(LEN(IF(LEN(INDEX('Checklist'!$A$4:$A$503,_calc!$E$382))=0,"",INDEX('Checklist'!$A$4:$A$503,_calc!$E$382)))=0,"","Group: "&amp;IF(LEN(INDEX('Checklist'!$A$4:$A$503,_calc!$E$382))=0,"",INDEX('Checklist'!$A$4:$A$503,_calc!$E$382))&amp;". ")&amp;IF(LEN(IF(LEN(INDEX('Checklist'!$E$4:$E$503,_calc!$E$382))=0,"",INDEX('Checklist'!$E$4:$E$503,_calc!$E$382)))=0,"","Owner: "&amp;IF(LEN(INDEX('Checklist'!$E$4:$E$503,_calc!$E$382))=0,"",INDEX('Checklist'!$E$4:$E$503,_calc!$E$382))&amp;". ")&amp;IF(LEN(IF(LEN(INDEX('Checklist'!$F$4:$F$503,_calc!$E$382))=0,"",INDEX('Checklist'!$F$4:$F$503,_calc!$E$382)))=0,"","Backup: "&amp;IF(LEN(INDEX('Checklist'!$F$4:$F$503,_calc!$E$382))=0,"",INDEX('Checklist'!$F$4:$F$503,_calc!$E$382))&amp;". ")&amp;IF(LEN(IF(LEN(INDEX('Checklist'!$J$4:$J$503,_calc!$E$382))=0,"",INDEX('Checklist'!$J$4:$J$503,_calc!$E$382)))=0,"","Evidence: "&amp;IF(LEN(INDEX('Checklist'!$J$4:$J$503,_calc!$E$382))=0,"",INDEX('Checklist'!$J$4:$J$503,_calc!$E$382))&amp;". ")&amp;IF(LEN(IF(LEN(INDEX('Checklist'!$D$4:$D$503,_calc!$E$382))=0,"",INDEX('Checklist'!$D$4:$D$503,_calc!$E$382)))=0,"","Rule example: "&amp;IF(LEN(INDEX('Checklist'!$D$4:$D$503,_calc!$E$382))=0,"",INDEX('Checklist'!$D$4:$D$503,_calc!$E$382))&amp;". ")&amp;IF(LEN(IF(LEN(INDEX('Checklist'!$P$4:$P$503,_calc!$E$382))=0,"",INDEX('Checklist'!$P$4:$P$503,_calc!$E$382)))=0,"",IF(LEN(INDEX('Checklist'!$P$4:$P$503,_calc!$E$382))=0,"",INDEX('Checklist'!$P$4:$P$503,_calc!$E$382)))))</f>
        <v/>
      </c>
      <c r="K380" s="44">
        <f>IF(_calc!$E$382="","",IF(LEN(INDEX('Checklist'!$G$4:$G$503,_calc!$E$382))=0,"",INDEX('Checklist'!$G$4:$G$503,_calc!$E$382)))</f>
        <v/>
      </c>
    </row>
    <row r="381">
      <c r="A381" s="44">
        <f>IF(_calc!$E$383="","","Survey check – "&amp;IF(LEN(INDEX('Checklist'!$C$4:$C$503,_calc!$E$383))=0,"",INDEX('Checklist'!$C$4:$C$503,_calc!$E$383)))</f>
        <v/>
      </c>
      <c r="B381" s="44">
        <f>IF(_calc!$E$383="","",IF(ISNUMBER(INDEX('Checklist'!$L$4:$L$503,_calc!$E$383)),TEXT(INDEX('Checklist'!$L$4:$L$503,_calc!$E$383),"yyyy-mm-dd"),""))</f>
        <v/>
      </c>
      <c r="C381" s="44">
        <f>IF(_calc!$E$383="","","Survey readiness")</f>
        <v/>
      </c>
      <c r="D381" s="44">
        <f>IF(_calc!$E$383="","",IF(ISNUMBER(INDEX('Checklist'!$H$4:$H$503,_calc!$E$383)),TEXT(INDEX('Checklist'!$H$4:$H$503,_calc!$E$383),"yyyy-mm-dd"),""))</f>
        <v/>
      </c>
      <c r="F381" s="44">
        <f>IF(_calc!$E$383="","",TRIM(IF(LEN(IF(LEN(INDEX('Checklist'!$A$4:$A$503,_calc!$E$383))=0,"",INDEX('Checklist'!$A$4:$A$503,_calc!$E$383)))=0,"","Group: "&amp;IF(LEN(INDEX('Checklist'!$A$4:$A$503,_calc!$E$383))=0,"",INDEX('Checklist'!$A$4:$A$503,_calc!$E$383))&amp;". ")&amp;IF(LEN(IF(LEN(INDEX('Checklist'!$E$4:$E$503,_calc!$E$383))=0,"",INDEX('Checklist'!$E$4:$E$503,_calc!$E$383)))=0,"","Owner: "&amp;IF(LEN(INDEX('Checklist'!$E$4:$E$503,_calc!$E$383))=0,"",INDEX('Checklist'!$E$4:$E$503,_calc!$E$383))&amp;". ")&amp;IF(LEN(IF(LEN(INDEX('Checklist'!$F$4:$F$503,_calc!$E$383))=0,"",INDEX('Checklist'!$F$4:$F$503,_calc!$E$383)))=0,"","Backup: "&amp;IF(LEN(INDEX('Checklist'!$F$4:$F$503,_calc!$E$383))=0,"",INDEX('Checklist'!$F$4:$F$503,_calc!$E$383))&amp;". ")&amp;IF(LEN(IF(LEN(INDEX('Checklist'!$J$4:$J$503,_calc!$E$383))=0,"",INDEX('Checklist'!$J$4:$J$503,_calc!$E$383)))=0,"","Evidence: "&amp;IF(LEN(INDEX('Checklist'!$J$4:$J$503,_calc!$E$383))=0,"",INDEX('Checklist'!$J$4:$J$503,_calc!$E$383))&amp;". ")&amp;IF(LEN(IF(LEN(INDEX('Checklist'!$D$4:$D$503,_calc!$E$383))=0,"",INDEX('Checklist'!$D$4:$D$503,_calc!$E$383)))=0,"","Rule example: "&amp;IF(LEN(INDEX('Checklist'!$D$4:$D$503,_calc!$E$383))=0,"",INDEX('Checklist'!$D$4:$D$503,_calc!$E$383))&amp;". ")&amp;IF(LEN(IF(LEN(INDEX('Checklist'!$P$4:$P$503,_calc!$E$383))=0,"",INDEX('Checklist'!$P$4:$P$503,_calc!$E$383)))=0,"",IF(LEN(INDEX('Checklist'!$P$4:$P$503,_calc!$E$383))=0,"",INDEX('Checklist'!$P$4:$P$503,_calc!$E$383)))))</f>
        <v/>
      </c>
      <c r="K381" s="44">
        <f>IF(_calc!$E$383="","",IF(LEN(INDEX('Checklist'!$G$4:$G$503,_calc!$E$383))=0,"",INDEX('Checklist'!$G$4:$G$503,_calc!$E$383)))</f>
        <v/>
      </c>
    </row>
    <row r="382">
      <c r="A382" s="44">
        <f>IF(_calc!$E$384="","","Survey check – "&amp;IF(LEN(INDEX('Checklist'!$C$4:$C$503,_calc!$E$384))=0,"",INDEX('Checklist'!$C$4:$C$503,_calc!$E$384)))</f>
        <v/>
      </c>
      <c r="B382" s="44">
        <f>IF(_calc!$E$384="","",IF(ISNUMBER(INDEX('Checklist'!$L$4:$L$503,_calc!$E$384)),TEXT(INDEX('Checklist'!$L$4:$L$503,_calc!$E$384),"yyyy-mm-dd"),""))</f>
        <v/>
      </c>
      <c r="C382" s="44">
        <f>IF(_calc!$E$384="","","Survey readiness")</f>
        <v/>
      </c>
      <c r="D382" s="44">
        <f>IF(_calc!$E$384="","",IF(ISNUMBER(INDEX('Checklist'!$H$4:$H$503,_calc!$E$384)),TEXT(INDEX('Checklist'!$H$4:$H$503,_calc!$E$384),"yyyy-mm-dd"),""))</f>
        <v/>
      </c>
      <c r="F382" s="44">
        <f>IF(_calc!$E$384="","",TRIM(IF(LEN(IF(LEN(INDEX('Checklist'!$A$4:$A$503,_calc!$E$384))=0,"",INDEX('Checklist'!$A$4:$A$503,_calc!$E$384)))=0,"","Group: "&amp;IF(LEN(INDEX('Checklist'!$A$4:$A$503,_calc!$E$384))=0,"",INDEX('Checklist'!$A$4:$A$503,_calc!$E$384))&amp;". ")&amp;IF(LEN(IF(LEN(INDEX('Checklist'!$E$4:$E$503,_calc!$E$384))=0,"",INDEX('Checklist'!$E$4:$E$503,_calc!$E$384)))=0,"","Owner: "&amp;IF(LEN(INDEX('Checklist'!$E$4:$E$503,_calc!$E$384))=0,"",INDEX('Checklist'!$E$4:$E$503,_calc!$E$384))&amp;". ")&amp;IF(LEN(IF(LEN(INDEX('Checklist'!$F$4:$F$503,_calc!$E$384))=0,"",INDEX('Checklist'!$F$4:$F$503,_calc!$E$384)))=0,"","Backup: "&amp;IF(LEN(INDEX('Checklist'!$F$4:$F$503,_calc!$E$384))=0,"",INDEX('Checklist'!$F$4:$F$503,_calc!$E$384))&amp;". ")&amp;IF(LEN(IF(LEN(INDEX('Checklist'!$J$4:$J$503,_calc!$E$384))=0,"",INDEX('Checklist'!$J$4:$J$503,_calc!$E$384)))=0,"","Evidence: "&amp;IF(LEN(INDEX('Checklist'!$J$4:$J$503,_calc!$E$384))=0,"",INDEX('Checklist'!$J$4:$J$503,_calc!$E$384))&amp;". ")&amp;IF(LEN(IF(LEN(INDEX('Checklist'!$D$4:$D$503,_calc!$E$384))=0,"",INDEX('Checklist'!$D$4:$D$503,_calc!$E$384)))=0,"","Rule example: "&amp;IF(LEN(INDEX('Checklist'!$D$4:$D$503,_calc!$E$384))=0,"",INDEX('Checklist'!$D$4:$D$503,_calc!$E$384))&amp;". ")&amp;IF(LEN(IF(LEN(INDEX('Checklist'!$P$4:$P$503,_calc!$E$384))=0,"",INDEX('Checklist'!$P$4:$P$503,_calc!$E$384)))=0,"",IF(LEN(INDEX('Checklist'!$P$4:$P$503,_calc!$E$384))=0,"",INDEX('Checklist'!$P$4:$P$503,_calc!$E$384)))))</f>
        <v/>
      </c>
      <c r="K382" s="44">
        <f>IF(_calc!$E$384="","",IF(LEN(INDEX('Checklist'!$G$4:$G$503,_calc!$E$384))=0,"",INDEX('Checklist'!$G$4:$G$503,_calc!$E$384)))</f>
        <v/>
      </c>
    </row>
    <row r="383">
      <c r="A383" s="44">
        <f>IF(_calc!$E$385="","","Survey check – "&amp;IF(LEN(INDEX('Checklist'!$C$4:$C$503,_calc!$E$385))=0,"",INDEX('Checklist'!$C$4:$C$503,_calc!$E$385)))</f>
        <v/>
      </c>
      <c r="B383" s="44">
        <f>IF(_calc!$E$385="","",IF(ISNUMBER(INDEX('Checklist'!$L$4:$L$503,_calc!$E$385)),TEXT(INDEX('Checklist'!$L$4:$L$503,_calc!$E$385),"yyyy-mm-dd"),""))</f>
        <v/>
      </c>
      <c r="C383" s="44">
        <f>IF(_calc!$E$385="","","Survey readiness")</f>
        <v/>
      </c>
      <c r="D383" s="44">
        <f>IF(_calc!$E$385="","",IF(ISNUMBER(INDEX('Checklist'!$H$4:$H$503,_calc!$E$385)),TEXT(INDEX('Checklist'!$H$4:$H$503,_calc!$E$385),"yyyy-mm-dd"),""))</f>
        <v/>
      </c>
      <c r="F383" s="44">
        <f>IF(_calc!$E$385="","",TRIM(IF(LEN(IF(LEN(INDEX('Checklist'!$A$4:$A$503,_calc!$E$385))=0,"",INDEX('Checklist'!$A$4:$A$503,_calc!$E$385)))=0,"","Group: "&amp;IF(LEN(INDEX('Checklist'!$A$4:$A$503,_calc!$E$385))=0,"",INDEX('Checklist'!$A$4:$A$503,_calc!$E$385))&amp;". ")&amp;IF(LEN(IF(LEN(INDEX('Checklist'!$E$4:$E$503,_calc!$E$385))=0,"",INDEX('Checklist'!$E$4:$E$503,_calc!$E$385)))=0,"","Owner: "&amp;IF(LEN(INDEX('Checklist'!$E$4:$E$503,_calc!$E$385))=0,"",INDEX('Checklist'!$E$4:$E$503,_calc!$E$385))&amp;". ")&amp;IF(LEN(IF(LEN(INDEX('Checklist'!$F$4:$F$503,_calc!$E$385))=0,"",INDEX('Checklist'!$F$4:$F$503,_calc!$E$385)))=0,"","Backup: "&amp;IF(LEN(INDEX('Checklist'!$F$4:$F$503,_calc!$E$385))=0,"",INDEX('Checklist'!$F$4:$F$503,_calc!$E$385))&amp;". ")&amp;IF(LEN(IF(LEN(INDEX('Checklist'!$J$4:$J$503,_calc!$E$385))=0,"",INDEX('Checklist'!$J$4:$J$503,_calc!$E$385)))=0,"","Evidence: "&amp;IF(LEN(INDEX('Checklist'!$J$4:$J$503,_calc!$E$385))=0,"",INDEX('Checklist'!$J$4:$J$503,_calc!$E$385))&amp;". ")&amp;IF(LEN(IF(LEN(INDEX('Checklist'!$D$4:$D$503,_calc!$E$385))=0,"",INDEX('Checklist'!$D$4:$D$503,_calc!$E$385)))=0,"","Rule example: "&amp;IF(LEN(INDEX('Checklist'!$D$4:$D$503,_calc!$E$385))=0,"",INDEX('Checklist'!$D$4:$D$503,_calc!$E$385))&amp;". ")&amp;IF(LEN(IF(LEN(INDEX('Checklist'!$P$4:$P$503,_calc!$E$385))=0,"",INDEX('Checklist'!$P$4:$P$503,_calc!$E$385)))=0,"",IF(LEN(INDEX('Checklist'!$P$4:$P$503,_calc!$E$385))=0,"",INDEX('Checklist'!$P$4:$P$503,_calc!$E$385)))))</f>
        <v/>
      </c>
      <c r="K383" s="44">
        <f>IF(_calc!$E$385="","",IF(LEN(INDEX('Checklist'!$G$4:$G$503,_calc!$E$385))=0,"",INDEX('Checklist'!$G$4:$G$503,_calc!$E$385)))</f>
        <v/>
      </c>
    </row>
    <row r="384">
      <c r="A384" s="44">
        <f>IF(_calc!$E$386="","","Survey check – "&amp;IF(LEN(INDEX('Checklist'!$C$4:$C$503,_calc!$E$386))=0,"",INDEX('Checklist'!$C$4:$C$503,_calc!$E$386)))</f>
        <v/>
      </c>
      <c r="B384" s="44">
        <f>IF(_calc!$E$386="","",IF(ISNUMBER(INDEX('Checklist'!$L$4:$L$503,_calc!$E$386)),TEXT(INDEX('Checklist'!$L$4:$L$503,_calc!$E$386),"yyyy-mm-dd"),""))</f>
        <v/>
      </c>
      <c r="C384" s="44">
        <f>IF(_calc!$E$386="","","Survey readiness")</f>
        <v/>
      </c>
      <c r="D384" s="44">
        <f>IF(_calc!$E$386="","",IF(ISNUMBER(INDEX('Checklist'!$H$4:$H$503,_calc!$E$386)),TEXT(INDEX('Checklist'!$H$4:$H$503,_calc!$E$386),"yyyy-mm-dd"),""))</f>
        <v/>
      </c>
      <c r="F384" s="44">
        <f>IF(_calc!$E$386="","",TRIM(IF(LEN(IF(LEN(INDEX('Checklist'!$A$4:$A$503,_calc!$E$386))=0,"",INDEX('Checklist'!$A$4:$A$503,_calc!$E$386)))=0,"","Group: "&amp;IF(LEN(INDEX('Checklist'!$A$4:$A$503,_calc!$E$386))=0,"",INDEX('Checklist'!$A$4:$A$503,_calc!$E$386))&amp;". ")&amp;IF(LEN(IF(LEN(INDEX('Checklist'!$E$4:$E$503,_calc!$E$386))=0,"",INDEX('Checklist'!$E$4:$E$503,_calc!$E$386)))=0,"","Owner: "&amp;IF(LEN(INDEX('Checklist'!$E$4:$E$503,_calc!$E$386))=0,"",INDEX('Checklist'!$E$4:$E$503,_calc!$E$386))&amp;". ")&amp;IF(LEN(IF(LEN(INDEX('Checklist'!$F$4:$F$503,_calc!$E$386))=0,"",INDEX('Checklist'!$F$4:$F$503,_calc!$E$386)))=0,"","Backup: "&amp;IF(LEN(INDEX('Checklist'!$F$4:$F$503,_calc!$E$386))=0,"",INDEX('Checklist'!$F$4:$F$503,_calc!$E$386))&amp;". ")&amp;IF(LEN(IF(LEN(INDEX('Checklist'!$J$4:$J$503,_calc!$E$386))=0,"",INDEX('Checklist'!$J$4:$J$503,_calc!$E$386)))=0,"","Evidence: "&amp;IF(LEN(INDEX('Checklist'!$J$4:$J$503,_calc!$E$386))=0,"",INDEX('Checklist'!$J$4:$J$503,_calc!$E$386))&amp;". ")&amp;IF(LEN(IF(LEN(INDEX('Checklist'!$D$4:$D$503,_calc!$E$386))=0,"",INDEX('Checklist'!$D$4:$D$503,_calc!$E$386)))=0,"","Rule example: "&amp;IF(LEN(INDEX('Checklist'!$D$4:$D$503,_calc!$E$386))=0,"",INDEX('Checklist'!$D$4:$D$503,_calc!$E$386))&amp;". ")&amp;IF(LEN(IF(LEN(INDEX('Checklist'!$P$4:$P$503,_calc!$E$386))=0,"",INDEX('Checklist'!$P$4:$P$503,_calc!$E$386)))=0,"",IF(LEN(INDEX('Checklist'!$P$4:$P$503,_calc!$E$386))=0,"",INDEX('Checklist'!$P$4:$P$503,_calc!$E$386)))))</f>
        <v/>
      </c>
      <c r="K384" s="44">
        <f>IF(_calc!$E$386="","",IF(LEN(INDEX('Checklist'!$G$4:$G$503,_calc!$E$386))=0,"",INDEX('Checklist'!$G$4:$G$503,_calc!$E$386)))</f>
        <v/>
      </c>
    </row>
    <row r="385">
      <c r="A385" s="44">
        <f>IF(_calc!$E$387="","","Survey check – "&amp;IF(LEN(INDEX('Checklist'!$C$4:$C$503,_calc!$E$387))=0,"",INDEX('Checklist'!$C$4:$C$503,_calc!$E$387)))</f>
        <v/>
      </c>
      <c r="B385" s="44">
        <f>IF(_calc!$E$387="","",IF(ISNUMBER(INDEX('Checklist'!$L$4:$L$503,_calc!$E$387)),TEXT(INDEX('Checklist'!$L$4:$L$503,_calc!$E$387),"yyyy-mm-dd"),""))</f>
        <v/>
      </c>
      <c r="C385" s="44">
        <f>IF(_calc!$E$387="","","Survey readiness")</f>
        <v/>
      </c>
      <c r="D385" s="44">
        <f>IF(_calc!$E$387="","",IF(ISNUMBER(INDEX('Checklist'!$H$4:$H$503,_calc!$E$387)),TEXT(INDEX('Checklist'!$H$4:$H$503,_calc!$E$387),"yyyy-mm-dd"),""))</f>
        <v/>
      </c>
      <c r="F385" s="44">
        <f>IF(_calc!$E$387="","",TRIM(IF(LEN(IF(LEN(INDEX('Checklist'!$A$4:$A$503,_calc!$E$387))=0,"",INDEX('Checklist'!$A$4:$A$503,_calc!$E$387)))=0,"","Group: "&amp;IF(LEN(INDEX('Checklist'!$A$4:$A$503,_calc!$E$387))=0,"",INDEX('Checklist'!$A$4:$A$503,_calc!$E$387))&amp;". ")&amp;IF(LEN(IF(LEN(INDEX('Checklist'!$E$4:$E$503,_calc!$E$387))=0,"",INDEX('Checklist'!$E$4:$E$503,_calc!$E$387)))=0,"","Owner: "&amp;IF(LEN(INDEX('Checklist'!$E$4:$E$503,_calc!$E$387))=0,"",INDEX('Checklist'!$E$4:$E$503,_calc!$E$387))&amp;". ")&amp;IF(LEN(IF(LEN(INDEX('Checklist'!$F$4:$F$503,_calc!$E$387))=0,"",INDEX('Checklist'!$F$4:$F$503,_calc!$E$387)))=0,"","Backup: "&amp;IF(LEN(INDEX('Checklist'!$F$4:$F$503,_calc!$E$387))=0,"",INDEX('Checklist'!$F$4:$F$503,_calc!$E$387))&amp;". ")&amp;IF(LEN(IF(LEN(INDEX('Checklist'!$J$4:$J$503,_calc!$E$387))=0,"",INDEX('Checklist'!$J$4:$J$503,_calc!$E$387)))=0,"","Evidence: "&amp;IF(LEN(INDEX('Checklist'!$J$4:$J$503,_calc!$E$387))=0,"",INDEX('Checklist'!$J$4:$J$503,_calc!$E$387))&amp;". ")&amp;IF(LEN(IF(LEN(INDEX('Checklist'!$D$4:$D$503,_calc!$E$387))=0,"",INDEX('Checklist'!$D$4:$D$503,_calc!$E$387)))=0,"","Rule example: "&amp;IF(LEN(INDEX('Checklist'!$D$4:$D$503,_calc!$E$387))=0,"",INDEX('Checklist'!$D$4:$D$503,_calc!$E$387))&amp;". ")&amp;IF(LEN(IF(LEN(INDEX('Checklist'!$P$4:$P$503,_calc!$E$387))=0,"",INDEX('Checklist'!$P$4:$P$503,_calc!$E$387)))=0,"",IF(LEN(INDEX('Checklist'!$P$4:$P$503,_calc!$E$387))=0,"",INDEX('Checklist'!$P$4:$P$503,_calc!$E$387)))))</f>
        <v/>
      </c>
      <c r="K385" s="44">
        <f>IF(_calc!$E$387="","",IF(LEN(INDEX('Checklist'!$G$4:$G$503,_calc!$E$387))=0,"",INDEX('Checklist'!$G$4:$G$503,_calc!$E$387)))</f>
        <v/>
      </c>
    </row>
    <row r="386">
      <c r="A386" s="44">
        <f>IF(_calc!$E$388="","","Survey check – "&amp;IF(LEN(INDEX('Checklist'!$C$4:$C$503,_calc!$E$388))=0,"",INDEX('Checklist'!$C$4:$C$503,_calc!$E$388)))</f>
        <v/>
      </c>
      <c r="B386" s="44">
        <f>IF(_calc!$E$388="","",IF(ISNUMBER(INDEX('Checklist'!$L$4:$L$503,_calc!$E$388)),TEXT(INDEX('Checklist'!$L$4:$L$503,_calc!$E$388),"yyyy-mm-dd"),""))</f>
        <v/>
      </c>
      <c r="C386" s="44">
        <f>IF(_calc!$E$388="","","Survey readiness")</f>
        <v/>
      </c>
      <c r="D386" s="44">
        <f>IF(_calc!$E$388="","",IF(ISNUMBER(INDEX('Checklist'!$H$4:$H$503,_calc!$E$388)),TEXT(INDEX('Checklist'!$H$4:$H$503,_calc!$E$388),"yyyy-mm-dd"),""))</f>
        <v/>
      </c>
      <c r="F386" s="44">
        <f>IF(_calc!$E$388="","",TRIM(IF(LEN(IF(LEN(INDEX('Checklist'!$A$4:$A$503,_calc!$E$388))=0,"",INDEX('Checklist'!$A$4:$A$503,_calc!$E$388)))=0,"","Group: "&amp;IF(LEN(INDEX('Checklist'!$A$4:$A$503,_calc!$E$388))=0,"",INDEX('Checklist'!$A$4:$A$503,_calc!$E$388))&amp;". ")&amp;IF(LEN(IF(LEN(INDEX('Checklist'!$E$4:$E$503,_calc!$E$388))=0,"",INDEX('Checklist'!$E$4:$E$503,_calc!$E$388)))=0,"","Owner: "&amp;IF(LEN(INDEX('Checklist'!$E$4:$E$503,_calc!$E$388))=0,"",INDEX('Checklist'!$E$4:$E$503,_calc!$E$388))&amp;". ")&amp;IF(LEN(IF(LEN(INDEX('Checklist'!$F$4:$F$503,_calc!$E$388))=0,"",INDEX('Checklist'!$F$4:$F$503,_calc!$E$388)))=0,"","Backup: "&amp;IF(LEN(INDEX('Checklist'!$F$4:$F$503,_calc!$E$388))=0,"",INDEX('Checklist'!$F$4:$F$503,_calc!$E$388))&amp;". ")&amp;IF(LEN(IF(LEN(INDEX('Checklist'!$J$4:$J$503,_calc!$E$388))=0,"",INDEX('Checklist'!$J$4:$J$503,_calc!$E$388)))=0,"","Evidence: "&amp;IF(LEN(INDEX('Checklist'!$J$4:$J$503,_calc!$E$388))=0,"",INDEX('Checklist'!$J$4:$J$503,_calc!$E$388))&amp;". ")&amp;IF(LEN(IF(LEN(INDEX('Checklist'!$D$4:$D$503,_calc!$E$388))=0,"",INDEX('Checklist'!$D$4:$D$503,_calc!$E$388)))=0,"","Rule example: "&amp;IF(LEN(INDEX('Checklist'!$D$4:$D$503,_calc!$E$388))=0,"",INDEX('Checklist'!$D$4:$D$503,_calc!$E$388))&amp;". ")&amp;IF(LEN(IF(LEN(INDEX('Checklist'!$P$4:$P$503,_calc!$E$388))=0,"",INDEX('Checklist'!$P$4:$P$503,_calc!$E$388)))=0,"",IF(LEN(INDEX('Checklist'!$P$4:$P$503,_calc!$E$388))=0,"",INDEX('Checklist'!$P$4:$P$503,_calc!$E$388)))))</f>
        <v/>
      </c>
      <c r="K386" s="44">
        <f>IF(_calc!$E$388="","",IF(LEN(INDEX('Checklist'!$G$4:$G$503,_calc!$E$388))=0,"",INDEX('Checklist'!$G$4:$G$503,_calc!$E$388)))</f>
        <v/>
      </c>
    </row>
    <row r="387">
      <c r="A387" s="44">
        <f>IF(_calc!$E$389="","","Survey check – "&amp;IF(LEN(INDEX('Checklist'!$C$4:$C$503,_calc!$E$389))=0,"",INDEX('Checklist'!$C$4:$C$503,_calc!$E$389)))</f>
        <v/>
      </c>
      <c r="B387" s="44">
        <f>IF(_calc!$E$389="","",IF(ISNUMBER(INDEX('Checklist'!$L$4:$L$503,_calc!$E$389)),TEXT(INDEX('Checklist'!$L$4:$L$503,_calc!$E$389),"yyyy-mm-dd"),""))</f>
        <v/>
      </c>
      <c r="C387" s="44">
        <f>IF(_calc!$E$389="","","Survey readiness")</f>
        <v/>
      </c>
      <c r="D387" s="44">
        <f>IF(_calc!$E$389="","",IF(ISNUMBER(INDEX('Checklist'!$H$4:$H$503,_calc!$E$389)),TEXT(INDEX('Checklist'!$H$4:$H$503,_calc!$E$389),"yyyy-mm-dd"),""))</f>
        <v/>
      </c>
      <c r="F387" s="44">
        <f>IF(_calc!$E$389="","",TRIM(IF(LEN(IF(LEN(INDEX('Checklist'!$A$4:$A$503,_calc!$E$389))=0,"",INDEX('Checklist'!$A$4:$A$503,_calc!$E$389)))=0,"","Group: "&amp;IF(LEN(INDEX('Checklist'!$A$4:$A$503,_calc!$E$389))=0,"",INDEX('Checklist'!$A$4:$A$503,_calc!$E$389))&amp;". ")&amp;IF(LEN(IF(LEN(INDEX('Checklist'!$E$4:$E$503,_calc!$E$389))=0,"",INDEX('Checklist'!$E$4:$E$503,_calc!$E$389)))=0,"","Owner: "&amp;IF(LEN(INDEX('Checklist'!$E$4:$E$503,_calc!$E$389))=0,"",INDEX('Checklist'!$E$4:$E$503,_calc!$E$389))&amp;". ")&amp;IF(LEN(IF(LEN(INDEX('Checklist'!$F$4:$F$503,_calc!$E$389))=0,"",INDEX('Checklist'!$F$4:$F$503,_calc!$E$389)))=0,"","Backup: "&amp;IF(LEN(INDEX('Checklist'!$F$4:$F$503,_calc!$E$389))=0,"",INDEX('Checklist'!$F$4:$F$503,_calc!$E$389))&amp;". ")&amp;IF(LEN(IF(LEN(INDEX('Checklist'!$J$4:$J$503,_calc!$E$389))=0,"",INDEX('Checklist'!$J$4:$J$503,_calc!$E$389)))=0,"","Evidence: "&amp;IF(LEN(INDEX('Checklist'!$J$4:$J$503,_calc!$E$389))=0,"",INDEX('Checklist'!$J$4:$J$503,_calc!$E$389))&amp;". ")&amp;IF(LEN(IF(LEN(INDEX('Checklist'!$D$4:$D$503,_calc!$E$389))=0,"",INDEX('Checklist'!$D$4:$D$503,_calc!$E$389)))=0,"","Rule example: "&amp;IF(LEN(INDEX('Checklist'!$D$4:$D$503,_calc!$E$389))=0,"",INDEX('Checklist'!$D$4:$D$503,_calc!$E$389))&amp;". ")&amp;IF(LEN(IF(LEN(INDEX('Checklist'!$P$4:$P$503,_calc!$E$389))=0,"",INDEX('Checklist'!$P$4:$P$503,_calc!$E$389)))=0,"",IF(LEN(INDEX('Checklist'!$P$4:$P$503,_calc!$E$389))=0,"",INDEX('Checklist'!$P$4:$P$503,_calc!$E$389)))))</f>
        <v/>
      </c>
      <c r="K387" s="44">
        <f>IF(_calc!$E$389="","",IF(LEN(INDEX('Checklist'!$G$4:$G$503,_calc!$E$389))=0,"",INDEX('Checklist'!$G$4:$G$503,_calc!$E$389)))</f>
        <v/>
      </c>
    </row>
    <row r="388">
      <c r="A388" s="44">
        <f>IF(_calc!$E$390="","","Survey check – "&amp;IF(LEN(INDEX('Checklist'!$C$4:$C$503,_calc!$E$390))=0,"",INDEX('Checklist'!$C$4:$C$503,_calc!$E$390)))</f>
        <v/>
      </c>
      <c r="B388" s="44">
        <f>IF(_calc!$E$390="","",IF(ISNUMBER(INDEX('Checklist'!$L$4:$L$503,_calc!$E$390)),TEXT(INDEX('Checklist'!$L$4:$L$503,_calc!$E$390),"yyyy-mm-dd"),""))</f>
        <v/>
      </c>
      <c r="C388" s="44">
        <f>IF(_calc!$E$390="","","Survey readiness")</f>
        <v/>
      </c>
      <c r="D388" s="44">
        <f>IF(_calc!$E$390="","",IF(ISNUMBER(INDEX('Checklist'!$H$4:$H$503,_calc!$E$390)),TEXT(INDEX('Checklist'!$H$4:$H$503,_calc!$E$390),"yyyy-mm-dd"),""))</f>
        <v/>
      </c>
      <c r="F388" s="44">
        <f>IF(_calc!$E$390="","",TRIM(IF(LEN(IF(LEN(INDEX('Checklist'!$A$4:$A$503,_calc!$E$390))=0,"",INDEX('Checklist'!$A$4:$A$503,_calc!$E$390)))=0,"","Group: "&amp;IF(LEN(INDEX('Checklist'!$A$4:$A$503,_calc!$E$390))=0,"",INDEX('Checklist'!$A$4:$A$503,_calc!$E$390))&amp;". ")&amp;IF(LEN(IF(LEN(INDEX('Checklist'!$E$4:$E$503,_calc!$E$390))=0,"",INDEX('Checklist'!$E$4:$E$503,_calc!$E$390)))=0,"","Owner: "&amp;IF(LEN(INDEX('Checklist'!$E$4:$E$503,_calc!$E$390))=0,"",INDEX('Checklist'!$E$4:$E$503,_calc!$E$390))&amp;". ")&amp;IF(LEN(IF(LEN(INDEX('Checklist'!$F$4:$F$503,_calc!$E$390))=0,"",INDEX('Checklist'!$F$4:$F$503,_calc!$E$390)))=0,"","Backup: "&amp;IF(LEN(INDEX('Checklist'!$F$4:$F$503,_calc!$E$390))=0,"",INDEX('Checklist'!$F$4:$F$503,_calc!$E$390))&amp;". ")&amp;IF(LEN(IF(LEN(INDEX('Checklist'!$J$4:$J$503,_calc!$E$390))=0,"",INDEX('Checklist'!$J$4:$J$503,_calc!$E$390)))=0,"","Evidence: "&amp;IF(LEN(INDEX('Checklist'!$J$4:$J$503,_calc!$E$390))=0,"",INDEX('Checklist'!$J$4:$J$503,_calc!$E$390))&amp;". ")&amp;IF(LEN(IF(LEN(INDEX('Checklist'!$D$4:$D$503,_calc!$E$390))=0,"",INDEX('Checklist'!$D$4:$D$503,_calc!$E$390)))=0,"","Rule example: "&amp;IF(LEN(INDEX('Checklist'!$D$4:$D$503,_calc!$E$390))=0,"",INDEX('Checklist'!$D$4:$D$503,_calc!$E$390))&amp;". ")&amp;IF(LEN(IF(LEN(INDEX('Checklist'!$P$4:$P$503,_calc!$E$390))=0,"",INDEX('Checklist'!$P$4:$P$503,_calc!$E$390)))=0,"",IF(LEN(INDEX('Checklist'!$P$4:$P$503,_calc!$E$390))=0,"",INDEX('Checklist'!$P$4:$P$503,_calc!$E$390)))))</f>
        <v/>
      </c>
      <c r="K388" s="44">
        <f>IF(_calc!$E$390="","",IF(LEN(INDEX('Checklist'!$G$4:$G$503,_calc!$E$390))=0,"",INDEX('Checklist'!$G$4:$G$503,_calc!$E$390)))</f>
        <v/>
      </c>
    </row>
    <row r="389">
      <c r="A389" s="44">
        <f>IF(_calc!$E$391="","","Survey check – "&amp;IF(LEN(INDEX('Checklist'!$C$4:$C$503,_calc!$E$391))=0,"",INDEX('Checklist'!$C$4:$C$503,_calc!$E$391)))</f>
        <v/>
      </c>
      <c r="B389" s="44">
        <f>IF(_calc!$E$391="","",IF(ISNUMBER(INDEX('Checklist'!$L$4:$L$503,_calc!$E$391)),TEXT(INDEX('Checklist'!$L$4:$L$503,_calc!$E$391),"yyyy-mm-dd"),""))</f>
        <v/>
      </c>
      <c r="C389" s="44">
        <f>IF(_calc!$E$391="","","Survey readiness")</f>
        <v/>
      </c>
      <c r="D389" s="44">
        <f>IF(_calc!$E$391="","",IF(ISNUMBER(INDEX('Checklist'!$H$4:$H$503,_calc!$E$391)),TEXT(INDEX('Checklist'!$H$4:$H$503,_calc!$E$391),"yyyy-mm-dd"),""))</f>
        <v/>
      </c>
      <c r="F389" s="44">
        <f>IF(_calc!$E$391="","",TRIM(IF(LEN(IF(LEN(INDEX('Checklist'!$A$4:$A$503,_calc!$E$391))=0,"",INDEX('Checklist'!$A$4:$A$503,_calc!$E$391)))=0,"","Group: "&amp;IF(LEN(INDEX('Checklist'!$A$4:$A$503,_calc!$E$391))=0,"",INDEX('Checklist'!$A$4:$A$503,_calc!$E$391))&amp;". ")&amp;IF(LEN(IF(LEN(INDEX('Checklist'!$E$4:$E$503,_calc!$E$391))=0,"",INDEX('Checklist'!$E$4:$E$503,_calc!$E$391)))=0,"","Owner: "&amp;IF(LEN(INDEX('Checklist'!$E$4:$E$503,_calc!$E$391))=0,"",INDEX('Checklist'!$E$4:$E$503,_calc!$E$391))&amp;". ")&amp;IF(LEN(IF(LEN(INDEX('Checklist'!$F$4:$F$503,_calc!$E$391))=0,"",INDEX('Checklist'!$F$4:$F$503,_calc!$E$391)))=0,"","Backup: "&amp;IF(LEN(INDEX('Checklist'!$F$4:$F$503,_calc!$E$391))=0,"",INDEX('Checklist'!$F$4:$F$503,_calc!$E$391))&amp;". ")&amp;IF(LEN(IF(LEN(INDEX('Checklist'!$J$4:$J$503,_calc!$E$391))=0,"",INDEX('Checklist'!$J$4:$J$503,_calc!$E$391)))=0,"","Evidence: "&amp;IF(LEN(INDEX('Checklist'!$J$4:$J$503,_calc!$E$391))=0,"",INDEX('Checklist'!$J$4:$J$503,_calc!$E$391))&amp;". ")&amp;IF(LEN(IF(LEN(INDEX('Checklist'!$D$4:$D$503,_calc!$E$391))=0,"",INDEX('Checklist'!$D$4:$D$503,_calc!$E$391)))=0,"","Rule example: "&amp;IF(LEN(INDEX('Checklist'!$D$4:$D$503,_calc!$E$391))=0,"",INDEX('Checklist'!$D$4:$D$503,_calc!$E$391))&amp;". ")&amp;IF(LEN(IF(LEN(INDEX('Checklist'!$P$4:$P$503,_calc!$E$391))=0,"",INDEX('Checklist'!$P$4:$P$503,_calc!$E$391)))=0,"",IF(LEN(INDEX('Checklist'!$P$4:$P$503,_calc!$E$391))=0,"",INDEX('Checklist'!$P$4:$P$503,_calc!$E$391)))))</f>
        <v/>
      </c>
      <c r="K389" s="44">
        <f>IF(_calc!$E$391="","",IF(LEN(INDEX('Checklist'!$G$4:$G$503,_calc!$E$391))=0,"",INDEX('Checklist'!$G$4:$G$503,_calc!$E$391)))</f>
        <v/>
      </c>
    </row>
    <row r="390">
      <c r="A390" s="44">
        <f>IF(_calc!$E$392="","","Survey check – "&amp;IF(LEN(INDEX('Checklist'!$C$4:$C$503,_calc!$E$392))=0,"",INDEX('Checklist'!$C$4:$C$503,_calc!$E$392)))</f>
        <v/>
      </c>
      <c r="B390" s="44">
        <f>IF(_calc!$E$392="","",IF(ISNUMBER(INDEX('Checklist'!$L$4:$L$503,_calc!$E$392)),TEXT(INDEX('Checklist'!$L$4:$L$503,_calc!$E$392),"yyyy-mm-dd"),""))</f>
        <v/>
      </c>
      <c r="C390" s="44">
        <f>IF(_calc!$E$392="","","Survey readiness")</f>
        <v/>
      </c>
      <c r="D390" s="44">
        <f>IF(_calc!$E$392="","",IF(ISNUMBER(INDEX('Checklist'!$H$4:$H$503,_calc!$E$392)),TEXT(INDEX('Checklist'!$H$4:$H$503,_calc!$E$392),"yyyy-mm-dd"),""))</f>
        <v/>
      </c>
      <c r="F390" s="44">
        <f>IF(_calc!$E$392="","",TRIM(IF(LEN(IF(LEN(INDEX('Checklist'!$A$4:$A$503,_calc!$E$392))=0,"",INDEX('Checklist'!$A$4:$A$503,_calc!$E$392)))=0,"","Group: "&amp;IF(LEN(INDEX('Checklist'!$A$4:$A$503,_calc!$E$392))=0,"",INDEX('Checklist'!$A$4:$A$503,_calc!$E$392))&amp;". ")&amp;IF(LEN(IF(LEN(INDEX('Checklist'!$E$4:$E$503,_calc!$E$392))=0,"",INDEX('Checklist'!$E$4:$E$503,_calc!$E$392)))=0,"","Owner: "&amp;IF(LEN(INDEX('Checklist'!$E$4:$E$503,_calc!$E$392))=0,"",INDEX('Checklist'!$E$4:$E$503,_calc!$E$392))&amp;". ")&amp;IF(LEN(IF(LEN(INDEX('Checklist'!$F$4:$F$503,_calc!$E$392))=0,"",INDEX('Checklist'!$F$4:$F$503,_calc!$E$392)))=0,"","Backup: "&amp;IF(LEN(INDEX('Checklist'!$F$4:$F$503,_calc!$E$392))=0,"",INDEX('Checklist'!$F$4:$F$503,_calc!$E$392))&amp;". ")&amp;IF(LEN(IF(LEN(INDEX('Checklist'!$J$4:$J$503,_calc!$E$392))=0,"",INDEX('Checklist'!$J$4:$J$503,_calc!$E$392)))=0,"","Evidence: "&amp;IF(LEN(INDEX('Checklist'!$J$4:$J$503,_calc!$E$392))=0,"",INDEX('Checklist'!$J$4:$J$503,_calc!$E$392))&amp;". ")&amp;IF(LEN(IF(LEN(INDEX('Checklist'!$D$4:$D$503,_calc!$E$392))=0,"",INDEX('Checklist'!$D$4:$D$503,_calc!$E$392)))=0,"","Rule example: "&amp;IF(LEN(INDEX('Checklist'!$D$4:$D$503,_calc!$E$392))=0,"",INDEX('Checklist'!$D$4:$D$503,_calc!$E$392))&amp;". ")&amp;IF(LEN(IF(LEN(INDEX('Checklist'!$P$4:$P$503,_calc!$E$392))=0,"",INDEX('Checklist'!$P$4:$P$503,_calc!$E$392)))=0,"",IF(LEN(INDEX('Checklist'!$P$4:$P$503,_calc!$E$392))=0,"",INDEX('Checklist'!$P$4:$P$503,_calc!$E$392)))))</f>
        <v/>
      </c>
      <c r="K390" s="44">
        <f>IF(_calc!$E$392="","",IF(LEN(INDEX('Checklist'!$G$4:$G$503,_calc!$E$392))=0,"",INDEX('Checklist'!$G$4:$G$503,_calc!$E$392)))</f>
        <v/>
      </c>
    </row>
    <row r="391">
      <c r="A391" s="44">
        <f>IF(_calc!$E$393="","","Survey check – "&amp;IF(LEN(INDEX('Checklist'!$C$4:$C$503,_calc!$E$393))=0,"",INDEX('Checklist'!$C$4:$C$503,_calc!$E$393)))</f>
        <v/>
      </c>
      <c r="B391" s="44">
        <f>IF(_calc!$E$393="","",IF(ISNUMBER(INDEX('Checklist'!$L$4:$L$503,_calc!$E$393)),TEXT(INDEX('Checklist'!$L$4:$L$503,_calc!$E$393),"yyyy-mm-dd"),""))</f>
        <v/>
      </c>
      <c r="C391" s="44">
        <f>IF(_calc!$E$393="","","Survey readiness")</f>
        <v/>
      </c>
      <c r="D391" s="44">
        <f>IF(_calc!$E$393="","",IF(ISNUMBER(INDEX('Checklist'!$H$4:$H$503,_calc!$E$393)),TEXT(INDEX('Checklist'!$H$4:$H$503,_calc!$E$393),"yyyy-mm-dd"),""))</f>
        <v/>
      </c>
      <c r="F391" s="44">
        <f>IF(_calc!$E$393="","",TRIM(IF(LEN(IF(LEN(INDEX('Checklist'!$A$4:$A$503,_calc!$E$393))=0,"",INDEX('Checklist'!$A$4:$A$503,_calc!$E$393)))=0,"","Group: "&amp;IF(LEN(INDEX('Checklist'!$A$4:$A$503,_calc!$E$393))=0,"",INDEX('Checklist'!$A$4:$A$503,_calc!$E$393))&amp;". ")&amp;IF(LEN(IF(LEN(INDEX('Checklist'!$E$4:$E$503,_calc!$E$393))=0,"",INDEX('Checklist'!$E$4:$E$503,_calc!$E$393)))=0,"","Owner: "&amp;IF(LEN(INDEX('Checklist'!$E$4:$E$503,_calc!$E$393))=0,"",INDEX('Checklist'!$E$4:$E$503,_calc!$E$393))&amp;". ")&amp;IF(LEN(IF(LEN(INDEX('Checklist'!$F$4:$F$503,_calc!$E$393))=0,"",INDEX('Checklist'!$F$4:$F$503,_calc!$E$393)))=0,"","Backup: "&amp;IF(LEN(INDEX('Checklist'!$F$4:$F$503,_calc!$E$393))=0,"",INDEX('Checklist'!$F$4:$F$503,_calc!$E$393))&amp;". ")&amp;IF(LEN(IF(LEN(INDEX('Checklist'!$J$4:$J$503,_calc!$E$393))=0,"",INDEX('Checklist'!$J$4:$J$503,_calc!$E$393)))=0,"","Evidence: "&amp;IF(LEN(INDEX('Checklist'!$J$4:$J$503,_calc!$E$393))=0,"",INDEX('Checklist'!$J$4:$J$503,_calc!$E$393))&amp;". ")&amp;IF(LEN(IF(LEN(INDEX('Checklist'!$D$4:$D$503,_calc!$E$393))=0,"",INDEX('Checklist'!$D$4:$D$503,_calc!$E$393)))=0,"","Rule example: "&amp;IF(LEN(INDEX('Checklist'!$D$4:$D$503,_calc!$E$393))=0,"",INDEX('Checklist'!$D$4:$D$503,_calc!$E$393))&amp;". ")&amp;IF(LEN(IF(LEN(INDEX('Checklist'!$P$4:$P$503,_calc!$E$393))=0,"",INDEX('Checklist'!$P$4:$P$503,_calc!$E$393)))=0,"",IF(LEN(INDEX('Checklist'!$P$4:$P$503,_calc!$E$393))=0,"",INDEX('Checklist'!$P$4:$P$503,_calc!$E$393)))))</f>
        <v/>
      </c>
      <c r="K391" s="44">
        <f>IF(_calc!$E$393="","",IF(LEN(INDEX('Checklist'!$G$4:$G$503,_calc!$E$393))=0,"",INDEX('Checklist'!$G$4:$G$503,_calc!$E$393)))</f>
        <v/>
      </c>
    </row>
    <row r="392">
      <c r="A392" s="44">
        <f>IF(_calc!$E$394="","","Survey check – "&amp;IF(LEN(INDEX('Checklist'!$C$4:$C$503,_calc!$E$394))=0,"",INDEX('Checklist'!$C$4:$C$503,_calc!$E$394)))</f>
        <v/>
      </c>
      <c r="B392" s="44">
        <f>IF(_calc!$E$394="","",IF(ISNUMBER(INDEX('Checklist'!$L$4:$L$503,_calc!$E$394)),TEXT(INDEX('Checklist'!$L$4:$L$503,_calc!$E$394),"yyyy-mm-dd"),""))</f>
        <v/>
      </c>
      <c r="C392" s="44">
        <f>IF(_calc!$E$394="","","Survey readiness")</f>
        <v/>
      </c>
      <c r="D392" s="44">
        <f>IF(_calc!$E$394="","",IF(ISNUMBER(INDEX('Checklist'!$H$4:$H$503,_calc!$E$394)),TEXT(INDEX('Checklist'!$H$4:$H$503,_calc!$E$394),"yyyy-mm-dd"),""))</f>
        <v/>
      </c>
      <c r="F392" s="44">
        <f>IF(_calc!$E$394="","",TRIM(IF(LEN(IF(LEN(INDEX('Checklist'!$A$4:$A$503,_calc!$E$394))=0,"",INDEX('Checklist'!$A$4:$A$503,_calc!$E$394)))=0,"","Group: "&amp;IF(LEN(INDEX('Checklist'!$A$4:$A$503,_calc!$E$394))=0,"",INDEX('Checklist'!$A$4:$A$503,_calc!$E$394))&amp;". ")&amp;IF(LEN(IF(LEN(INDEX('Checklist'!$E$4:$E$503,_calc!$E$394))=0,"",INDEX('Checklist'!$E$4:$E$503,_calc!$E$394)))=0,"","Owner: "&amp;IF(LEN(INDEX('Checklist'!$E$4:$E$503,_calc!$E$394))=0,"",INDEX('Checklist'!$E$4:$E$503,_calc!$E$394))&amp;". ")&amp;IF(LEN(IF(LEN(INDEX('Checklist'!$F$4:$F$503,_calc!$E$394))=0,"",INDEX('Checklist'!$F$4:$F$503,_calc!$E$394)))=0,"","Backup: "&amp;IF(LEN(INDEX('Checklist'!$F$4:$F$503,_calc!$E$394))=0,"",INDEX('Checklist'!$F$4:$F$503,_calc!$E$394))&amp;". ")&amp;IF(LEN(IF(LEN(INDEX('Checklist'!$J$4:$J$503,_calc!$E$394))=0,"",INDEX('Checklist'!$J$4:$J$503,_calc!$E$394)))=0,"","Evidence: "&amp;IF(LEN(INDEX('Checklist'!$J$4:$J$503,_calc!$E$394))=0,"",INDEX('Checklist'!$J$4:$J$503,_calc!$E$394))&amp;". ")&amp;IF(LEN(IF(LEN(INDEX('Checklist'!$D$4:$D$503,_calc!$E$394))=0,"",INDEX('Checklist'!$D$4:$D$503,_calc!$E$394)))=0,"","Rule example: "&amp;IF(LEN(INDEX('Checklist'!$D$4:$D$503,_calc!$E$394))=0,"",INDEX('Checklist'!$D$4:$D$503,_calc!$E$394))&amp;". ")&amp;IF(LEN(IF(LEN(INDEX('Checklist'!$P$4:$P$503,_calc!$E$394))=0,"",INDEX('Checklist'!$P$4:$P$503,_calc!$E$394)))=0,"",IF(LEN(INDEX('Checklist'!$P$4:$P$503,_calc!$E$394))=0,"",INDEX('Checklist'!$P$4:$P$503,_calc!$E$394)))))</f>
        <v/>
      </c>
      <c r="K392" s="44">
        <f>IF(_calc!$E$394="","",IF(LEN(INDEX('Checklist'!$G$4:$G$503,_calc!$E$394))=0,"",INDEX('Checklist'!$G$4:$G$503,_calc!$E$394)))</f>
        <v/>
      </c>
    </row>
    <row r="393">
      <c r="A393" s="44">
        <f>IF(_calc!$E$395="","","Survey check – "&amp;IF(LEN(INDEX('Checklist'!$C$4:$C$503,_calc!$E$395))=0,"",INDEX('Checklist'!$C$4:$C$503,_calc!$E$395)))</f>
        <v/>
      </c>
      <c r="B393" s="44">
        <f>IF(_calc!$E$395="","",IF(ISNUMBER(INDEX('Checklist'!$L$4:$L$503,_calc!$E$395)),TEXT(INDEX('Checklist'!$L$4:$L$503,_calc!$E$395),"yyyy-mm-dd"),""))</f>
        <v/>
      </c>
      <c r="C393" s="44">
        <f>IF(_calc!$E$395="","","Survey readiness")</f>
        <v/>
      </c>
      <c r="D393" s="44">
        <f>IF(_calc!$E$395="","",IF(ISNUMBER(INDEX('Checklist'!$H$4:$H$503,_calc!$E$395)),TEXT(INDEX('Checklist'!$H$4:$H$503,_calc!$E$395),"yyyy-mm-dd"),""))</f>
        <v/>
      </c>
      <c r="F393" s="44">
        <f>IF(_calc!$E$395="","",TRIM(IF(LEN(IF(LEN(INDEX('Checklist'!$A$4:$A$503,_calc!$E$395))=0,"",INDEX('Checklist'!$A$4:$A$503,_calc!$E$395)))=0,"","Group: "&amp;IF(LEN(INDEX('Checklist'!$A$4:$A$503,_calc!$E$395))=0,"",INDEX('Checklist'!$A$4:$A$503,_calc!$E$395))&amp;". ")&amp;IF(LEN(IF(LEN(INDEX('Checklist'!$E$4:$E$503,_calc!$E$395))=0,"",INDEX('Checklist'!$E$4:$E$503,_calc!$E$395)))=0,"","Owner: "&amp;IF(LEN(INDEX('Checklist'!$E$4:$E$503,_calc!$E$395))=0,"",INDEX('Checklist'!$E$4:$E$503,_calc!$E$395))&amp;". ")&amp;IF(LEN(IF(LEN(INDEX('Checklist'!$F$4:$F$503,_calc!$E$395))=0,"",INDEX('Checklist'!$F$4:$F$503,_calc!$E$395)))=0,"","Backup: "&amp;IF(LEN(INDEX('Checklist'!$F$4:$F$503,_calc!$E$395))=0,"",INDEX('Checklist'!$F$4:$F$503,_calc!$E$395))&amp;". ")&amp;IF(LEN(IF(LEN(INDEX('Checklist'!$J$4:$J$503,_calc!$E$395))=0,"",INDEX('Checklist'!$J$4:$J$503,_calc!$E$395)))=0,"","Evidence: "&amp;IF(LEN(INDEX('Checklist'!$J$4:$J$503,_calc!$E$395))=0,"",INDEX('Checklist'!$J$4:$J$503,_calc!$E$395))&amp;". ")&amp;IF(LEN(IF(LEN(INDEX('Checklist'!$D$4:$D$503,_calc!$E$395))=0,"",INDEX('Checklist'!$D$4:$D$503,_calc!$E$395)))=0,"","Rule example: "&amp;IF(LEN(INDEX('Checklist'!$D$4:$D$503,_calc!$E$395))=0,"",INDEX('Checklist'!$D$4:$D$503,_calc!$E$395))&amp;". ")&amp;IF(LEN(IF(LEN(INDEX('Checklist'!$P$4:$P$503,_calc!$E$395))=0,"",INDEX('Checklist'!$P$4:$P$503,_calc!$E$395)))=0,"",IF(LEN(INDEX('Checklist'!$P$4:$P$503,_calc!$E$395))=0,"",INDEX('Checklist'!$P$4:$P$503,_calc!$E$395)))))</f>
        <v/>
      </c>
      <c r="K393" s="44">
        <f>IF(_calc!$E$395="","",IF(LEN(INDEX('Checklist'!$G$4:$G$503,_calc!$E$395))=0,"",INDEX('Checklist'!$G$4:$G$503,_calc!$E$395)))</f>
        <v/>
      </c>
    </row>
    <row r="394">
      <c r="A394" s="44">
        <f>IF(_calc!$E$396="","","Survey check – "&amp;IF(LEN(INDEX('Checklist'!$C$4:$C$503,_calc!$E$396))=0,"",INDEX('Checklist'!$C$4:$C$503,_calc!$E$396)))</f>
        <v/>
      </c>
      <c r="B394" s="44">
        <f>IF(_calc!$E$396="","",IF(ISNUMBER(INDEX('Checklist'!$L$4:$L$503,_calc!$E$396)),TEXT(INDEX('Checklist'!$L$4:$L$503,_calc!$E$396),"yyyy-mm-dd"),""))</f>
        <v/>
      </c>
      <c r="C394" s="44">
        <f>IF(_calc!$E$396="","","Survey readiness")</f>
        <v/>
      </c>
      <c r="D394" s="44">
        <f>IF(_calc!$E$396="","",IF(ISNUMBER(INDEX('Checklist'!$H$4:$H$503,_calc!$E$396)),TEXT(INDEX('Checklist'!$H$4:$H$503,_calc!$E$396),"yyyy-mm-dd"),""))</f>
        <v/>
      </c>
      <c r="F394" s="44">
        <f>IF(_calc!$E$396="","",TRIM(IF(LEN(IF(LEN(INDEX('Checklist'!$A$4:$A$503,_calc!$E$396))=0,"",INDEX('Checklist'!$A$4:$A$503,_calc!$E$396)))=0,"","Group: "&amp;IF(LEN(INDEX('Checklist'!$A$4:$A$503,_calc!$E$396))=0,"",INDEX('Checklist'!$A$4:$A$503,_calc!$E$396))&amp;". ")&amp;IF(LEN(IF(LEN(INDEX('Checklist'!$E$4:$E$503,_calc!$E$396))=0,"",INDEX('Checklist'!$E$4:$E$503,_calc!$E$396)))=0,"","Owner: "&amp;IF(LEN(INDEX('Checklist'!$E$4:$E$503,_calc!$E$396))=0,"",INDEX('Checklist'!$E$4:$E$503,_calc!$E$396))&amp;". ")&amp;IF(LEN(IF(LEN(INDEX('Checklist'!$F$4:$F$503,_calc!$E$396))=0,"",INDEX('Checklist'!$F$4:$F$503,_calc!$E$396)))=0,"","Backup: "&amp;IF(LEN(INDEX('Checklist'!$F$4:$F$503,_calc!$E$396))=0,"",INDEX('Checklist'!$F$4:$F$503,_calc!$E$396))&amp;". ")&amp;IF(LEN(IF(LEN(INDEX('Checklist'!$J$4:$J$503,_calc!$E$396))=0,"",INDEX('Checklist'!$J$4:$J$503,_calc!$E$396)))=0,"","Evidence: "&amp;IF(LEN(INDEX('Checklist'!$J$4:$J$503,_calc!$E$396))=0,"",INDEX('Checklist'!$J$4:$J$503,_calc!$E$396))&amp;". ")&amp;IF(LEN(IF(LEN(INDEX('Checklist'!$D$4:$D$503,_calc!$E$396))=0,"",INDEX('Checklist'!$D$4:$D$503,_calc!$E$396)))=0,"","Rule example: "&amp;IF(LEN(INDEX('Checklist'!$D$4:$D$503,_calc!$E$396))=0,"",INDEX('Checklist'!$D$4:$D$503,_calc!$E$396))&amp;". ")&amp;IF(LEN(IF(LEN(INDEX('Checklist'!$P$4:$P$503,_calc!$E$396))=0,"",INDEX('Checklist'!$P$4:$P$503,_calc!$E$396)))=0,"",IF(LEN(INDEX('Checklist'!$P$4:$P$503,_calc!$E$396))=0,"",INDEX('Checklist'!$P$4:$P$503,_calc!$E$396)))))</f>
        <v/>
      </c>
      <c r="K394" s="44">
        <f>IF(_calc!$E$396="","",IF(LEN(INDEX('Checklist'!$G$4:$G$503,_calc!$E$396))=0,"",INDEX('Checklist'!$G$4:$G$503,_calc!$E$396)))</f>
        <v/>
      </c>
    </row>
    <row r="395">
      <c r="A395" s="44">
        <f>IF(_calc!$E$397="","","Survey check – "&amp;IF(LEN(INDEX('Checklist'!$C$4:$C$503,_calc!$E$397))=0,"",INDEX('Checklist'!$C$4:$C$503,_calc!$E$397)))</f>
        <v/>
      </c>
      <c r="B395" s="44">
        <f>IF(_calc!$E$397="","",IF(ISNUMBER(INDEX('Checklist'!$L$4:$L$503,_calc!$E$397)),TEXT(INDEX('Checklist'!$L$4:$L$503,_calc!$E$397),"yyyy-mm-dd"),""))</f>
        <v/>
      </c>
      <c r="C395" s="44">
        <f>IF(_calc!$E$397="","","Survey readiness")</f>
        <v/>
      </c>
      <c r="D395" s="44">
        <f>IF(_calc!$E$397="","",IF(ISNUMBER(INDEX('Checklist'!$H$4:$H$503,_calc!$E$397)),TEXT(INDEX('Checklist'!$H$4:$H$503,_calc!$E$397),"yyyy-mm-dd"),""))</f>
        <v/>
      </c>
      <c r="F395" s="44">
        <f>IF(_calc!$E$397="","",TRIM(IF(LEN(IF(LEN(INDEX('Checklist'!$A$4:$A$503,_calc!$E$397))=0,"",INDEX('Checklist'!$A$4:$A$503,_calc!$E$397)))=0,"","Group: "&amp;IF(LEN(INDEX('Checklist'!$A$4:$A$503,_calc!$E$397))=0,"",INDEX('Checklist'!$A$4:$A$503,_calc!$E$397))&amp;". ")&amp;IF(LEN(IF(LEN(INDEX('Checklist'!$E$4:$E$503,_calc!$E$397))=0,"",INDEX('Checklist'!$E$4:$E$503,_calc!$E$397)))=0,"","Owner: "&amp;IF(LEN(INDEX('Checklist'!$E$4:$E$503,_calc!$E$397))=0,"",INDEX('Checklist'!$E$4:$E$503,_calc!$E$397))&amp;". ")&amp;IF(LEN(IF(LEN(INDEX('Checklist'!$F$4:$F$503,_calc!$E$397))=0,"",INDEX('Checklist'!$F$4:$F$503,_calc!$E$397)))=0,"","Backup: "&amp;IF(LEN(INDEX('Checklist'!$F$4:$F$503,_calc!$E$397))=0,"",INDEX('Checklist'!$F$4:$F$503,_calc!$E$397))&amp;". ")&amp;IF(LEN(IF(LEN(INDEX('Checklist'!$J$4:$J$503,_calc!$E$397))=0,"",INDEX('Checklist'!$J$4:$J$503,_calc!$E$397)))=0,"","Evidence: "&amp;IF(LEN(INDEX('Checklist'!$J$4:$J$503,_calc!$E$397))=0,"",INDEX('Checklist'!$J$4:$J$503,_calc!$E$397))&amp;". ")&amp;IF(LEN(IF(LEN(INDEX('Checklist'!$D$4:$D$503,_calc!$E$397))=0,"",INDEX('Checklist'!$D$4:$D$503,_calc!$E$397)))=0,"","Rule example: "&amp;IF(LEN(INDEX('Checklist'!$D$4:$D$503,_calc!$E$397))=0,"",INDEX('Checklist'!$D$4:$D$503,_calc!$E$397))&amp;". ")&amp;IF(LEN(IF(LEN(INDEX('Checklist'!$P$4:$P$503,_calc!$E$397))=0,"",INDEX('Checklist'!$P$4:$P$503,_calc!$E$397)))=0,"",IF(LEN(INDEX('Checklist'!$P$4:$P$503,_calc!$E$397))=0,"",INDEX('Checklist'!$P$4:$P$503,_calc!$E$397)))))</f>
        <v/>
      </c>
      <c r="K395" s="44">
        <f>IF(_calc!$E$397="","",IF(LEN(INDEX('Checklist'!$G$4:$G$503,_calc!$E$397))=0,"",INDEX('Checklist'!$G$4:$G$503,_calc!$E$397)))</f>
        <v/>
      </c>
    </row>
    <row r="396">
      <c r="A396" s="44">
        <f>IF(_calc!$E$398="","","Survey check – "&amp;IF(LEN(INDEX('Checklist'!$C$4:$C$503,_calc!$E$398))=0,"",INDEX('Checklist'!$C$4:$C$503,_calc!$E$398)))</f>
        <v/>
      </c>
      <c r="B396" s="44">
        <f>IF(_calc!$E$398="","",IF(ISNUMBER(INDEX('Checklist'!$L$4:$L$503,_calc!$E$398)),TEXT(INDEX('Checklist'!$L$4:$L$503,_calc!$E$398),"yyyy-mm-dd"),""))</f>
        <v/>
      </c>
      <c r="C396" s="44">
        <f>IF(_calc!$E$398="","","Survey readiness")</f>
        <v/>
      </c>
      <c r="D396" s="44">
        <f>IF(_calc!$E$398="","",IF(ISNUMBER(INDEX('Checklist'!$H$4:$H$503,_calc!$E$398)),TEXT(INDEX('Checklist'!$H$4:$H$503,_calc!$E$398),"yyyy-mm-dd"),""))</f>
        <v/>
      </c>
      <c r="F396" s="44">
        <f>IF(_calc!$E$398="","",TRIM(IF(LEN(IF(LEN(INDEX('Checklist'!$A$4:$A$503,_calc!$E$398))=0,"",INDEX('Checklist'!$A$4:$A$503,_calc!$E$398)))=0,"","Group: "&amp;IF(LEN(INDEX('Checklist'!$A$4:$A$503,_calc!$E$398))=0,"",INDEX('Checklist'!$A$4:$A$503,_calc!$E$398))&amp;". ")&amp;IF(LEN(IF(LEN(INDEX('Checklist'!$E$4:$E$503,_calc!$E$398))=0,"",INDEX('Checklist'!$E$4:$E$503,_calc!$E$398)))=0,"","Owner: "&amp;IF(LEN(INDEX('Checklist'!$E$4:$E$503,_calc!$E$398))=0,"",INDEX('Checklist'!$E$4:$E$503,_calc!$E$398))&amp;". ")&amp;IF(LEN(IF(LEN(INDEX('Checklist'!$F$4:$F$503,_calc!$E$398))=0,"",INDEX('Checklist'!$F$4:$F$503,_calc!$E$398)))=0,"","Backup: "&amp;IF(LEN(INDEX('Checklist'!$F$4:$F$503,_calc!$E$398))=0,"",INDEX('Checklist'!$F$4:$F$503,_calc!$E$398))&amp;". ")&amp;IF(LEN(IF(LEN(INDEX('Checklist'!$J$4:$J$503,_calc!$E$398))=0,"",INDEX('Checklist'!$J$4:$J$503,_calc!$E$398)))=0,"","Evidence: "&amp;IF(LEN(INDEX('Checklist'!$J$4:$J$503,_calc!$E$398))=0,"",INDEX('Checklist'!$J$4:$J$503,_calc!$E$398))&amp;". ")&amp;IF(LEN(IF(LEN(INDEX('Checklist'!$D$4:$D$503,_calc!$E$398))=0,"",INDEX('Checklist'!$D$4:$D$503,_calc!$E$398)))=0,"","Rule example: "&amp;IF(LEN(INDEX('Checklist'!$D$4:$D$503,_calc!$E$398))=0,"",INDEX('Checklist'!$D$4:$D$503,_calc!$E$398))&amp;". ")&amp;IF(LEN(IF(LEN(INDEX('Checklist'!$P$4:$P$503,_calc!$E$398))=0,"",INDEX('Checklist'!$P$4:$P$503,_calc!$E$398)))=0,"",IF(LEN(INDEX('Checklist'!$P$4:$P$503,_calc!$E$398))=0,"",INDEX('Checklist'!$P$4:$P$503,_calc!$E$398)))))</f>
        <v/>
      </c>
      <c r="K396" s="44">
        <f>IF(_calc!$E$398="","",IF(LEN(INDEX('Checklist'!$G$4:$G$503,_calc!$E$398))=0,"",INDEX('Checklist'!$G$4:$G$503,_calc!$E$398)))</f>
        <v/>
      </c>
    </row>
    <row r="397">
      <c r="A397" s="44">
        <f>IF(_calc!$E$399="","","Survey check – "&amp;IF(LEN(INDEX('Checklist'!$C$4:$C$503,_calc!$E$399))=0,"",INDEX('Checklist'!$C$4:$C$503,_calc!$E$399)))</f>
        <v/>
      </c>
      <c r="B397" s="44">
        <f>IF(_calc!$E$399="","",IF(ISNUMBER(INDEX('Checklist'!$L$4:$L$503,_calc!$E$399)),TEXT(INDEX('Checklist'!$L$4:$L$503,_calc!$E$399),"yyyy-mm-dd"),""))</f>
        <v/>
      </c>
      <c r="C397" s="44">
        <f>IF(_calc!$E$399="","","Survey readiness")</f>
        <v/>
      </c>
      <c r="D397" s="44">
        <f>IF(_calc!$E$399="","",IF(ISNUMBER(INDEX('Checklist'!$H$4:$H$503,_calc!$E$399)),TEXT(INDEX('Checklist'!$H$4:$H$503,_calc!$E$399),"yyyy-mm-dd"),""))</f>
        <v/>
      </c>
      <c r="F397" s="44">
        <f>IF(_calc!$E$399="","",TRIM(IF(LEN(IF(LEN(INDEX('Checklist'!$A$4:$A$503,_calc!$E$399))=0,"",INDEX('Checklist'!$A$4:$A$503,_calc!$E$399)))=0,"","Group: "&amp;IF(LEN(INDEX('Checklist'!$A$4:$A$503,_calc!$E$399))=0,"",INDEX('Checklist'!$A$4:$A$503,_calc!$E$399))&amp;". ")&amp;IF(LEN(IF(LEN(INDEX('Checklist'!$E$4:$E$503,_calc!$E$399))=0,"",INDEX('Checklist'!$E$4:$E$503,_calc!$E$399)))=0,"","Owner: "&amp;IF(LEN(INDEX('Checklist'!$E$4:$E$503,_calc!$E$399))=0,"",INDEX('Checklist'!$E$4:$E$503,_calc!$E$399))&amp;". ")&amp;IF(LEN(IF(LEN(INDEX('Checklist'!$F$4:$F$503,_calc!$E$399))=0,"",INDEX('Checklist'!$F$4:$F$503,_calc!$E$399)))=0,"","Backup: "&amp;IF(LEN(INDEX('Checklist'!$F$4:$F$503,_calc!$E$399))=0,"",INDEX('Checklist'!$F$4:$F$503,_calc!$E$399))&amp;". ")&amp;IF(LEN(IF(LEN(INDEX('Checklist'!$J$4:$J$503,_calc!$E$399))=0,"",INDEX('Checklist'!$J$4:$J$503,_calc!$E$399)))=0,"","Evidence: "&amp;IF(LEN(INDEX('Checklist'!$J$4:$J$503,_calc!$E$399))=0,"",INDEX('Checklist'!$J$4:$J$503,_calc!$E$399))&amp;". ")&amp;IF(LEN(IF(LEN(INDEX('Checklist'!$D$4:$D$503,_calc!$E$399))=0,"",INDEX('Checklist'!$D$4:$D$503,_calc!$E$399)))=0,"","Rule example: "&amp;IF(LEN(INDEX('Checklist'!$D$4:$D$503,_calc!$E$399))=0,"",INDEX('Checklist'!$D$4:$D$503,_calc!$E$399))&amp;". ")&amp;IF(LEN(IF(LEN(INDEX('Checklist'!$P$4:$P$503,_calc!$E$399))=0,"",INDEX('Checklist'!$P$4:$P$503,_calc!$E$399)))=0,"",IF(LEN(INDEX('Checklist'!$P$4:$P$503,_calc!$E$399))=0,"",INDEX('Checklist'!$P$4:$P$503,_calc!$E$399)))))</f>
        <v/>
      </c>
      <c r="K397" s="44">
        <f>IF(_calc!$E$399="","",IF(LEN(INDEX('Checklist'!$G$4:$G$503,_calc!$E$399))=0,"",INDEX('Checklist'!$G$4:$G$503,_calc!$E$399)))</f>
        <v/>
      </c>
    </row>
    <row r="398">
      <c r="A398" s="44">
        <f>IF(_calc!$E$400="","","Survey check – "&amp;IF(LEN(INDEX('Checklist'!$C$4:$C$503,_calc!$E$400))=0,"",INDEX('Checklist'!$C$4:$C$503,_calc!$E$400)))</f>
        <v/>
      </c>
      <c r="B398" s="44">
        <f>IF(_calc!$E$400="","",IF(ISNUMBER(INDEX('Checklist'!$L$4:$L$503,_calc!$E$400)),TEXT(INDEX('Checklist'!$L$4:$L$503,_calc!$E$400),"yyyy-mm-dd"),""))</f>
        <v/>
      </c>
      <c r="C398" s="44">
        <f>IF(_calc!$E$400="","","Survey readiness")</f>
        <v/>
      </c>
      <c r="D398" s="44">
        <f>IF(_calc!$E$400="","",IF(ISNUMBER(INDEX('Checklist'!$H$4:$H$503,_calc!$E$400)),TEXT(INDEX('Checklist'!$H$4:$H$503,_calc!$E$400),"yyyy-mm-dd"),""))</f>
        <v/>
      </c>
      <c r="F398" s="44">
        <f>IF(_calc!$E$400="","",TRIM(IF(LEN(IF(LEN(INDEX('Checklist'!$A$4:$A$503,_calc!$E$400))=0,"",INDEX('Checklist'!$A$4:$A$503,_calc!$E$400)))=0,"","Group: "&amp;IF(LEN(INDEX('Checklist'!$A$4:$A$503,_calc!$E$400))=0,"",INDEX('Checklist'!$A$4:$A$503,_calc!$E$400))&amp;". ")&amp;IF(LEN(IF(LEN(INDEX('Checklist'!$E$4:$E$503,_calc!$E$400))=0,"",INDEX('Checklist'!$E$4:$E$503,_calc!$E$400)))=0,"","Owner: "&amp;IF(LEN(INDEX('Checklist'!$E$4:$E$503,_calc!$E$400))=0,"",INDEX('Checklist'!$E$4:$E$503,_calc!$E$400))&amp;". ")&amp;IF(LEN(IF(LEN(INDEX('Checklist'!$F$4:$F$503,_calc!$E$400))=0,"",INDEX('Checklist'!$F$4:$F$503,_calc!$E$400)))=0,"","Backup: "&amp;IF(LEN(INDEX('Checklist'!$F$4:$F$503,_calc!$E$400))=0,"",INDEX('Checklist'!$F$4:$F$503,_calc!$E$400))&amp;". ")&amp;IF(LEN(IF(LEN(INDEX('Checklist'!$J$4:$J$503,_calc!$E$400))=0,"",INDEX('Checklist'!$J$4:$J$503,_calc!$E$400)))=0,"","Evidence: "&amp;IF(LEN(INDEX('Checklist'!$J$4:$J$503,_calc!$E$400))=0,"",INDEX('Checklist'!$J$4:$J$503,_calc!$E$400))&amp;". ")&amp;IF(LEN(IF(LEN(INDEX('Checklist'!$D$4:$D$503,_calc!$E$400))=0,"",INDEX('Checklist'!$D$4:$D$503,_calc!$E$400)))=0,"","Rule example: "&amp;IF(LEN(INDEX('Checklist'!$D$4:$D$503,_calc!$E$400))=0,"",INDEX('Checklist'!$D$4:$D$503,_calc!$E$400))&amp;". ")&amp;IF(LEN(IF(LEN(INDEX('Checklist'!$P$4:$P$503,_calc!$E$400))=0,"",INDEX('Checklist'!$P$4:$P$503,_calc!$E$400)))=0,"",IF(LEN(INDEX('Checklist'!$P$4:$P$503,_calc!$E$400))=0,"",INDEX('Checklist'!$P$4:$P$503,_calc!$E$400)))))</f>
        <v/>
      </c>
      <c r="K398" s="44">
        <f>IF(_calc!$E$400="","",IF(LEN(INDEX('Checklist'!$G$4:$G$503,_calc!$E$400))=0,"",INDEX('Checklist'!$G$4:$G$503,_calc!$E$400)))</f>
        <v/>
      </c>
    </row>
    <row r="399">
      <c r="A399" s="44">
        <f>IF(_calc!$E$401="","","Survey check – "&amp;IF(LEN(INDEX('Checklist'!$C$4:$C$503,_calc!$E$401))=0,"",INDEX('Checklist'!$C$4:$C$503,_calc!$E$401)))</f>
        <v/>
      </c>
      <c r="B399" s="44">
        <f>IF(_calc!$E$401="","",IF(ISNUMBER(INDEX('Checklist'!$L$4:$L$503,_calc!$E$401)),TEXT(INDEX('Checklist'!$L$4:$L$503,_calc!$E$401),"yyyy-mm-dd"),""))</f>
        <v/>
      </c>
      <c r="C399" s="44">
        <f>IF(_calc!$E$401="","","Survey readiness")</f>
        <v/>
      </c>
      <c r="D399" s="44">
        <f>IF(_calc!$E$401="","",IF(ISNUMBER(INDEX('Checklist'!$H$4:$H$503,_calc!$E$401)),TEXT(INDEX('Checklist'!$H$4:$H$503,_calc!$E$401),"yyyy-mm-dd"),""))</f>
        <v/>
      </c>
      <c r="F399" s="44">
        <f>IF(_calc!$E$401="","",TRIM(IF(LEN(IF(LEN(INDEX('Checklist'!$A$4:$A$503,_calc!$E$401))=0,"",INDEX('Checklist'!$A$4:$A$503,_calc!$E$401)))=0,"","Group: "&amp;IF(LEN(INDEX('Checklist'!$A$4:$A$503,_calc!$E$401))=0,"",INDEX('Checklist'!$A$4:$A$503,_calc!$E$401))&amp;". ")&amp;IF(LEN(IF(LEN(INDEX('Checklist'!$E$4:$E$503,_calc!$E$401))=0,"",INDEX('Checklist'!$E$4:$E$503,_calc!$E$401)))=0,"","Owner: "&amp;IF(LEN(INDEX('Checklist'!$E$4:$E$503,_calc!$E$401))=0,"",INDEX('Checklist'!$E$4:$E$503,_calc!$E$401))&amp;". ")&amp;IF(LEN(IF(LEN(INDEX('Checklist'!$F$4:$F$503,_calc!$E$401))=0,"",INDEX('Checklist'!$F$4:$F$503,_calc!$E$401)))=0,"","Backup: "&amp;IF(LEN(INDEX('Checklist'!$F$4:$F$503,_calc!$E$401))=0,"",INDEX('Checklist'!$F$4:$F$503,_calc!$E$401))&amp;". ")&amp;IF(LEN(IF(LEN(INDEX('Checklist'!$J$4:$J$503,_calc!$E$401))=0,"",INDEX('Checklist'!$J$4:$J$503,_calc!$E$401)))=0,"","Evidence: "&amp;IF(LEN(INDEX('Checklist'!$J$4:$J$503,_calc!$E$401))=0,"",INDEX('Checklist'!$J$4:$J$503,_calc!$E$401))&amp;". ")&amp;IF(LEN(IF(LEN(INDEX('Checklist'!$D$4:$D$503,_calc!$E$401))=0,"",INDEX('Checklist'!$D$4:$D$503,_calc!$E$401)))=0,"","Rule example: "&amp;IF(LEN(INDEX('Checklist'!$D$4:$D$503,_calc!$E$401))=0,"",INDEX('Checklist'!$D$4:$D$503,_calc!$E$401))&amp;". ")&amp;IF(LEN(IF(LEN(INDEX('Checklist'!$P$4:$P$503,_calc!$E$401))=0,"",INDEX('Checklist'!$P$4:$P$503,_calc!$E$401)))=0,"",IF(LEN(INDEX('Checklist'!$P$4:$P$503,_calc!$E$401))=0,"",INDEX('Checklist'!$P$4:$P$503,_calc!$E$401)))))</f>
        <v/>
      </c>
      <c r="K399" s="44">
        <f>IF(_calc!$E$401="","",IF(LEN(INDEX('Checklist'!$G$4:$G$503,_calc!$E$401))=0,"",INDEX('Checklist'!$G$4:$G$503,_calc!$E$401)))</f>
        <v/>
      </c>
    </row>
    <row r="400">
      <c r="A400" s="44">
        <f>IF(_calc!$E$402="","","Survey check – "&amp;IF(LEN(INDEX('Checklist'!$C$4:$C$503,_calc!$E$402))=0,"",INDEX('Checklist'!$C$4:$C$503,_calc!$E$402)))</f>
        <v/>
      </c>
      <c r="B400" s="44">
        <f>IF(_calc!$E$402="","",IF(ISNUMBER(INDEX('Checklist'!$L$4:$L$503,_calc!$E$402)),TEXT(INDEX('Checklist'!$L$4:$L$503,_calc!$E$402),"yyyy-mm-dd"),""))</f>
        <v/>
      </c>
      <c r="C400" s="44">
        <f>IF(_calc!$E$402="","","Survey readiness")</f>
        <v/>
      </c>
      <c r="D400" s="44">
        <f>IF(_calc!$E$402="","",IF(ISNUMBER(INDEX('Checklist'!$H$4:$H$503,_calc!$E$402)),TEXT(INDEX('Checklist'!$H$4:$H$503,_calc!$E$402),"yyyy-mm-dd"),""))</f>
        <v/>
      </c>
      <c r="F400" s="44">
        <f>IF(_calc!$E$402="","",TRIM(IF(LEN(IF(LEN(INDEX('Checklist'!$A$4:$A$503,_calc!$E$402))=0,"",INDEX('Checklist'!$A$4:$A$503,_calc!$E$402)))=0,"","Group: "&amp;IF(LEN(INDEX('Checklist'!$A$4:$A$503,_calc!$E$402))=0,"",INDEX('Checklist'!$A$4:$A$503,_calc!$E$402))&amp;". ")&amp;IF(LEN(IF(LEN(INDEX('Checklist'!$E$4:$E$503,_calc!$E$402))=0,"",INDEX('Checklist'!$E$4:$E$503,_calc!$E$402)))=0,"","Owner: "&amp;IF(LEN(INDEX('Checklist'!$E$4:$E$503,_calc!$E$402))=0,"",INDEX('Checklist'!$E$4:$E$503,_calc!$E$402))&amp;". ")&amp;IF(LEN(IF(LEN(INDEX('Checklist'!$F$4:$F$503,_calc!$E$402))=0,"",INDEX('Checklist'!$F$4:$F$503,_calc!$E$402)))=0,"","Backup: "&amp;IF(LEN(INDEX('Checklist'!$F$4:$F$503,_calc!$E$402))=0,"",INDEX('Checklist'!$F$4:$F$503,_calc!$E$402))&amp;". ")&amp;IF(LEN(IF(LEN(INDEX('Checklist'!$J$4:$J$503,_calc!$E$402))=0,"",INDEX('Checklist'!$J$4:$J$503,_calc!$E$402)))=0,"","Evidence: "&amp;IF(LEN(INDEX('Checklist'!$J$4:$J$503,_calc!$E$402))=0,"",INDEX('Checklist'!$J$4:$J$503,_calc!$E$402))&amp;". ")&amp;IF(LEN(IF(LEN(INDEX('Checklist'!$D$4:$D$503,_calc!$E$402))=0,"",INDEX('Checklist'!$D$4:$D$503,_calc!$E$402)))=0,"","Rule example: "&amp;IF(LEN(INDEX('Checklist'!$D$4:$D$503,_calc!$E$402))=0,"",INDEX('Checklist'!$D$4:$D$503,_calc!$E$402))&amp;". ")&amp;IF(LEN(IF(LEN(INDEX('Checklist'!$P$4:$P$503,_calc!$E$402))=0,"",INDEX('Checklist'!$P$4:$P$503,_calc!$E$402)))=0,"",IF(LEN(INDEX('Checklist'!$P$4:$P$503,_calc!$E$402))=0,"",INDEX('Checklist'!$P$4:$P$503,_calc!$E$402)))))</f>
        <v/>
      </c>
      <c r="K400" s="44">
        <f>IF(_calc!$E$402="","",IF(LEN(INDEX('Checklist'!$G$4:$G$503,_calc!$E$402))=0,"",INDEX('Checklist'!$G$4:$G$503,_calc!$E$402)))</f>
        <v/>
      </c>
    </row>
    <row r="401">
      <c r="A401" s="44">
        <f>IF(_calc!$E$403="","","Survey check – "&amp;IF(LEN(INDEX('Checklist'!$C$4:$C$503,_calc!$E$403))=0,"",INDEX('Checklist'!$C$4:$C$503,_calc!$E$403)))</f>
        <v/>
      </c>
      <c r="B401" s="44">
        <f>IF(_calc!$E$403="","",IF(ISNUMBER(INDEX('Checklist'!$L$4:$L$503,_calc!$E$403)),TEXT(INDEX('Checklist'!$L$4:$L$503,_calc!$E$403),"yyyy-mm-dd"),""))</f>
        <v/>
      </c>
      <c r="C401" s="44">
        <f>IF(_calc!$E$403="","","Survey readiness")</f>
        <v/>
      </c>
      <c r="D401" s="44">
        <f>IF(_calc!$E$403="","",IF(ISNUMBER(INDEX('Checklist'!$H$4:$H$503,_calc!$E$403)),TEXT(INDEX('Checklist'!$H$4:$H$503,_calc!$E$403),"yyyy-mm-dd"),""))</f>
        <v/>
      </c>
      <c r="F401" s="44">
        <f>IF(_calc!$E$403="","",TRIM(IF(LEN(IF(LEN(INDEX('Checklist'!$A$4:$A$503,_calc!$E$403))=0,"",INDEX('Checklist'!$A$4:$A$503,_calc!$E$403)))=0,"","Group: "&amp;IF(LEN(INDEX('Checklist'!$A$4:$A$503,_calc!$E$403))=0,"",INDEX('Checklist'!$A$4:$A$503,_calc!$E$403))&amp;". ")&amp;IF(LEN(IF(LEN(INDEX('Checklist'!$E$4:$E$503,_calc!$E$403))=0,"",INDEX('Checklist'!$E$4:$E$503,_calc!$E$403)))=0,"","Owner: "&amp;IF(LEN(INDEX('Checklist'!$E$4:$E$503,_calc!$E$403))=0,"",INDEX('Checklist'!$E$4:$E$503,_calc!$E$403))&amp;". ")&amp;IF(LEN(IF(LEN(INDEX('Checklist'!$F$4:$F$503,_calc!$E$403))=0,"",INDEX('Checklist'!$F$4:$F$503,_calc!$E$403)))=0,"","Backup: "&amp;IF(LEN(INDEX('Checklist'!$F$4:$F$503,_calc!$E$403))=0,"",INDEX('Checklist'!$F$4:$F$503,_calc!$E$403))&amp;". ")&amp;IF(LEN(IF(LEN(INDEX('Checklist'!$J$4:$J$503,_calc!$E$403))=0,"",INDEX('Checklist'!$J$4:$J$503,_calc!$E$403)))=0,"","Evidence: "&amp;IF(LEN(INDEX('Checklist'!$J$4:$J$503,_calc!$E$403))=0,"",INDEX('Checklist'!$J$4:$J$503,_calc!$E$403))&amp;". ")&amp;IF(LEN(IF(LEN(INDEX('Checklist'!$D$4:$D$503,_calc!$E$403))=0,"",INDEX('Checklist'!$D$4:$D$503,_calc!$E$403)))=0,"","Rule example: "&amp;IF(LEN(INDEX('Checklist'!$D$4:$D$503,_calc!$E$403))=0,"",INDEX('Checklist'!$D$4:$D$503,_calc!$E$403))&amp;". ")&amp;IF(LEN(IF(LEN(INDEX('Checklist'!$P$4:$P$503,_calc!$E$403))=0,"",INDEX('Checklist'!$P$4:$P$503,_calc!$E$403)))=0,"",IF(LEN(INDEX('Checklist'!$P$4:$P$503,_calc!$E$403))=0,"",INDEX('Checklist'!$P$4:$P$503,_calc!$E$403)))))</f>
        <v/>
      </c>
      <c r="K401" s="44">
        <f>IF(_calc!$E$403="","",IF(LEN(INDEX('Checklist'!$G$4:$G$503,_calc!$E$403))=0,"",INDEX('Checklist'!$G$4:$G$503,_calc!$E$403)))</f>
        <v/>
      </c>
    </row>
    <row r="402">
      <c r="A402" s="44">
        <f>IF(_calc!$E$404="","","Survey check – "&amp;IF(LEN(INDEX('Checklist'!$C$4:$C$503,_calc!$E$404))=0,"",INDEX('Checklist'!$C$4:$C$503,_calc!$E$404)))</f>
        <v/>
      </c>
      <c r="B402" s="44">
        <f>IF(_calc!$E$404="","",IF(ISNUMBER(INDEX('Checklist'!$L$4:$L$503,_calc!$E$404)),TEXT(INDEX('Checklist'!$L$4:$L$503,_calc!$E$404),"yyyy-mm-dd"),""))</f>
        <v/>
      </c>
      <c r="C402" s="44">
        <f>IF(_calc!$E$404="","","Survey readiness")</f>
        <v/>
      </c>
      <c r="D402" s="44">
        <f>IF(_calc!$E$404="","",IF(ISNUMBER(INDEX('Checklist'!$H$4:$H$503,_calc!$E$404)),TEXT(INDEX('Checklist'!$H$4:$H$503,_calc!$E$404),"yyyy-mm-dd"),""))</f>
        <v/>
      </c>
      <c r="F402" s="44">
        <f>IF(_calc!$E$404="","",TRIM(IF(LEN(IF(LEN(INDEX('Checklist'!$A$4:$A$503,_calc!$E$404))=0,"",INDEX('Checklist'!$A$4:$A$503,_calc!$E$404)))=0,"","Group: "&amp;IF(LEN(INDEX('Checklist'!$A$4:$A$503,_calc!$E$404))=0,"",INDEX('Checklist'!$A$4:$A$503,_calc!$E$404))&amp;". ")&amp;IF(LEN(IF(LEN(INDEX('Checklist'!$E$4:$E$503,_calc!$E$404))=0,"",INDEX('Checklist'!$E$4:$E$503,_calc!$E$404)))=0,"","Owner: "&amp;IF(LEN(INDEX('Checklist'!$E$4:$E$503,_calc!$E$404))=0,"",INDEX('Checklist'!$E$4:$E$503,_calc!$E$404))&amp;". ")&amp;IF(LEN(IF(LEN(INDEX('Checklist'!$F$4:$F$503,_calc!$E$404))=0,"",INDEX('Checklist'!$F$4:$F$503,_calc!$E$404)))=0,"","Backup: "&amp;IF(LEN(INDEX('Checklist'!$F$4:$F$503,_calc!$E$404))=0,"",INDEX('Checklist'!$F$4:$F$503,_calc!$E$404))&amp;". ")&amp;IF(LEN(IF(LEN(INDEX('Checklist'!$J$4:$J$503,_calc!$E$404))=0,"",INDEX('Checklist'!$J$4:$J$503,_calc!$E$404)))=0,"","Evidence: "&amp;IF(LEN(INDEX('Checklist'!$J$4:$J$503,_calc!$E$404))=0,"",INDEX('Checklist'!$J$4:$J$503,_calc!$E$404))&amp;". ")&amp;IF(LEN(IF(LEN(INDEX('Checklist'!$D$4:$D$503,_calc!$E$404))=0,"",INDEX('Checklist'!$D$4:$D$503,_calc!$E$404)))=0,"","Rule example: "&amp;IF(LEN(INDEX('Checklist'!$D$4:$D$503,_calc!$E$404))=0,"",INDEX('Checklist'!$D$4:$D$503,_calc!$E$404))&amp;". ")&amp;IF(LEN(IF(LEN(INDEX('Checklist'!$P$4:$P$503,_calc!$E$404))=0,"",INDEX('Checklist'!$P$4:$P$503,_calc!$E$404)))=0,"",IF(LEN(INDEX('Checklist'!$P$4:$P$503,_calc!$E$404))=0,"",INDEX('Checklist'!$P$4:$P$503,_calc!$E$404)))))</f>
        <v/>
      </c>
      <c r="K402" s="44">
        <f>IF(_calc!$E$404="","",IF(LEN(INDEX('Checklist'!$G$4:$G$503,_calc!$E$404))=0,"",INDEX('Checklist'!$G$4:$G$503,_calc!$E$404)))</f>
        <v/>
      </c>
    </row>
    <row r="403">
      <c r="A403" s="44">
        <f>IF(_calc!$E$405="","","Survey check – "&amp;IF(LEN(INDEX('Checklist'!$C$4:$C$503,_calc!$E$405))=0,"",INDEX('Checklist'!$C$4:$C$503,_calc!$E$405)))</f>
        <v/>
      </c>
      <c r="B403" s="44">
        <f>IF(_calc!$E$405="","",IF(ISNUMBER(INDEX('Checklist'!$L$4:$L$503,_calc!$E$405)),TEXT(INDEX('Checklist'!$L$4:$L$503,_calc!$E$405),"yyyy-mm-dd"),""))</f>
        <v/>
      </c>
      <c r="C403" s="44">
        <f>IF(_calc!$E$405="","","Survey readiness")</f>
        <v/>
      </c>
      <c r="D403" s="44">
        <f>IF(_calc!$E$405="","",IF(ISNUMBER(INDEX('Checklist'!$H$4:$H$503,_calc!$E$405)),TEXT(INDEX('Checklist'!$H$4:$H$503,_calc!$E$405),"yyyy-mm-dd"),""))</f>
        <v/>
      </c>
      <c r="F403" s="44">
        <f>IF(_calc!$E$405="","",TRIM(IF(LEN(IF(LEN(INDEX('Checklist'!$A$4:$A$503,_calc!$E$405))=0,"",INDEX('Checklist'!$A$4:$A$503,_calc!$E$405)))=0,"","Group: "&amp;IF(LEN(INDEX('Checklist'!$A$4:$A$503,_calc!$E$405))=0,"",INDEX('Checklist'!$A$4:$A$503,_calc!$E$405))&amp;". ")&amp;IF(LEN(IF(LEN(INDEX('Checklist'!$E$4:$E$503,_calc!$E$405))=0,"",INDEX('Checklist'!$E$4:$E$503,_calc!$E$405)))=0,"","Owner: "&amp;IF(LEN(INDEX('Checklist'!$E$4:$E$503,_calc!$E$405))=0,"",INDEX('Checklist'!$E$4:$E$503,_calc!$E$405))&amp;". ")&amp;IF(LEN(IF(LEN(INDEX('Checklist'!$F$4:$F$503,_calc!$E$405))=0,"",INDEX('Checklist'!$F$4:$F$503,_calc!$E$405)))=0,"","Backup: "&amp;IF(LEN(INDEX('Checklist'!$F$4:$F$503,_calc!$E$405))=0,"",INDEX('Checklist'!$F$4:$F$503,_calc!$E$405))&amp;". ")&amp;IF(LEN(IF(LEN(INDEX('Checklist'!$J$4:$J$503,_calc!$E$405))=0,"",INDEX('Checklist'!$J$4:$J$503,_calc!$E$405)))=0,"","Evidence: "&amp;IF(LEN(INDEX('Checklist'!$J$4:$J$503,_calc!$E$405))=0,"",INDEX('Checklist'!$J$4:$J$503,_calc!$E$405))&amp;". ")&amp;IF(LEN(IF(LEN(INDEX('Checklist'!$D$4:$D$503,_calc!$E$405))=0,"",INDEX('Checklist'!$D$4:$D$503,_calc!$E$405)))=0,"","Rule example: "&amp;IF(LEN(INDEX('Checklist'!$D$4:$D$503,_calc!$E$405))=0,"",INDEX('Checklist'!$D$4:$D$503,_calc!$E$405))&amp;". ")&amp;IF(LEN(IF(LEN(INDEX('Checklist'!$P$4:$P$503,_calc!$E$405))=0,"",INDEX('Checklist'!$P$4:$P$503,_calc!$E$405)))=0,"",IF(LEN(INDEX('Checklist'!$P$4:$P$503,_calc!$E$405))=0,"",INDEX('Checklist'!$P$4:$P$503,_calc!$E$405)))))</f>
        <v/>
      </c>
      <c r="K403" s="44">
        <f>IF(_calc!$E$405="","",IF(LEN(INDEX('Checklist'!$G$4:$G$503,_calc!$E$405))=0,"",INDEX('Checklist'!$G$4:$G$503,_calc!$E$405)))</f>
        <v/>
      </c>
    </row>
    <row r="404">
      <c r="A404" s="44">
        <f>IF(_calc!$E$406="","","Survey check – "&amp;IF(LEN(INDEX('Checklist'!$C$4:$C$503,_calc!$E$406))=0,"",INDEX('Checklist'!$C$4:$C$503,_calc!$E$406)))</f>
        <v/>
      </c>
      <c r="B404" s="44">
        <f>IF(_calc!$E$406="","",IF(ISNUMBER(INDEX('Checklist'!$L$4:$L$503,_calc!$E$406)),TEXT(INDEX('Checklist'!$L$4:$L$503,_calc!$E$406),"yyyy-mm-dd"),""))</f>
        <v/>
      </c>
      <c r="C404" s="44">
        <f>IF(_calc!$E$406="","","Survey readiness")</f>
        <v/>
      </c>
      <c r="D404" s="44">
        <f>IF(_calc!$E$406="","",IF(ISNUMBER(INDEX('Checklist'!$H$4:$H$503,_calc!$E$406)),TEXT(INDEX('Checklist'!$H$4:$H$503,_calc!$E$406),"yyyy-mm-dd"),""))</f>
        <v/>
      </c>
      <c r="F404" s="44">
        <f>IF(_calc!$E$406="","",TRIM(IF(LEN(IF(LEN(INDEX('Checklist'!$A$4:$A$503,_calc!$E$406))=0,"",INDEX('Checklist'!$A$4:$A$503,_calc!$E$406)))=0,"","Group: "&amp;IF(LEN(INDEX('Checklist'!$A$4:$A$503,_calc!$E$406))=0,"",INDEX('Checklist'!$A$4:$A$503,_calc!$E$406))&amp;". ")&amp;IF(LEN(IF(LEN(INDEX('Checklist'!$E$4:$E$503,_calc!$E$406))=0,"",INDEX('Checklist'!$E$4:$E$503,_calc!$E$406)))=0,"","Owner: "&amp;IF(LEN(INDEX('Checklist'!$E$4:$E$503,_calc!$E$406))=0,"",INDEX('Checklist'!$E$4:$E$503,_calc!$E$406))&amp;". ")&amp;IF(LEN(IF(LEN(INDEX('Checklist'!$F$4:$F$503,_calc!$E$406))=0,"",INDEX('Checklist'!$F$4:$F$503,_calc!$E$406)))=0,"","Backup: "&amp;IF(LEN(INDEX('Checklist'!$F$4:$F$503,_calc!$E$406))=0,"",INDEX('Checklist'!$F$4:$F$503,_calc!$E$406))&amp;". ")&amp;IF(LEN(IF(LEN(INDEX('Checklist'!$J$4:$J$503,_calc!$E$406))=0,"",INDEX('Checklist'!$J$4:$J$503,_calc!$E$406)))=0,"","Evidence: "&amp;IF(LEN(INDEX('Checklist'!$J$4:$J$503,_calc!$E$406))=0,"",INDEX('Checklist'!$J$4:$J$503,_calc!$E$406))&amp;". ")&amp;IF(LEN(IF(LEN(INDEX('Checklist'!$D$4:$D$503,_calc!$E$406))=0,"",INDEX('Checklist'!$D$4:$D$503,_calc!$E$406)))=0,"","Rule example: "&amp;IF(LEN(INDEX('Checklist'!$D$4:$D$503,_calc!$E$406))=0,"",INDEX('Checklist'!$D$4:$D$503,_calc!$E$406))&amp;". ")&amp;IF(LEN(IF(LEN(INDEX('Checklist'!$P$4:$P$503,_calc!$E$406))=0,"",INDEX('Checklist'!$P$4:$P$503,_calc!$E$406)))=0,"",IF(LEN(INDEX('Checklist'!$P$4:$P$503,_calc!$E$406))=0,"",INDEX('Checklist'!$P$4:$P$503,_calc!$E$406)))))</f>
        <v/>
      </c>
      <c r="K404" s="44">
        <f>IF(_calc!$E$406="","",IF(LEN(INDEX('Checklist'!$G$4:$G$503,_calc!$E$406))=0,"",INDEX('Checklist'!$G$4:$G$503,_calc!$E$406)))</f>
        <v/>
      </c>
    </row>
    <row r="405">
      <c r="A405" s="44">
        <f>IF(_calc!$E$407="","","Survey check – "&amp;IF(LEN(INDEX('Checklist'!$C$4:$C$503,_calc!$E$407))=0,"",INDEX('Checklist'!$C$4:$C$503,_calc!$E$407)))</f>
        <v/>
      </c>
      <c r="B405" s="44">
        <f>IF(_calc!$E$407="","",IF(ISNUMBER(INDEX('Checklist'!$L$4:$L$503,_calc!$E$407)),TEXT(INDEX('Checklist'!$L$4:$L$503,_calc!$E$407),"yyyy-mm-dd"),""))</f>
        <v/>
      </c>
      <c r="C405" s="44">
        <f>IF(_calc!$E$407="","","Survey readiness")</f>
        <v/>
      </c>
      <c r="D405" s="44">
        <f>IF(_calc!$E$407="","",IF(ISNUMBER(INDEX('Checklist'!$H$4:$H$503,_calc!$E$407)),TEXT(INDEX('Checklist'!$H$4:$H$503,_calc!$E$407),"yyyy-mm-dd"),""))</f>
        <v/>
      </c>
      <c r="F405" s="44">
        <f>IF(_calc!$E$407="","",TRIM(IF(LEN(IF(LEN(INDEX('Checklist'!$A$4:$A$503,_calc!$E$407))=0,"",INDEX('Checklist'!$A$4:$A$503,_calc!$E$407)))=0,"","Group: "&amp;IF(LEN(INDEX('Checklist'!$A$4:$A$503,_calc!$E$407))=0,"",INDEX('Checklist'!$A$4:$A$503,_calc!$E$407))&amp;". ")&amp;IF(LEN(IF(LEN(INDEX('Checklist'!$E$4:$E$503,_calc!$E$407))=0,"",INDEX('Checklist'!$E$4:$E$503,_calc!$E$407)))=0,"","Owner: "&amp;IF(LEN(INDEX('Checklist'!$E$4:$E$503,_calc!$E$407))=0,"",INDEX('Checklist'!$E$4:$E$503,_calc!$E$407))&amp;". ")&amp;IF(LEN(IF(LEN(INDEX('Checklist'!$F$4:$F$503,_calc!$E$407))=0,"",INDEX('Checklist'!$F$4:$F$503,_calc!$E$407)))=0,"","Backup: "&amp;IF(LEN(INDEX('Checklist'!$F$4:$F$503,_calc!$E$407))=0,"",INDEX('Checklist'!$F$4:$F$503,_calc!$E$407))&amp;". ")&amp;IF(LEN(IF(LEN(INDEX('Checklist'!$J$4:$J$503,_calc!$E$407))=0,"",INDEX('Checklist'!$J$4:$J$503,_calc!$E$407)))=0,"","Evidence: "&amp;IF(LEN(INDEX('Checklist'!$J$4:$J$503,_calc!$E$407))=0,"",INDEX('Checklist'!$J$4:$J$503,_calc!$E$407))&amp;". ")&amp;IF(LEN(IF(LEN(INDEX('Checklist'!$D$4:$D$503,_calc!$E$407))=0,"",INDEX('Checklist'!$D$4:$D$503,_calc!$E$407)))=0,"","Rule example: "&amp;IF(LEN(INDEX('Checklist'!$D$4:$D$503,_calc!$E$407))=0,"",INDEX('Checklist'!$D$4:$D$503,_calc!$E$407))&amp;". ")&amp;IF(LEN(IF(LEN(INDEX('Checklist'!$P$4:$P$503,_calc!$E$407))=0,"",INDEX('Checklist'!$P$4:$P$503,_calc!$E$407)))=0,"",IF(LEN(INDEX('Checklist'!$P$4:$P$503,_calc!$E$407))=0,"",INDEX('Checklist'!$P$4:$P$503,_calc!$E$407)))))</f>
        <v/>
      </c>
      <c r="K405" s="44">
        <f>IF(_calc!$E$407="","",IF(LEN(INDEX('Checklist'!$G$4:$G$503,_calc!$E$407))=0,"",INDEX('Checklist'!$G$4:$G$503,_calc!$E$407)))</f>
        <v/>
      </c>
    </row>
    <row r="406">
      <c r="A406" s="44">
        <f>IF(_calc!$E$408="","","Survey check – "&amp;IF(LEN(INDEX('Checklist'!$C$4:$C$503,_calc!$E$408))=0,"",INDEX('Checklist'!$C$4:$C$503,_calc!$E$408)))</f>
        <v/>
      </c>
      <c r="B406" s="44">
        <f>IF(_calc!$E$408="","",IF(ISNUMBER(INDEX('Checklist'!$L$4:$L$503,_calc!$E$408)),TEXT(INDEX('Checklist'!$L$4:$L$503,_calc!$E$408),"yyyy-mm-dd"),""))</f>
        <v/>
      </c>
      <c r="C406" s="44">
        <f>IF(_calc!$E$408="","","Survey readiness")</f>
        <v/>
      </c>
      <c r="D406" s="44">
        <f>IF(_calc!$E$408="","",IF(ISNUMBER(INDEX('Checklist'!$H$4:$H$503,_calc!$E$408)),TEXT(INDEX('Checklist'!$H$4:$H$503,_calc!$E$408),"yyyy-mm-dd"),""))</f>
        <v/>
      </c>
      <c r="F406" s="44">
        <f>IF(_calc!$E$408="","",TRIM(IF(LEN(IF(LEN(INDEX('Checklist'!$A$4:$A$503,_calc!$E$408))=0,"",INDEX('Checklist'!$A$4:$A$503,_calc!$E$408)))=0,"","Group: "&amp;IF(LEN(INDEX('Checklist'!$A$4:$A$503,_calc!$E$408))=0,"",INDEX('Checklist'!$A$4:$A$503,_calc!$E$408))&amp;". ")&amp;IF(LEN(IF(LEN(INDEX('Checklist'!$E$4:$E$503,_calc!$E$408))=0,"",INDEX('Checklist'!$E$4:$E$503,_calc!$E$408)))=0,"","Owner: "&amp;IF(LEN(INDEX('Checklist'!$E$4:$E$503,_calc!$E$408))=0,"",INDEX('Checklist'!$E$4:$E$503,_calc!$E$408))&amp;". ")&amp;IF(LEN(IF(LEN(INDEX('Checklist'!$F$4:$F$503,_calc!$E$408))=0,"",INDEX('Checklist'!$F$4:$F$503,_calc!$E$408)))=0,"","Backup: "&amp;IF(LEN(INDEX('Checklist'!$F$4:$F$503,_calc!$E$408))=0,"",INDEX('Checklist'!$F$4:$F$503,_calc!$E$408))&amp;". ")&amp;IF(LEN(IF(LEN(INDEX('Checklist'!$J$4:$J$503,_calc!$E$408))=0,"",INDEX('Checklist'!$J$4:$J$503,_calc!$E$408)))=0,"","Evidence: "&amp;IF(LEN(INDEX('Checklist'!$J$4:$J$503,_calc!$E$408))=0,"",INDEX('Checklist'!$J$4:$J$503,_calc!$E$408))&amp;". ")&amp;IF(LEN(IF(LEN(INDEX('Checklist'!$D$4:$D$503,_calc!$E$408))=0,"",INDEX('Checklist'!$D$4:$D$503,_calc!$E$408)))=0,"","Rule example: "&amp;IF(LEN(INDEX('Checklist'!$D$4:$D$503,_calc!$E$408))=0,"",INDEX('Checklist'!$D$4:$D$503,_calc!$E$408))&amp;". ")&amp;IF(LEN(IF(LEN(INDEX('Checklist'!$P$4:$P$503,_calc!$E$408))=0,"",INDEX('Checklist'!$P$4:$P$503,_calc!$E$408)))=0,"",IF(LEN(INDEX('Checklist'!$P$4:$P$503,_calc!$E$408))=0,"",INDEX('Checklist'!$P$4:$P$503,_calc!$E$408)))))</f>
        <v/>
      </c>
      <c r="K406" s="44">
        <f>IF(_calc!$E$408="","",IF(LEN(INDEX('Checklist'!$G$4:$G$503,_calc!$E$408))=0,"",INDEX('Checklist'!$G$4:$G$503,_calc!$E$408)))</f>
        <v/>
      </c>
    </row>
    <row r="407">
      <c r="A407" s="44">
        <f>IF(_calc!$E$409="","","Survey check – "&amp;IF(LEN(INDEX('Checklist'!$C$4:$C$503,_calc!$E$409))=0,"",INDEX('Checklist'!$C$4:$C$503,_calc!$E$409)))</f>
        <v/>
      </c>
      <c r="B407" s="44">
        <f>IF(_calc!$E$409="","",IF(ISNUMBER(INDEX('Checklist'!$L$4:$L$503,_calc!$E$409)),TEXT(INDEX('Checklist'!$L$4:$L$503,_calc!$E$409),"yyyy-mm-dd"),""))</f>
        <v/>
      </c>
      <c r="C407" s="44">
        <f>IF(_calc!$E$409="","","Survey readiness")</f>
        <v/>
      </c>
      <c r="D407" s="44">
        <f>IF(_calc!$E$409="","",IF(ISNUMBER(INDEX('Checklist'!$H$4:$H$503,_calc!$E$409)),TEXT(INDEX('Checklist'!$H$4:$H$503,_calc!$E$409),"yyyy-mm-dd"),""))</f>
        <v/>
      </c>
      <c r="F407" s="44">
        <f>IF(_calc!$E$409="","",TRIM(IF(LEN(IF(LEN(INDEX('Checklist'!$A$4:$A$503,_calc!$E$409))=0,"",INDEX('Checklist'!$A$4:$A$503,_calc!$E$409)))=0,"","Group: "&amp;IF(LEN(INDEX('Checklist'!$A$4:$A$503,_calc!$E$409))=0,"",INDEX('Checklist'!$A$4:$A$503,_calc!$E$409))&amp;". ")&amp;IF(LEN(IF(LEN(INDEX('Checklist'!$E$4:$E$503,_calc!$E$409))=0,"",INDEX('Checklist'!$E$4:$E$503,_calc!$E$409)))=0,"","Owner: "&amp;IF(LEN(INDEX('Checklist'!$E$4:$E$503,_calc!$E$409))=0,"",INDEX('Checklist'!$E$4:$E$503,_calc!$E$409))&amp;". ")&amp;IF(LEN(IF(LEN(INDEX('Checklist'!$F$4:$F$503,_calc!$E$409))=0,"",INDEX('Checklist'!$F$4:$F$503,_calc!$E$409)))=0,"","Backup: "&amp;IF(LEN(INDEX('Checklist'!$F$4:$F$503,_calc!$E$409))=0,"",INDEX('Checklist'!$F$4:$F$503,_calc!$E$409))&amp;". ")&amp;IF(LEN(IF(LEN(INDEX('Checklist'!$J$4:$J$503,_calc!$E$409))=0,"",INDEX('Checklist'!$J$4:$J$503,_calc!$E$409)))=0,"","Evidence: "&amp;IF(LEN(INDEX('Checklist'!$J$4:$J$503,_calc!$E$409))=0,"",INDEX('Checklist'!$J$4:$J$503,_calc!$E$409))&amp;". ")&amp;IF(LEN(IF(LEN(INDEX('Checklist'!$D$4:$D$503,_calc!$E$409))=0,"",INDEX('Checklist'!$D$4:$D$503,_calc!$E$409)))=0,"","Rule example: "&amp;IF(LEN(INDEX('Checklist'!$D$4:$D$503,_calc!$E$409))=0,"",INDEX('Checklist'!$D$4:$D$503,_calc!$E$409))&amp;". ")&amp;IF(LEN(IF(LEN(INDEX('Checklist'!$P$4:$P$503,_calc!$E$409))=0,"",INDEX('Checklist'!$P$4:$P$503,_calc!$E$409)))=0,"",IF(LEN(INDEX('Checklist'!$P$4:$P$503,_calc!$E$409))=0,"",INDEX('Checklist'!$P$4:$P$503,_calc!$E$409)))))</f>
        <v/>
      </c>
      <c r="K407" s="44">
        <f>IF(_calc!$E$409="","",IF(LEN(INDEX('Checklist'!$G$4:$G$503,_calc!$E$409))=0,"",INDEX('Checklist'!$G$4:$G$503,_calc!$E$409)))</f>
        <v/>
      </c>
    </row>
    <row r="408">
      <c r="A408" s="44">
        <f>IF(_calc!$E$410="","","Survey check – "&amp;IF(LEN(INDEX('Checklist'!$C$4:$C$503,_calc!$E$410))=0,"",INDEX('Checklist'!$C$4:$C$503,_calc!$E$410)))</f>
        <v/>
      </c>
      <c r="B408" s="44">
        <f>IF(_calc!$E$410="","",IF(ISNUMBER(INDEX('Checklist'!$L$4:$L$503,_calc!$E$410)),TEXT(INDEX('Checklist'!$L$4:$L$503,_calc!$E$410),"yyyy-mm-dd"),""))</f>
        <v/>
      </c>
      <c r="C408" s="44">
        <f>IF(_calc!$E$410="","","Survey readiness")</f>
        <v/>
      </c>
      <c r="D408" s="44">
        <f>IF(_calc!$E$410="","",IF(ISNUMBER(INDEX('Checklist'!$H$4:$H$503,_calc!$E$410)),TEXT(INDEX('Checklist'!$H$4:$H$503,_calc!$E$410),"yyyy-mm-dd"),""))</f>
        <v/>
      </c>
      <c r="F408" s="44">
        <f>IF(_calc!$E$410="","",TRIM(IF(LEN(IF(LEN(INDEX('Checklist'!$A$4:$A$503,_calc!$E$410))=0,"",INDEX('Checklist'!$A$4:$A$503,_calc!$E$410)))=0,"","Group: "&amp;IF(LEN(INDEX('Checklist'!$A$4:$A$503,_calc!$E$410))=0,"",INDEX('Checklist'!$A$4:$A$503,_calc!$E$410))&amp;". ")&amp;IF(LEN(IF(LEN(INDEX('Checklist'!$E$4:$E$503,_calc!$E$410))=0,"",INDEX('Checklist'!$E$4:$E$503,_calc!$E$410)))=0,"","Owner: "&amp;IF(LEN(INDEX('Checklist'!$E$4:$E$503,_calc!$E$410))=0,"",INDEX('Checklist'!$E$4:$E$503,_calc!$E$410))&amp;". ")&amp;IF(LEN(IF(LEN(INDEX('Checklist'!$F$4:$F$503,_calc!$E$410))=0,"",INDEX('Checklist'!$F$4:$F$503,_calc!$E$410)))=0,"","Backup: "&amp;IF(LEN(INDEX('Checklist'!$F$4:$F$503,_calc!$E$410))=0,"",INDEX('Checklist'!$F$4:$F$503,_calc!$E$410))&amp;". ")&amp;IF(LEN(IF(LEN(INDEX('Checklist'!$J$4:$J$503,_calc!$E$410))=0,"",INDEX('Checklist'!$J$4:$J$503,_calc!$E$410)))=0,"","Evidence: "&amp;IF(LEN(INDEX('Checklist'!$J$4:$J$503,_calc!$E$410))=0,"",INDEX('Checklist'!$J$4:$J$503,_calc!$E$410))&amp;". ")&amp;IF(LEN(IF(LEN(INDEX('Checklist'!$D$4:$D$503,_calc!$E$410))=0,"",INDEX('Checklist'!$D$4:$D$503,_calc!$E$410)))=0,"","Rule example: "&amp;IF(LEN(INDEX('Checklist'!$D$4:$D$503,_calc!$E$410))=0,"",INDEX('Checklist'!$D$4:$D$503,_calc!$E$410))&amp;". ")&amp;IF(LEN(IF(LEN(INDEX('Checklist'!$P$4:$P$503,_calc!$E$410))=0,"",INDEX('Checklist'!$P$4:$P$503,_calc!$E$410)))=0,"",IF(LEN(INDEX('Checklist'!$P$4:$P$503,_calc!$E$410))=0,"",INDEX('Checklist'!$P$4:$P$503,_calc!$E$410)))))</f>
        <v/>
      </c>
      <c r="K408" s="44">
        <f>IF(_calc!$E$410="","",IF(LEN(INDEX('Checklist'!$G$4:$G$503,_calc!$E$410))=0,"",INDEX('Checklist'!$G$4:$G$503,_calc!$E$410)))</f>
        <v/>
      </c>
    </row>
    <row r="409">
      <c r="A409" s="44">
        <f>IF(_calc!$E$411="","","Survey check – "&amp;IF(LEN(INDEX('Checklist'!$C$4:$C$503,_calc!$E$411))=0,"",INDEX('Checklist'!$C$4:$C$503,_calc!$E$411)))</f>
        <v/>
      </c>
      <c r="B409" s="44">
        <f>IF(_calc!$E$411="","",IF(ISNUMBER(INDEX('Checklist'!$L$4:$L$503,_calc!$E$411)),TEXT(INDEX('Checklist'!$L$4:$L$503,_calc!$E$411),"yyyy-mm-dd"),""))</f>
        <v/>
      </c>
      <c r="C409" s="44">
        <f>IF(_calc!$E$411="","","Survey readiness")</f>
        <v/>
      </c>
      <c r="D409" s="44">
        <f>IF(_calc!$E$411="","",IF(ISNUMBER(INDEX('Checklist'!$H$4:$H$503,_calc!$E$411)),TEXT(INDEX('Checklist'!$H$4:$H$503,_calc!$E$411),"yyyy-mm-dd"),""))</f>
        <v/>
      </c>
      <c r="F409" s="44">
        <f>IF(_calc!$E$411="","",TRIM(IF(LEN(IF(LEN(INDEX('Checklist'!$A$4:$A$503,_calc!$E$411))=0,"",INDEX('Checklist'!$A$4:$A$503,_calc!$E$411)))=0,"","Group: "&amp;IF(LEN(INDEX('Checklist'!$A$4:$A$503,_calc!$E$411))=0,"",INDEX('Checklist'!$A$4:$A$503,_calc!$E$411))&amp;". ")&amp;IF(LEN(IF(LEN(INDEX('Checklist'!$E$4:$E$503,_calc!$E$411))=0,"",INDEX('Checklist'!$E$4:$E$503,_calc!$E$411)))=0,"","Owner: "&amp;IF(LEN(INDEX('Checklist'!$E$4:$E$503,_calc!$E$411))=0,"",INDEX('Checklist'!$E$4:$E$503,_calc!$E$411))&amp;". ")&amp;IF(LEN(IF(LEN(INDEX('Checklist'!$F$4:$F$503,_calc!$E$411))=0,"",INDEX('Checklist'!$F$4:$F$503,_calc!$E$411)))=0,"","Backup: "&amp;IF(LEN(INDEX('Checklist'!$F$4:$F$503,_calc!$E$411))=0,"",INDEX('Checklist'!$F$4:$F$503,_calc!$E$411))&amp;". ")&amp;IF(LEN(IF(LEN(INDEX('Checklist'!$J$4:$J$503,_calc!$E$411))=0,"",INDEX('Checklist'!$J$4:$J$503,_calc!$E$411)))=0,"","Evidence: "&amp;IF(LEN(INDEX('Checklist'!$J$4:$J$503,_calc!$E$411))=0,"",INDEX('Checklist'!$J$4:$J$503,_calc!$E$411))&amp;". ")&amp;IF(LEN(IF(LEN(INDEX('Checklist'!$D$4:$D$503,_calc!$E$411))=0,"",INDEX('Checklist'!$D$4:$D$503,_calc!$E$411)))=0,"","Rule example: "&amp;IF(LEN(INDEX('Checklist'!$D$4:$D$503,_calc!$E$411))=0,"",INDEX('Checklist'!$D$4:$D$503,_calc!$E$411))&amp;". ")&amp;IF(LEN(IF(LEN(INDEX('Checklist'!$P$4:$P$503,_calc!$E$411))=0,"",INDEX('Checklist'!$P$4:$P$503,_calc!$E$411)))=0,"",IF(LEN(INDEX('Checklist'!$P$4:$P$503,_calc!$E$411))=0,"",INDEX('Checklist'!$P$4:$P$503,_calc!$E$411)))))</f>
        <v/>
      </c>
      <c r="K409" s="44">
        <f>IF(_calc!$E$411="","",IF(LEN(INDEX('Checklist'!$G$4:$G$503,_calc!$E$411))=0,"",INDEX('Checklist'!$G$4:$G$503,_calc!$E$411)))</f>
        <v/>
      </c>
    </row>
    <row r="410">
      <c r="A410" s="44">
        <f>IF(_calc!$E$412="","","Survey check – "&amp;IF(LEN(INDEX('Checklist'!$C$4:$C$503,_calc!$E$412))=0,"",INDEX('Checklist'!$C$4:$C$503,_calc!$E$412)))</f>
        <v/>
      </c>
      <c r="B410" s="44">
        <f>IF(_calc!$E$412="","",IF(ISNUMBER(INDEX('Checklist'!$L$4:$L$503,_calc!$E$412)),TEXT(INDEX('Checklist'!$L$4:$L$503,_calc!$E$412),"yyyy-mm-dd"),""))</f>
        <v/>
      </c>
      <c r="C410" s="44">
        <f>IF(_calc!$E$412="","","Survey readiness")</f>
        <v/>
      </c>
      <c r="D410" s="44">
        <f>IF(_calc!$E$412="","",IF(ISNUMBER(INDEX('Checklist'!$H$4:$H$503,_calc!$E$412)),TEXT(INDEX('Checklist'!$H$4:$H$503,_calc!$E$412),"yyyy-mm-dd"),""))</f>
        <v/>
      </c>
      <c r="F410" s="44">
        <f>IF(_calc!$E$412="","",TRIM(IF(LEN(IF(LEN(INDEX('Checklist'!$A$4:$A$503,_calc!$E$412))=0,"",INDEX('Checklist'!$A$4:$A$503,_calc!$E$412)))=0,"","Group: "&amp;IF(LEN(INDEX('Checklist'!$A$4:$A$503,_calc!$E$412))=0,"",INDEX('Checklist'!$A$4:$A$503,_calc!$E$412))&amp;". ")&amp;IF(LEN(IF(LEN(INDEX('Checklist'!$E$4:$E$503,_calc!$E$412))=0,"",INDEX('Checklist'!$E$4:$E$503,_calc!$E$412)))=0,"","Owner: "&amp;IF(LEN(INDEX('Checklist'!$E$4:$E$503,_calc!$E$412))=0,"",INDEX('Checklist'!$E$4:$E$503,_calc!$E$412))&amp;". ")&amp;IF(LEN(IF(LEN(INDEX('Checklist'!$F$4:$F$503,_calc!$E$412))=0,"",INDEX('Checklist'!$F$4:$F$503,_calc!$E$412)))=0,"","Backup: "&amp;IF(LEN(INDEX('Checklist'!$F$4:$F$503,_calc!$E$412))=0,"",INDEX('Checklist'!$F$4:$F$503,_calc!$E$412))&amp;". ")&amp;IF(LEN(IF(LEN(INDEX('Checklist'!$J$4:$J$503,_calc!$E$412))=0,"",INDEX('Checklist'!$J$4:$J$503,_calc!$E$412)))=0,"","Evidence: "&amp;IF(LEN(INDEX('Checklist'!$J$4:$J$503,_calc!$E$412))=0,"",INDEX('Checklist'!$J$4:$J$503,_calc!$E$412))&amp;". ")&amp;IF(LEN(IF(LEN(INDEX('Checklist'!$D$4:$D$503,_calc!$E$412))=0,"",INDEX('Checklist'!$D$4:$D$503,_calc!$E$412)))=0,"","Rule example: "&amp;IF(LEN(INDEX('Checklist'!$D$4:$D$503,_calc!$E$412))=0,"",INDEX('Checklist'!$D$4:$D$503,_calc!$E$412))&amp;". ")&amp;IF(LEN(IF(LEN(INDEX('Checklist'!$P$4:$P$503,_calc!$E$412))=0,"",INDEX('Checklist'!$P$4:$P$503,_calc!$E$412)))=0,"",IF(LEN(INDEX('Checklist'!$P$4:$P$503,_calc!$E$412))=0,"",INDEX('Checklist'!$P$4:$P$503,_calc!$E$412)))))</f>
        <v/>
      </c>
      <c r="K410" s="44">
        <f>IF(_calc!$E$412="","",IF(LEN(INDEX('Checklist'!$G$4:$G$503,_calc!$E$412))=0,"",INDEX('Checklist'!$G$4:$G$503,_calc!$E$412)))</f>
        <v/>
      </c>
    </row>
    <row r="411">
      <c r="A411" s="44">
        <f>IF(_calc!$E$413="","","Survey check – "&amp;IF(LEN(INDEX('Checklist'!$C$4:$C$503,_calc!$E$413))=0,"",INDEX('Checklist'!$C$4:$C$503,_calc!$E$413)))</f>
        <v/>
      </c>
      <c r="B411" s="44">
        <f>IF(_calc!$E$413="","",IF(ISNUMBER(INDEX('Checklist'!$L$4:$L$503,_calc!$E$413)),TEXT(INDEX('Checklist'!$L$4:$L$503,_calc!$E$413),"yyyy-mm-dd"),""))</f>
        <v/>
      </c>
      <c r="C411" s="44">
        <f>IF(_calc!$E$413="","","Survey readiness")</f>
        <v/>
      </c>
      <c r="D411" s="44">
        <f>IF(_calc!$E$413="","",IF(ISNUMBER(INDEX('Checklist'!$H$4:$H$503,_calc!$E$413)),TEXT(INDEX('Checklist'!$H$4:$H$503,_calc!$E$413),"yyyy-mm-dd"),""))</f>
        <v/>
      </c>
      <c r="F411" s="44">
        <f>IF(_calc!$E$413="","",TRIM(IF(LEN(IF(LEN(INDEX('Checklist'!$A$4:$A$503,_calc!$E$413))=0,"",INDEX('Checklist'!$A$4:$A$503,_calc!$E$413)))=0,"","Group: "&amp;IF(LEN(INDEX('Checklist'!$A$4:$A$503,_calc!$E$413))=0,"",INDEX('Checklist'!$A$4:$A$503,_calc!$E$413))&amp;". ")&amp;IF(LEN(IF(LEN(INDEX('Checklist'!$E$4:$E$503,_calc!$E$413))=0,"",INDEX('Checklist'!$E$4:$E$503,_calc!$E$413)))=0,"","Owner: "&amp;IF(LEN(INDEX('Checklist'!$E$4:$E$503,_calc!$E$413))=0,"",INDEX('Checklist'!$E$4:$E$503,_calc!$E$413))&amp;". ")&amp;IF(LEN(IF(LEN(INDEX('Checklist'!$F$4:$F$503,_calc!$E$413))=0,"",INDEX('Checklist'!$F$4:$F$503,_calc!$E$413)))=0,"","Backup: "&amp;IF(LEN(INDEX('Checklist'!$F$4:$F$503,_calc!$E$413))=0,"",INDEX('Checklist'!$F$4:$F$503,_calc!$E$413))&amp;". ")&amp;IF(LEN(IF(LEN(INDEX('Checklist'!$J$4:$J$503,_calc!$E$413))=0,"",INDEX('Checklist'!$J$4:$J$503,_calc!$E$413)))=0,"","Evidence: "&amp;IF(LEN(INDEX('Checklist'!$J$4:$J$503,_calc!$E$413))=0,"",INDEX('Checklist'!$J$4:$J$503,_calc!$E$413))&amp;". ")&amp;IF(LEN(IF(LEN(INDEX('Checklist'!$D$4:$D$503,_calc!$E$413))=0,"",INDEX('Checklist'!$D$4:$D$503,_calc!$E$413)))=0,"","Rule example: "&amp;IF(LEN(INDEX('Checklist'!$D$4:$D$503,_calc!$E$413))=0,"",INDEX('Checklist'!$D$4:$D$503,_calc!$E$413))&amp;". ")&amp;IF(LEN(IF(LEN(INDEX('Checklist'!$P$4:$P$503,_calc!$E$413))=0,"",INDEX('Checklist'!$P$4:$P$503,_calc!$E$413)))=0,"",IF(LEN(INDEX('Checklist'!$P$4:$P$503,_calc!$E$413))=0,"",INDEX('Checklist'!$P$4:$P$503,_calc!$E$413)))))</f>
        <v/>
      </c>
      <c r="K411" s="44">
        <f>IF(_calc!$E$413="","",IF(LEN(INDEX('Checklist'!$G$4:$G$503,_calc!$E$413))=0,"",INDEX('Checklist'!$G$4:$G$503,_calc!$E$413)))</f>
        <v/>
      </c>
    </row>
    <row r="412">
      <c r="A412" s="44">
        <f>IF(_calc!$E$414="","","Survey check – "&amp;IF(LEN(INDEX('Checklist'!$C$4:$C$503,_calc!$E$414))=0,"",INDEX('Checklist'!$C$4:$C$503,_calc!$E$414)))</f>
        <v/>
      </c>
      <c r="B412" s="44">
        <f>IF(_calc!$E$414="","",IF(ISNUMBER(INDEX('Checklist'!$L$4:$L$503,_calc!$E$414)),TEXT(INDEX('Checklist'!$L$4:$L$503,_calc!$E$414),"yyyy-mm-dd"),""))</f>
        <v/>
      </c>
      <c r="C412" s="44">
        <f>IF(_calc!$E$414="","","Survey readiness")</f>
        <v/>
      </c>
      <c r="D412" s="44">
        <f>IF(_calc!$E$414="","",IF(ISNUMBER(INDEX('Checklist'!$H$4:$H$503,_calc!$E$414)),TEXT(INDEX('Checklist'!$H$4:$H$503,_calc!$E$414),"yyyy-mm-dd"),""))</f>
        <v/>
      </c>
      <c r="F412" s="44">
        <f>IF(_calc!$E$414="","",TRIM(IF(LEN(IF(LEN(INDEX('Checklist'!$A$4:$A$503,_calc!$E$414))=0,"",INDEX('Checklist'!$A$4:$A$503,_calc!$E$414)))=0,"","Group: "&amp;IF(LEN(INDEX('Checklist'!$A$4:$A$503,_calc!$E$414))=0,"",INDEX('Checklist'!$A$4:$A$503,_calc!$E$414))&amp;". ")&amp;IF(LEN(IF(LEN(INDEX('Checklist'!$E$4:$E$503,_calc!$E$414))=0,"",INDEX('Checklist'!$E$4:$E$503,_calc!$E$414)))=0,"","Owner: "&amp;IF(LEN(INDEX('Checklist'!$E$4:$E$503,_calc!$E$414))=0,"",INDEX('Checklist'!$E$4:$E$503,_calc!$E$414))&amp;". ")&amp;IF(LEN(IF(LEN(INDEX('Checklist'!$F$4:$F$503,_calc!$E$414))=0,"",INDEX('Checklist'!$F$4:$F$503,_calc!$E$414)))=0,"","Backup: "&amp;IF(LEN(INDEX('Checklist'!$F$4:$F$503,_calc!$E$414))=0,"",INDEX('Checklist'!$F$4:$F$503,_calc!$E$414))&amp;". ")&amp;IF(LEN(IF(LEN(INDEX('Checklist'!$J$4:$J$503,_calc!$E$414))=0,"",INDEX('Checklist'!$J$4:$J$503,_calc!$E$414)))=0,"","Evidence: "&amp;IF(LEN(INDEX('Checklist'!$J$4:$J$503,_calc!$E$414))=0,"",INDEX('Checklist'!$J$4:$J$503,_calc!$E$414))&amp;". ")&amp;IF(LEN(IF(LEN(INDEX('Checklist'!$D$4:$D$503,_calc!$E$414))=0,"",INDEX('Checklist'!$D$4:$D$503,_calc!$E$414)))=0,"","Rule example: "&amp;IF(LEN(INDEX('Checklist'!$D$4:$D$503,_calc!$E$414))=0,"",INDEX('Checklist'!$D$4:$D$503,_calc!$E$414))&amp;". ")&amp;IF(LEN(IF(LEN(INDEX('Checklist'!$P$4:$P$503,_calc!$E$414))=0,"",INDEX('Checklist'!$P$4:$P$503,_calc!$E$414)))=0,"",IF(LEN(INDEX('Checklist'!$P$4:$P$503,_calc!$E$414))=0,"",INDEX('Checklist'!$P$4:$P$503,_calc!$E$414)))))</f>
        <v/>
      </c>
      <c r="K412" s="44">
        <f>IF(_calc!$E$414="","",IF(LEN(INDEX('Checklist'!$G$4:$G$503,_calc!$E$414))=0,"",INDEX('Checklist'!$G$4:$G$503,_calc!$E$414)))</f>
        <v/>
      </c>
    </row>
    <row r="413">
      <c r="A413" s="44">
        <f>IF(_calc!$E$415="","","Survey check – "&amp;IF(LEN(INDEX('Checklist'!$C$4:$C$503,_calc!$E$415))=0,"",INDEX('Checklist'!$C$4:$C$503,_calc!$E$415)))</f>
        <v/>
      </c>
      <c r="B413" s="44">
        <f>IF(_calc!$E$415="","",IF(ISNUMBER(INDEX('Checklist'!$L$4:$L$503,_calc!$E$415)),TEXT(INDEX('Checklist'!$L$4:$L$503,_calc!$E$415),"yyyy-mm-dd"),""))</f>
        <v/>
      </c>
      <c r="C413" s="44">
        <f>IF(_calc!$E$415="","","Survey readiness")</f>
        <v/>
      </c>
      <c r="D413" s="44">
        <f>IF(_calc!$E$415="","",IF(ISNUMBER(INDEX('Checklist'!$H$4:$H$503,_calc!$E$415)),TEXT(INDEX('Checklist'!$H$4:$H$503,_calc!$E$415),"yyyy-mm-dd"),""))</f>
        <v/>
      </c>
      <c r="F413" s="44">
        <f>IF(_calc!$E$415="","",TRIM(IF(LEN(IF(LEN(INDEX('Checklist'!$A$4:$A$503,_calc!$E$415))=0,"",INDEX('Checklist'!$A$4:$A$503,_calc!$E$415)))=0,"","Group: "&amp;IF(LEN(INDEX('Checklist'!$A$4:$A$503,_calc!$E$415))=0,"",INDEX('Checklist'!$A$4:$A$503,_calc!$E$415))&amp;". ")&amp;IF(LEN(IF(LEN(INDEX('Checklist'!$E$4:$E$503,_calc!$E$415))=0,"",INDEX('Checklist'!$E$4:$E$503,_calc!$E$415)))=0,"","Owner: "&amp;IF(LEN(INDEX('Checklist'!$E$4:$E$503,_calc!$E$415))=0,"",INDEX('Checklist'!$E$4:$E$503,_calc!$E$415))&amp;". ")&amp;IF(LEN(IF(LEN(INDEX('Checklist'!$F$4:$F$503,_calc!$E$415))=0,"",INDEX('Checklist'!$F$4:$F$503,_calc!$E$415)))=0,"","Backup: "&amp;IF(LEN(INDEX('Checklist'!$F$4:$F$503,_calc!$E$415))=0,"",INDEX('Checklist'!$F$4:$F$503,_calc!$E$415))&amp;". ")&amp;IF(LEN(IF(LEN(INDEX('Checklist'!$J$4:$J$503,_calc!$E$415))=0,"",INDEX('Checklist'!$J$4:$J$503,_calc!$E$415)))=0,"","Evidence: "&amp;IF(LEN(INDEX('Checklist'!$J$4:$J$503,_calc!$E$415))=0,"",INDEX('Checklist'!$J$4:$J$503,_calc!$E$415))&amp;". ")&amp;IF(LEN(IF(LEN(INDEX('Checklist'!$D$4:$D$503,_calc!$E$415))=0,"",INDEX('Checklist'!$D$4:$D$503,_calc!$E$415)))=0,"","Rule example: "&amp;IF(LEN(INDEX('Checklist'!$D$4:$D$503,_calc!$E$415))=0,"",INDEX('Checklist'!$D$4:$D$503,_calc!$E$415))&amp;". ")&amp;IF(LEN(IF(LEN(INDEX('Checklist'!$P$4:$P$503,_calc!$E$415))=0,"",INDEX('Checklist'!$P$4:$P$503,_calc!$E$415)))=0,"",IF(LEN(INDEX('Checklist'!$P$4:$P$503,_calc!$E$415))=0,"",INDEX('Checklist'!$P$4:$P$503,_calc!$E$415)))))</f>
        <v/>
      </c>
      <c r="K413" s="44">
        <f>IF(_calc!$E$415="","",IF(LEN(INDEX('Checklist'!$G$4:$G$503,_calc!$E$415))=0,"",INDEX('Checklist'!$G$4:$G$503,_calc!$E$415)))</f>
        <v/>
      </c>
    </row>
    <row r="414">
      <c r="A414" s="44">
        <f>IF(_calc!$E$416="","","Survey check – "&amp;IF(LEN(INDEX('Checklist'!$C$4:$C$503,_calc!$E$416))=0,"",INDEX('Checklist'!$C$4:$C$503,_calc!$E$416)))</f>
        <v/>
      </c>
      <c r="B414" s="44">
        <f>IF(_calc!$E$416="","",IF(ISNUMBER(INDEX('Checklist'!$L$4:$L$503,_calc!$E$416)),TEXT(INDEX('Checklist'!$L$4:$L$503,_calc!$E$416),"yyyy-mm-dd"),""))</f>
        <v/>
      </c>
      <c r="C414" s="44">
        <f>IF(_calc!$E$416="","","Survey readiness")</f>
        <v/>
      </c>
      <c r="D414" s="44">
        <f>IF(_calc!$E$416="","",IF(ISNUMBER(INDEX('Checklist'!$H$4:$H$503,_calc!$E$416)),TEXT(INDEX('Checklist'!$H$4:$H$503,_calc!$E$416),"yyyy-mm-dd"),""))</f>
        <v/>
      </c>
      <c r="F414" s="44">
        <f>IF(_calc!$E$416="","",TRIM(IF(LEN(IF(LEN(INDEX('Checklist'!$A$4:$A$503,_calc!$E$416))=0,"",INDEX('Checklist'!$A$4:$A$503,_calc!$E$416)))=0,"","Group: "&amp;IF(LEN(INDEX('Checklist'!$A$4:$A$503,_calc!$E$416))=0,"",INDEX('Checklist'!$A$4:$A$503,_calc!$E$416))&amp;". ")&amp;IF(LEN(IF(LEN(INDEX('Checklist'!$E$4:$E$503,_calc!$E$416))=0,"",INDEX('Checklist'!$E$4:$E$503,_calc!$E$416)))=0,"","Owner: "&amp;IF(LEN(INDEX('Checklist'!$E$4:$E$503,_calc!$E$416))=0,"",INDEX('Checklist'!$E$4:$E$503,_calc!$E$416))&amp;". ")&amp;IF(LEN(IF(LEN(INDEX('Checklist'!$F$4:$F$503,_calc!$E$416))=0,"",INDEX('Checklist'!$F$4:$F$503,_calc!$E$416)))=0,"","Backup: "&amp;IF(LEN(INDEX('Checklist'!$F$4:$F$503,_calc!$E$416))=0,"",INDEX('Checklist'!$F$4:$F$503,_calc!$E$416))&amp;". ")&amp;IF(LEN(IF(LEN(INDEX('Checklist'!$J$4:$J$503,_calc!$E$416))=0,"",INDEX('Checklist'!$J$4:$J$503,_calc!$E$416)))=0,"","Evidence: "&amp;IF(LEN(INDEX('Checklist'!$J$4:$J$503,_calc!$E$416))=0,"",INDEX('Checklist'!$J$4:$J$503,_calc!$E$416))&amp;". ")&amp;IF(LEN(IF(LEN(INDEX('Checklist'!$D$4:$D$503,_calc!$E$416))=0,"",INDEX('Checklist'!$D$4:$D$503,_calc!$E$416)))=0,"","Rule example: "&amp;IF(LEN(INDEX('Checklist'!$D$4:$D$503,_calc!$E$416))=0,"",INDEX('Checklist'!$D$4:$D$503,_calc!$E$416))&amp;". ")&amp;IF(LEN(IF(LEN(INDEX('Checklist'!$P$4:$P$503,_calc!$E$416))=0,"",INDEX('Checklist'!$P$4:$P$503,_calc!$E$416)))=0,"",IF(LEN(INDEX('Checklist'!$P$4:$P$503,_calc!$E$416))=0,"",INDEX('Checklist'!$P$4:$P$503,_calc!$E$416)))))</f>
        <v/>
      </c>
      <c r="K414" s="44">
        <f>IF(_calc!$E$416="","",IF(LEN(INDEX('Checklist'!$G$4:$G$503,_calc!$E$416))=0,"",INDEX('Checklist'!$G$4:$G$503,_calc!$E$416)))</f>
        <v/>
      </c>
    </row>
    <row r="415">
      <c r="A415" s="44">
        <f>IF(_calc!$E$417="","","Survey check – "&amp;IF(LEN(INDEX('Checklist'!$C$4:$C$503,_calc!$E$417))=0,"",INDEX('Checklist'!$C$4:$C$503,_calc!$E$417)))</f>
        <v/>
      </c>
      <c r="B415" s="44">
        <f>IF(_calc!$E$417="","",IF(ISNUMBER(INDEX('Checklist'!$L$4:$L$503,_calc!$E$417)),TEXT(INDEX('Checklist'!$L$4:$L$503,_calc!$E$417),"yyyy-mm-dd"),""))</f>
        <v/>
      </c>
      <c r="C415" s="44">
        <f>IF(_calc!$E$417="","","Survey readiness")</f>
        <v/>
      </c>
      <c r="D415" s="44">
        <f>IF(_calc!$E$417="","",IF(ISNUMBER(INDEX('Checklist'!$H$4:$H$503,_calc!$E$417)),TEXT(INDEX('Checklist'!$H$4:$H$503,_calc!$E$417),"yyyy-mm-dd"),""))</f>
        <v/>
      </c>
      <c r="F415" s="44">
        <f>IF(_calc!$E$417="","",TRIM(IF(LEN(IF(LEN(INDEX('Checklist'!$A$4:$A$503,_calc!$E$417))=0,"",INDEX('Checklist'!$A$4:$A$503,_calc!$E$417)))=0,"","Group: "&amp;IF(LEN(INDEX('Checklist'!$A$4:$A$503,_calc!$E$417))=0,"",INDEX('Checklist'!$A$4:$A$503,_calc!$E$417))&amp;". ")&amp;IF(LEN(IF(LEN(INDEX('Checklist'!$E$4:$E$503,_calc!$E$417))=0,"",INDEX('Checklist'!$E$4:$E$503,_calc!$E$417)))=0,"","Owner: "&amp;IF(LEN(INDEX('Checklist'!$E$4:$E$503,_calc!$E$417))=0,"",INDEX('Checklist'!$E$4:$E$503,_calc!$E$417))&amp;". ")&amp;IF(LEN(IF(LEN(INDEX('Checklist'!$F$4:$F$503,_calc!$E$417))=0,"",INDEX('Checklist'!$F$4:$F$503,_calc!$E$417)))=0,"","Backup: "&amp;IF(LEN(INDEX('Checklist'!$F$4:$F$503,_calc!$E$417))=0,"",INDEX('Checklist'!$F$4:$F$503,_calc!$E$417))&amp;". ")&amp;IF(LEN(IF(LEN(INDEX('Checklist'!$J$4:$J$503,_calc!$E$417))=0,"",INDEX('Checklist'!$J$4:$J$503,_calc!$E$417)))=0,"","Evidence: "&amp;IF(LEN(INDEX('Checklist'!$J$4:$J$503,_calc!$E$417))=0,"",INDEX('Checklist'!$J$4:$J$503,_calc!$E$417))&amp;". ")&amp;IF(LEN(IF(LEN(INDEX('Checklist'!$D$4:$D$503,_calc!$E$417))=0,"",INDEX('Checklist'!$D$4:$D$503,_calc!$E$417)))=0,"","Rule example: "&amp;IF(LEN(INDEX('Checklist'!$D$4:$D$503,_calc!$E$417))=0,"",INDEX('Checklist'!$D$4:$D$503,_calc!$E$417))&amp;". ")&amp;IF(LEN(IF(LEN(INDEX('Checklist'!$P$4:$P$503,_calc!$E$417))=0,"",INDEX('Checklist'!$P$4:$P$503,_calc!$E$417)))=0,"",IF(LEN(INDEX('Checklist'!$P$4:$P$503,_calc!$E$417))=0,"",INDEX('Checklist'!$P$4:$P$503,_calc!$E$417)))))</f>
        <v/>
      </c>
      <c r="K415" s="44">
        <f>IF(_calc!$E$417="","",IF(LEN(INDEX('Checklist'!$G$4:$G$503,_calc!$E$417))=0,"",INDEX('Checklist'!$G$4:$G$503,_calc!$E$417)))</f>
        <v/>
      </c>
    </row>
    <row r="416">
      <c r="A416" s="44">
        <f>IF(_calc!$E$418="","","Survey check – "&amp;IF(LEN(INDEX('Checklist'!$C$4:$C$503,_calc!$E$418))=0,"",INDEX('Checklist'!$C$4:$C$503,_calc!$E$418)))</f>
        <v/>
      </c>
      <c r="B416" s="44">
        <f>IF(_calc!$E$418="","",IF(ISNUMBER(INDEX('Checklist'!$L$4:$L$503,_calc!$E$418)),TEXT(INDEX('Checklist'!$L$4:$L$503,_calc!$E$418),"yyyy-mm-dd"),""))</f>
        <v/>
      </c>
      <c r="C416" s="44">
        <f>IF(_calc!$E$418="","","Survey readiness")</f>
        <v/>
      </c>
      <c r="D416" s="44">
        <f>IF(_calc!$E$418="","",IF(ISNUMBER(INDEX('Checklist'!$H$4:$H$503,_calc!$E$418)),TEXT(INDEX('Checklist'!$H$4:$H$503,_calc!$E$418),"yyyy-mm-dd"),""))</f>
        <v/>
      </c>
      <c r="F416" s="44">
        <f>IF(_calc!$E$418="","",TRIM(IF(LEN(IF(LEN(INDEX('Checklist'!$A$4:$A$503,_calc!$E$418))=0,"",INDEX('Checklist'!$A$4:$A$503,_calc!$E$418)))=0,"","Group: "&amp;IF(LEN(INDEX('Checklist'!$A$4:$A$503,_calc!$E$418))=0,"",INDEX('Checklist'!$A$4:$A$503,_calc!$E$418))&amp;". ")&amp;IF(LEN(IF(LEN(INDEX('Checklist'!$E$4:$E$503,_calc!$E$418))=0,"",INDEX('Checklist'!$E$4:$E$503,_calc!$E$418)))=0,"","Owner: "&amp;IF(LEN(INDEX('Checklist'!$E$4:$E$503,_calc!$E$418))=0,"",INDEX('Checklist'!$E$4:$E$503,_calc!$E$418))&amp;". ")&amp;IF(LEN(IF(LEN(INDEX('Checklist'!$F$4:$F$503,_calc!$E$418))=0,"",INDEX('Checklist'!$F$4:$F$503,_calc!$E$418)))=0,"","Backup: "&amp;IF(LEN(INDEX('Checklist'!$F$4:$F$503,_calc!$E$418))=0,"",INDEX('Checklist'!$F$4:$F$503,_calc!$E$418))&amp;". ")&amp;IF(LEN(IF(LEN(INDEX('Checklist'!$J$4:$J$503,_calc!$E$418))=0,"",INDEX('Checklist'!$J$4:$J$503,_calc!$E$418)))=0,"","Evidence: "&amp;IF(LEN(INDEX('Checklist'!$J$4:$J$503,_calc!$E$418))=0,"",INDEX('Checklist'!$J$4:$J$503,_calc!$E$418))&amp;". ")&amp;IF(LEN(IF(LEN(INDEX('Checklist'!$D$4:$D$503,_calc!$E$418))=0,"",INDEX('Checklist'!$D$4:$D$503,_calc!$E$418)))=0,"","Rule example: "&amp;IF(LEN(INDEX('Checklist'!$D$4:$D$503,_calc!$E$418))=0,"",INDEX('Checklist'!$D$4:$D$503,_calc!$E$418))&amp;". ")&amp;IF(LEN(IF(LEN(INDEX('Checklist'!$P$4:$P$503,_calc!$E$418))=0,"",INDEX('Checklist'!$P$4:$P$503,_calc!$E$418)))=0,"",IF(LEN(INDEX('Checklist'!$P$4:$P$503,_calc!$E$418))=0,"",INDEX('Checklist'!$P$4:$P$503,_calc!$E$418)))))</f>
        <v/>
      </c>
      <c r="K416" s="44">
        <f>IF(_calc!$E$418="","",IF(LEN(INDEX('Checklist'!$G$4:$G$503,_calc!$E$418))=0,"",INDEX('Checklist'!$G$4:$G$503,_calc!$E$418)))</f>
        <v/>
      </c>
    </row>
    <row r="417">
      <c r="A417" s="44">
        <f>IF(_calc!$E$419="","","Survey check – "&amp;IF(LEN(INDEX('Checklist'!$C$4:$C$503,_calc!$E$419))=0,"",INDEX('Checklist'!$C$4:$C$503,_calc!$E$419)))</f>
        <v/>
      </c>
      <c r="B417" s="44">
        <f>IF(_calc!$E$419="","",IF(ISNUMBER(INDEX('Checklist'!$L$4:$L$503,_calc!$E$419)),TEXT(INDEX('Checklist'!$L$4:$L$503,_calc!$E$419),"yyyy-mm-dd"),""))</f>
        <v/>
      </c>
      <c r="C417" s="44">
        <f>IF(_calc!$E$419="","","Survey readiness")</f>
        <v/>
      </c>
      <c r="D417" s="44">
        <f>IF(_calc!$E$419="","",IF(ISNUMBER(INDEX('Checklist'!$H$4:$H$503,_calc!$E$419)),TEXT(INDEX('Checklist'!$H$4:$H$503,_calc!$E$419),"yyyy-mm-dd"),""))</f>
        <v/>
      </c>
      <c r="F417" s="44">
        <f>IF(_calc!$E$419="","",TRIM(IF(LEN(IF(LEN(INDEX('Checklist'!$A$4:$A$503,_calc!$E$419))=0,"",INDEX('Checklist'!$A$4:$A$503,_calc!$E$419)))=0,"","Group: "&amp;IF(LEN(INDEX('Checklist'!$A$4:$A$503,_calc!$E$419))=0,"",INDEX('Checklist'!$A$4:$A$503,_calc!$E$419))&amp;". ")&amp;IF(LEN(IF(LEN(INDEX('Checklist'!$E$4:$E$503,_calc!$E$419))=0,"",INDEX('Checklist'!$E$4:$E$503,_calc!$E$419)))=0,"","Owner: "&amp;IF(LEN(INDEX('Checklist'!$E$4:$E$503,_calc!$E$419))=0,"",INDEX('Checklist'!$E$4:$E$503,_calc!$E$419))&amp;". ")&amp;IF(LEN(IF(LEN(INDEX('Checklist'!$F$4:$F$503,_calc!$E$419))=0,"",INDEX('Checklist'!$F$4:$F$503,_calc!$E$419)))=0,"","Backup: "&amp;IF(LEN(INDEX('Checklist'!$F$4:$F$503,_calc!$E$419))=0,"",INDEX('Checklist'!$F$4:$F$503,_calc!$E$419))&amp;". ")&amp;IF(LEN(IF(LEN(INDEX('Checklist'!$J$4:$J$503,_calc!$E$419))=0,"",INDEX('Checklist'!$J$4:$J$503,_calc!$E$419)))=0,"","Evidence: "&amp;IF(LEN(INDEX('Checklist'!$J$4:$J$503,_calc!$E$419))=0,"",INDEX('Checklist'!$J$4:$J$503,_calc!$E$419))&amp;". ")&amp;IF(LEN(IF(LEN(INDEX('Checklist'!$D$4:$D$503,_calc!$E$419))=0,"",INDEX('Checklist'!$D$4:$D$503,_calc!$E$419)))=0,"","Rule example: "&amp;IF(LEN(INDEX('Checklist'!$D$4:$D$503,_calc!$E$419))=0,"",INDEX('Checklist'!$D$4:$D$503,_calc!$E$419))&amp;". ")&amp;IF(LEN(IF(LEN(INDEX('Checklist'!$P$4:$P$503,_calc!$E$419))=0,"",INDEX('Checklist'!$P$4:$P$503,_calc!$E$419)))=0,"",IF(LEN(INDEX('Checklist'!$P$4:$P$503,_calc!$E$419))=0,"",INDEX('Checklist'!$P$4:$P$503,_calc!$E$419)))))</f>
        <v/>
      </c>
      <c r="K417" s="44">
        <f>IF(_calc!$E$419="","",IF(LEN(INDEX('Checklist'!$G$4:$G$503,_calc!$E$419))=0,"",INDEX('Checklist'!$G$4:$G$503,_calc!$E$419)))</f>
        <v/>
      </c>
    </row>
    <row r="418">
      <c r="A418" s="44">
        <f>IF(_calc!$E$420="","","Survey check – "&amp;IF(LEN(INDEX('Checklist'!$C$4:$C$503,_calc!$E$420))=0,"",INDEX('Checklist'!$C$4:$C$503,_calc!$E$420)))</f>
        <v/>
      </c>
      <c r="B418" s="44">
        <f>IF(_calc!$E$420="","",IF(ISNUMBER(INDEX('Checklist'!$L$4:$L$503,_calc!$E$420)),TEXT(INDEX('Checklist'!$L$4:$L$503,_calc!$E$420),"yyyy-mm-dd"),""))</f>
        <v/>
      </c>
      <c r="C418" s="44">
        <f>IF(_calc!$E$420="","","Survey readiness")</f>
        <v/>
      </c>
      <c r="D418" s="44">
        <f>IF(_calc!$E$420="","",IF(ISNUMBER(INDEX('Checklist'!$H$4:$H$503,_calc!$E$420)),TEXT(INDEX('Checklist'!$H$4:$H$503,_calc!$E$420),"yyyy-mm-dd"),""))</f>
        <v/>
      </c>
      <c r="F418" s="44">
        <f>IF(_calc!$E$420="","",TRIM(IF(LEN(IF(LEN(INDEX('Checklist'!$A$4:$A$503,_calc!$E$420))=0,"",INDEX('Checklist'!$A$4:$A$503,_calc!$E$420)))=0,"","Group: "&amp;IF(LEN(INDEX('Checklist'!$A$4:$A$503,_calc!$E$420))=0,"",INDEX('Checklist'!$A$4:$A$503,_calc!$E$420))&amp;". ")&amp;IF(LEN(IF(LEN(INDEX('Checklist'!$E$4:$E$503,_calc!$E$420))=0,"",INDEX('Checklist'!$E$4:$E$503,_calc!$E$420)))=0,"","Owner: "&amp;IF(LEN(INDEX('Checklist'!$E$4:$E$503,_calc!$E$420))=0,"",INDEX('Checklist'!$E$4:$E$503,_calc!$E$420))&amp;". ")&amp;IF(LEN(IF(LEN(INDEX('Checklist'!$F$4:$F$503,_calc!$E$420))=0,"",INDEX('Checklist'!$F$4:$F$503,_calc!$E$420)))=0,"","Backup: "&amp;IF(LEN(INDEX('Checklist'!$F$4:$F$503,_calc!$E$420))=0,"",INDEX('Checklist'!$F$4:$F$503,_calc!$E$420))&amp;". ")&amp;IF(LEN(IF(LEN(INDEX('Checklist'!$J$4:$J$503,_calc!$E$420))=0,"",INDEX('Checklist'!$J$4:$J$503,_calc!$E$420)))=0,"","Evidence: "&amp;IF(LEN(INDEX('Checklist'!$J$4:$J$503,_calc!$E$420))=0,"",INDEX('Checklist'!$J$4:$J$503,_calc!$E$420))&amp;". ")&amp;IF(LEN(IF(LEN(INDEX('Checklist'!$D$4:$D$503,_calc!$E$420))=0,"",INDEX('Checklist'!$D$4:$D$503,_calc!$E$420)))=0,"","Rule example: "&amp;IF(LEN(INDEX('Checklist'!$D$4:$D$503,_calc!$E$420))=0,"",INDEX('Checklist'!$D$4:$D$503,_calc!$E$420))&amp;". ")&amp;IF(LEN(IF(LEN(INDEX('Checklist'!$P$4:$P$503,_calc!$E$420))=0,"",INDEX('Checklist'!$P$4:$P$503,_calc!$E$420)))=0,"",IF(LEN(INDEX('Checklist'!$P$4:$P$503,_calc!$E$420))=0,"",INDEX('Checklist'!$P$4:$P$503,_calc!$E$420)))))</f>
        <v/>
      </c>
      <c r="K418" s="44">
        <f>IF(_calc!$E$420="","",IF(LEN(INDEX('Checklist'!$G$4:$G$503,_calc!$E$420))=0,"",INDEX('Checklist'!$G$4:$G$503,_calc!$E$420)))</f>
        <v/>
      </c>
    </row>
    <row r="419">
      <c r="A419" s="44">
        <f>IF(_calc!$E$421="","","Survey check – "&amp;IF(LEN(INDEX('Checklist'!$C$4:$C$503,_calc!$E$421))=0,"",INDEX('Checklist'!$C$4:$C$503,_calc!$E$421)))</f>
        <v/>
      </c>
      <c r="B419" s="44">
        <f>IF(_calc!$E$421="","",IF(ISNUMBER(INDEX('Checklist'!$L$4:$L$503,_calc!$E$421)),TEXT(INDEX('Checklist'!$L$4:$L$503,_calc!$E$421),"yyyy-mm-dd"),""))</f>
        <v/>
      </c>
      <c r="C419" s="44">
        <f>IF(_calc!$E$421="","","Survey readiness")</f>
        <v/>
      </c>
      <c r="D419" s="44">
        <f>IF(_calc!$E$421="","",IF(ISNUMBER(INDEX('Checklist'!$H$4:$H$503,_calc!$E$421)),TEXT(INDEX('Checklist'!$H$4:$H$503,_calc!$E$421),"yyyy-mm-dd"),""))</f>
        <v/>
      </c>
      <c r="F419" s="44">
        <f>IF(_calc!$E$421="","",TRIM(IF(LEN(IF(LEN(INDEX('Checklist'!$A$4:$A$503,_calc!$E$421))=0,"",INDEX('Checklist'!$A$4:$A$503,_calc!$E$421)))=0,"","Group: "&amp;IF(LEN(INDEX('Checklist'!$A$4:$A$503,_calc!$E$421))=0,"",INDEX('Checklist'!$A$4:$A$503,_calc!$E$421))&amp;". ")&amp;IF(LEN(IF(LEN(INDEX('Checklist'!$E$4:$E$503,_calc!$E$421))=0,"",INDEX('Checklist'!$E$4:$E$503,_calc!$E$421)))=0,"","Owner: "&amp;IF(LEN(INDEX('Checklist'!$E$4:$E$503,_calc!$E$421))=0,"",INDEX('Checklist'!$E$4:$E$503,_calc!$E$421))&amp;". ")&amp;IF(LEN(IF(LEN(INDEX('Checklist'!$F$4:$F$503,_calc!$E$421))=0,"",INDEX('Checklist'!$F$4:$F$503,_calc!$E$421)))=0,"","Backup: "&amp;IF(LEN(INDEX('Checklist'!$F$4:$F$503,_calc!$E$421))=0,"",INDEX('Checklist'!$F$4:$F$503,_calc!$E$421))&amp;". ")&amp;IF(LEN(IF(LEN(INDEX('Checklist'!$J$4:$J$503,_calc!$E$421))=0,"",INDEX('Checklist'!$J$4:$J$503,_calc!$E$421)))=0,"","Evidence: "&amp;IF(LEN(INDEX('Checklist'!$J$4:$J$503,_calc!$E$421))=0,"",INDEX('Checklist'!$J$4:$J$503,_calc!$E$421))&amp;". ")&amp;IF(LEN(IF(LEN(INDEX('Checklist'!$D$4:$D$503,_calc!$E$421))=0,"",INDEX('Checklist'!$D$4:$D$503,_calc!$E$421)))=0,"","Rule example: "&amp;IF(LEN(INDEX('Checklist'!$D$4:$D$503,_calc!$E$421))=0,"",INDEX('Checklist'!$D$4:$D$503,_calc!$E$421))&amp;". ")&amp;IF(LEN(IF(LEN(INDEX('Checklist'!$P$4:$P$503,_calc!$E$421))=0,"",INDEX('Checklist'!$P$4:$P$503,_calc!$E$421)))=0,"",IF(LEN(INDEX('Checklist'!$P$4:$P$503,_calc!$E$421))=0,"",INDEX('Checklist'!$P$4:$P$503,_calc!$E$421)))))</f>
        <v/>
      </c>
      <c r="K419" s="44">
        <f>IF(_calc!$E$421="","",IF(LEN(INDEX('Checklist'!$G$4:$G$503,_calc!$E$421))=0,"",INDEX('Checklist'!$G$4:$G$503,_calc!$E$421)))</f>
        <v/>
      </c>
    </row>
    <row r="420">
      <c r="A420" s="44">
        <f>IF(_calc!$E$422="","","Survey check – "&amp;IF(LEN(INDEX('Checklist'!$C$4:$C$503,_calc!$E$422))=0,"",INDEX('Checklist'!$C$4:$C$503,_calc!$E$422)))</f>
        <v/>
      </c>
      <c r="B420" s="44">
        <f>IF(_calc!$E$422="","",IF(ISNUMBER(INDEX('Checklist'!$L$4:$L$503,_calc!$E$422)),TEXT(INDEX('Checklist'!$L$4:$L$503,_calc!$E$422),"yyyy-mm-dd"),""))</f>
        <v/>
      </c>
      <c r="C420" s="44">
        <f>IF(_calc!$E$422="","","Survey readiness")</f>
        <v/>
      </c>
      <c r="D420" s="44">
        <f>IF(_calc!$E$422="","",IF(ISNUMBER(INDEX('Checklist'!$H$4:$H$503,_calc!$E$422)),TEXT(INDEX('Checklist'!$H$4:$H$503,_calc!$E$422),"yyyy-mm-dd"),""))</f>
        <v/>
      </c>
      <c r="F420" s="44">
        <f>IF(_calc!$E$422="","",TRIM(IF(LEN(IF(LEN(INDEX('Checklist'!$A$4:$A$503,_calc!$E$422))=0,"",INDEX('Checklist'!$A$4:$A$503,_calc!$E$422)))=0,"","Group: "&amp;IF(LEN(INDEX('Checklist'!$A$4:$A$503,_calc!$E$422))=0,"",INDEX('Checklist'!$A$4:$A$503,_calc!$E$422))&amp;". ")&amp;IF(LEN(IF(LEN(INDEX('Checklist'!$E$4:$E$503,_calc!$E$422))=0,"",INDEX('Checklist'!$E$4:$E$503,_calc!$E$422)))=0,"","Owner: "&amp;IF(LEN(INDEX('Checklist'!$E$4:$E$503,_calc!$E$422))=0,"",INDEX('Checklist'!$E$4:$E$503,_calc!$E$422))&amp;". ")&amp;IF(LEN(IF(LEN(INDEX('Checklist'!$F$4:$F$503,_calc!$E$422))=0,"",INDEX('Checklist'!$F$4:$F$503,_calc!$E$422)))=0,"","Backup: "&amp;IF(LEN(INDEX('Checklist'!$F$4:$F$503,_calc!$E$422))=0,"",INDEX('Checklist'!$F$4:$F$503,_calc!$E$422))&amp;". ")&amp;IF(LEN(IF(LEN(INDEX('Checklist'!$J$4:$J$503,_calc!$E$422))=0,"",INDEX('Checklist'!$J$4:$J$503,_calc!$E$422)))=0,"","Evidence: "&amp;IF(LEN(INDEX('Checklist'!$J$4:$J$503,_calc!$E$422))=0,"",INDEX('Checklist'!$J$4:$J$503,_calc!$E$422))&amp;". ")&amp;IF(LEN(IF(LEN(INDEX('Checklist'!$D$4:$D$503,_calc!$E$422))=0,"",INDEX('Checklist'!$D$4:$D$503,_calc!$E$422)))=0,"","Rule example: "&amp;IF(LEN(INDEX('Checklist'!$D$4:$D$503,_calc!$E$422))=0,"",INDEX('Checklist'!$D$4:$D$503,_calc!$E$422))&amp;". ")&amp;IF(LEN(IF(LEN(INDEX('Checklist'!$P$4:$P$503,_calc!$E$422))=0,"",INDEX('Checklist'!$P$4:$P$503,_calc!$E$422)))=0,"",IF(LEN(INDEX('Checklist'!$P$4:$P$503,_calc!$E$422))=0,"",INDEX('Checklist'!$P$4:$P$503,_calc!$E$422)))))</f>
        <v/>
      </c>
      <c r="K420" s="44">
        <f>IF(_calc!$E$422="","",IF(LEN(INDEX('Checklist'!$G$4:$G$503,_calc!$E$422))=0,"",INDEX('Checklist'!$G$4:$G$503,_calc!$E$422)))</f>
        <v/>
      </c>
    </row>
    <row r="421">
      <c r="A421" s="44">
        <f>IF(_calc!$E$423="","","Survey check – "&amp;IF(LEN(INDEX('Checklist'!$C$4:$C$503,_calc!$E$423))=0,"",INDEX('Checklist'!$C$4:$C$503,_calc!$E$423)))</f>
        <v/>
      </c>
      <c r="B421" s="44">
        <f>IF(_calc!$E$423="","",IF(ISNUMBER(INDEX('Checklist'!$L$4:$L$503,_calc!$E$423)),TEXT(INDEX('Checklist'!$L$4:$L$503,_calc!$E$423),"yyyy-mm-dd"),""))</f>
        <v/>
      </c>
      <c r="C421" s="44">
        <f>IF(_calc!$E$423="","","Survey readiness")</f>
        <v/>
      </c>
      <c r="D421" s="44">
        <f>IF(_calc!$E$423="","",IF(ISNUMBER(INDEX('Checklist'!$H$4:$H$503,_calc!$E$423)),TEXT(INDEX('Checklist'!$H$4:$H$503,_calc!$E$423),"yyyy-mm-dd"),""))</f>
        <v/>
      </c>
      <c r="F421" s="44">
        <f>IF(_calc!$E$423="","",TRIM(IF(LEN(IF(LEN(INDEX('Checklist'!$A$4:$A$503,_calc!$E$423))=0,"",INDEX('Checklist'!$A$4:$A$503,_calc!$E$423)))=0,"","Group: "&amp;IF(LEN(INDEX('Checklist'!$A$4:$A$503,_calc!$E$423))=0,"",INDEX('Checklist'!$A$4:$A$503,_calc!$E$423))&amp;". ")&amp;IF(LEN(IF(LEN(INDEX('Checklist'!$E$4:$E$503,_calc!$E$423))=0,"",INDEX('Checklist'!$E$4:$E$503,_calc!$E$423)))=0,"","Owner: "&amp;IF(LEN(INDEX('Checklist'!$E$4:$E$503,_calc!$E$423))=0,"",INDEX('Checklist'!$E$4:$E$503,_calc!$E$423))&amp;". ")&amp;IF(LEN(IF(LEN(INDEX('Checklist'!$F$4:$F$503,_calc!$E$423))=0,"",INDEX('Checklist'!$F$4:$F$503,_calc!$E$423)))=0,"","Backup: "&amp;IF(LEN(INDEX('Checklist'!$F$4:$F$503,_calc!$E$423))=0,"",INDEX('Checklist'!$F$4:$F$503,_calc!$E$423))&amp;". ")&amp;IF(LEN(IF(LEN(INDEX('Checklist'!$J$4:$J$503,_calc!$E$423))=0,"",INDEX('Checklist'!$J$4:$J$503,_calc!$E$423)))=0,"","Evidence: "&amp;IF(LEN(INDEX('Checklist'!$J$4:$J$503,_calc!$E$423))=0,"",INDEX('Checklist'!$J$4:$J$503,_calc!$E$423))&amp;". ")&amp;IF(LEN(IF(LEN(INDEX('Checklist'!$D$4:$D$503,_calc!$E$423))=0,"",INDEX('Checklist'!$D$4:$D$503,_calc!$E$423)))=0,"","Rule example: "&amp;IF(LEN(INDEX('Checklist'!$D$4:$D$503,_calc!$E$423))=0,"",INDEX('Checklist'!$D$4:$D$503,_calc!$E$423))&amp;". ")&amp;IF(LEN(IF(LEN(INDEX('Checklist'!$P$4:$P$503,_calc!$E$423))=0,"",INDEX('Checklist'!$P$4:$P$503,_calc!$E$423)))=0,"",IF(LEN(INDEX('Checklist'!$P$4:$P$503,_calc!$E$423))=0,"",INDEX('Checklist'!$P$4:$P$503,_calc!$E$423)))))</f>
        <v/>
      </c>
      <c r="K421" s="44">
        <f>IF(_calc!$E$423="","",IF(LEN(INDEX('Checklist'!$G$4:$G$503,_calc!$E$423))=0,"",INDEX('Checklist'!$G$4:$G$503,_calc!$E$423)))</f>
        <v/>
      </c>
    </row>
    <row r="422">
      <c r="A422" s="44">
        <f>IF(_calc!$E$424="","","Survey check – "&amp;IF(LEN(INDEX('Checklist'!$C$4:$C$503,_calc!$E$424))=0,"",INDEX('Checklist'!$C$4:$C$503,_calc!$E$424)))</f>
        <v/>
      </c>
      <c r="B422" s="44">
        <f>IF(_calc!$E$424="","",IF(ISNUMBER(INDEX('Checklist'!$L$4:$L$503,_calc!$E$424)),TEXT(INDEX('Checklist'!$L$4:$L$503,_calc!$E$424),"yyyy-mm-dd"),""))</f>
        <v/>
      </c>
      <c r="C422" s="44">
        <f>IF(_calc!$E$424="","","Survey readiness")</f>
        <v/>
      </c>
      <c r="D422" s="44">
        <f>IF(_calc!$E$424="","",IF(ISNUMBER(INDEX('Checklist'!$H$4:$H$503,_calc!$E$424)),TEXT(INDEX('Checklist'!$H$4:$H$503,_calc!$E$424),"yyyy-mm-dd"),""))</f>
        <v/>
      </c>
      <c r="F422" s="44">
        <f>IF(_calc!$E$424="","",TRIM(IF(LEN(IF(LEN(INDEX('Checklist'!$A$4:$A$503,_calc!$E$424))=0,"",INDEX('Checklist'!$A$4:$A$503,_calc!$E$424)))=0,"","Group: "&amp;IF(LEN(INDEX('Checklist'!$A$4:$A$503,_calc!$E$424))=0,"",INDEX('Checklist'!$A$4:$A$503,_calc!$E$424))&amp;". ")&amp;IF(LEN(IF(LEN(INDEX('Checklist'!$E$4:$E$503,_calc!$E$424))=0,"",INDEX('Checklist'!$E$4:$E$503,_calc!$E$424)))=0,"","Owner: "&amp;IF(LEN(INDEX('Checklist'!$E$4:$E$503,_calc!$E$424))=0,"",INDEX('Checklist'!$E$4:$E$503,_calc!$E$424))&amp;". ")&amp;IF(LEN(IF(LEN(INDEX('Checklist'!$F$4:$F$503,_calc!$E$424))=0,"",INDEX('Checklist'!$F$4:$F$503,_calc!$E$424)))=0,"","Backup: "&amp;IF(LEN(INDEX('Checklist'!$F$4:$F$503,_calc!$E$424))=0,"",INDEX('Checklist'!$F$4:$F$503,_calc!$E$424))&amp;". ")&amp;IF(LEN(IF(LEN(INDEX('Checklist'!$J$4:$J$503,_calc!$E$424))=0,"",INDEX('Checklist'!$J$4:$J$503,_calc!$E$424)))=0,"","Evidence: "&amp;IF(LEN(INDEX('Checklist'!$J$4:$J$503,_calc!$E$424))=0,"",INDEX('Checklist'!$J$4:$J$503,_calc!$E$424))&amp;". ")&amp;IF(LEN(IF(LEN(INDEX('Checklist'!$D$4:$D$503,_calc!$E$424))=0,"",INDEX('Checklist'!$D$4:$D$503,_calc!$E$424)))=0,"","Rule example: "&amp;IF(LEN(INDEX('Checklist'!$D$4:$D$503,_calc!$E$424))=0,"",INDEX('Checklist'!$D$4:$D$503,_calc!$E$424))&amp;". ")&amp;IF(LEN(IF(LEN(INDEX('Checklist'!$P$4:$P$503,_calc!$E$424))=0,"",INDEX('Checklist'!$P$4:$P$503,_calc!$E$424)))=0,"",IF(LEN(INDEX('Checklist'!$P$4:$P$503,_calc!$E$424))=0,"",INDEX('Checklist'!$P$4:$P$503,_calc!$E$424)))))</f>
        <v/>
      </c>
      <c r="K422" s="44">
        <f>IF(_calc!$E$424="","",IF(LEN(INDEX('Checklist'!$G$4:$G$503,_calc!$E$424))=0,"",INDEX('Checklist'!$G$4:$G$503,_calc!$E$424)))</f>
        <v/>
      </c>
    </row>
    <row r="423">
      <c r="A423" s="44">
        <f>IF(_calc!$E$425="","","Survey check – "&amp;IF(LEN(INDEX('Checklist'!$C$4:$C$503,_calc!$E$425))=0,"",INDEX('Checklist'!$C$4:$C$503,_calc!$E$425)))</f>
        <v/>
      </c>
      <c r="B423" s="44">
        <f>IF(_calc!$E$425="","",IF(ISNUMBER(INDEX('Checklist'!$L$4:$L$503,_calc!$E$425)),TEXT(INDEX('Checklist'!$L$4:$L$503,_calc!$E$425),"yyyy-mm-dd"),""))</f>
        <v/>
      </c>
      <c r="C423" s="44">
        <f>IF(_calc!$E$425="","","Survey readiness")</f>
        <v/>
      </c>
      <c r="D423" s="44">
        <f>IF(_calc!$E$425="","",IF(ISNUMBER(INDEX('Checklist'!$H$4:$H$503,_calc!$E$425)),TEXT(INDEX('Checklist'!$H$4:$H$503,_calc!$E$425),"yyyy-mm-dd"),""))</f>
        <v/>
      </c>
      <c r="F423" s="44">
        <f>IF(_calc!$E$425="","",TRIM(IF(LEN(IF(LEN(INDEX('Checklist'!$A$4:$A$503,_calc!$E$425))=0,"",INDEX('Checklist'!$A$4:$A$503,_calc!$E$425)))=0,"","Group: "&amp;IF(LEN(INDEX('Checklist'!$A$4:$A$503,_calc!$E$425))=0,"",INDEX('Checklist'!$A$4:$A$503,_calc!$E$425))&amp;". ")&amp;IF(LEN(IF(LEN(INDEX('Checklist'!$E$4:$E$503,_calc!$E$425))=0,"",INDEX('Checklist'!$E$4:$E$503,_calc!$E$425)))=0,"","Owner: "&amp;IF(LEN(INDEX('Checklist'!$E$4:$E$503,_calc!$E$425))=0,"",INDEX('Checklist'!$E$4:$E$503,_calc!$E$425))&amp;". ")&amp;IF(LEN(IF(LEN(INDEX('Checklist'!$F$4:$F$503,_calc!$E$425))=0,"",INDEX('Checklist'!$F$4:$F$503,_calc!$E$425)))=0,"","Backup: "&amp;IF(LEN(INDEX('Checklist'!$F$4:$F$503,_calc!$E$425))=0,"",INDEX('Checklist'!$F$4:$F$503,_calc!$E$425))&amp;". ")&amp;IF(LEN(IF(LEN(INDEX('Checklist'!$J$4:$J$503,_calc!$E$425))=0,"",INDEX('Checklist'!$J$4:$J$503,_calc!$E$425)))=0,"","Evidence: "&amp;IF(LEN(INDEX('Checklist'!$J$4:$J$503,_calc!$E$425))=0,"",INDEX('Checklist'!$J$4:$J$503,_calc!$E$425))&amp;". ")&amp;IF(LEN(IF(LEN(INDEX('Checklist'!$D$4:$D$503,_calc!$E$425))=0,"",INDEX('Checklist'!$D$4:$D$503,_calc!$E$425)))=0,"","Rule example: "&amp;IF(LEN(INDEX('Checklist'!$D$4:$D$503,_calc!$E$425))=0,"",INDEX('Checklist'!$D$4:$D$503,_calc!$E$425))&amp;". ")&amp;IF(LEN(IF(LEN(INDEX('Checklist'!$P$4:$P$503,_calc!$E$425))=0,"",INDEX('Checklist'!$P$4:$P$503,_calc!$E$425)))=0,"",IF(LEN(INDEX('Checklist'!$P$4:$P$503,_calc!$E$425))=0,"",INDEX('Checklist'!$P$4:$P$503,_calc!$E$425)))))</f>
        <v/>
      </c>
      <c r="K423" s="44">
        <f>IF(_calc!$E$425="","",IF(LEN(INDEX('Checklist'!$G$4:$G$503,_calc!$E$425))=0,"",INDEX('Checklist'!$G$4:$G$503,_calc!$E$425)))</f>
        <v/>
      </c>
    </row>
    <row r="424">
      <c r="A424" s="44">
        <f>IF(_calc!$E$426="","","Survey check – "&amp;IF(LEN(INDEX('Checklist'!$C$4:$C$503,_calc!$E$426))=0,"",INDEX('Checklist'!$C$4:$C$503,_calc!$E$426)))</f>
        <v/>
      </c>
      <c r="B424" s="44">
        <f>IF(_calc!$E$426="","",IF(ISNUMBER(INDEX('Checklist'!$L$4:$L$503,_calc!$E$426)),TEXT(INDEX('Checklist'!$L$4:$L$503,_calc!$E$426),"yyyy-mm-dd"),""))</f>
        <v/>
      </c>
      <c r="C424" s="44">
        <f>IF(_calc!$E$426="","","Survey readiness")</f>
        <v/>
      </c>
      <c r="D424" s="44">
        <f>IF(_calc!$E$426="","",IF(ISNUMBER(INDEX('Checklist'!$H$4:$H$503,_calc!$E$426)),TEXT(INDEX('Checklist'!$H$4:$H$503,_calc!$E$426),"yyyy-mm-dd"),""))</f>
        <v/>
      </c>
      <c r="F424" s="44">
        <f>IF(_calc!$E$426="","",TRIM(IF(LEN(IF(LEN(INDEX('Checklist'!$A$4:$A$503,_calc!$E$426))=0,"",INDEX('Checklist'!$A$4:$A$503,_calc!$E$426)))=0,"","Group: "&amp;IF(LEN(INDEX('Checklist'!$A$4:$A$503,_calc!$E$426))=0,"",INDEX('Checklist'!$A$4:$A$503,_calc!$E$426))&amp;". ")&amp;IF(LEN(IF(LEN(INDEX('Checklist'!$E$4:$E$503,_calc!$E$426))=0,"",INDEX('Checklist'!$E$4:$E$503,_calc!$E$426)))=0,"","Owner: "&amp;IF(LEN(INDEX('Checklist'!$E$4:$E$503,_calc!$E$426))=0,"",INDEX('Checklist'!$E$4:$E$503,_calc!$E$426))&amp;". ")&amp;IF(LEN(IF(LEN(INDEX('Checklist'!$F$4:$F$503,_calc!$E$426))=0,"",INDEX('Checklist'!$F$4:$F$503,_calc!$E$426)))=0,"","Backup: "&amp;IF(LEN(INDEX('Checklist'!$F$4:$F$503,_calc!$E$426))=0,"",INDEX('Checklist'!$F$4:$F$503,_calc!$E$426))&amp;". ")&amp;IF(LEN(IF(LEN(INDEX('Checklist'!$J$4:$J$503,_calc!$E$426))=0,"",INDEX('Checklist'!$J$4:$J$503,_calc!$E$426)))=0,"","Evidence: "&amp;IF(LEN(INDEX('Checklist'!$J$4:$J$503,_calc!$E$426))=0,"",INDEX('Checklist'!$J$4:$J$503,_calc!$E$426))&amp;". ")&amp;IF(LEN(IF(LEN(INDEX('Checklist'!$D$4:$D$503,_calc!$E$426))=0,"",INDEX('Checklist'!$D$4:$D$503,_calc!$E$426)))=0,"","Rule example: "&amp;IF(LEN(INDEX('Checklist'!$D$4:$D$503,_calc!$E$426))=0,"",INDEX('Checklist'!$D$4:$D$503,_calc!$E$426))&amp;". ")&amp;IF(LEN(IF(LEN(INDEX('Checklist'!$P$4:$P$503,_calc!$E$426))=0,"",INDEX('Checklist'!$P$4:$P$503,_calc!$E$426)))=0,"",IF(LEN(INDEX('Checklist'!$P$4:$P$503,_calc!$E$426))=0,"",INDEX('Checklist'!$P$4:$P$503,_calc!$E$426)))))</f>
        <v/>
      </c>
      <c r="K424" s="44">
        <f>IF(_calc!$E$426="","",IF(LEN(INDEX('Checklist'!$G$4:$G$503,_calc!$E$426))=0,"",INDEX('Checklist'!$G$4:$G$503,_calc!$E$426)))</f>
        <v/>
      </c>
    </row>
    <row r="425">
      <c r="A425" s="44">
        <f>IF(_calc!$E$427="","","Survey check – "&amp;IF(LEN(INDEX('Checklist'!$C$4:$C$503,_calc!$E$427))=0,"",INDEX('Checklist'!$C$4:$C$503,_calc!$E$427)))</f>
        <v/>
      </c>
      <c r="B425" s="44">
        <f>IF(_calc!$E$427="","",IF(ISNUMBER(INDEX('Checklist'!$L$4:$L$503,_calc!$E$427)),TEXT(INDEX('Checklist'!$L$4:$L$503,_calc!$E$427),"yyyy-mm-dd"),""))</f>
        <v/>
      </c>
      <c r="C425" s="44">
        <f>IF(_calc!$E$427="","","Survey readiness")</f>
        <v/>
      </c>
      <c r="D425" s="44">
        <f>IF(_calc!$E$427="","",IF(ISNUMBER(INDEX('Checklist'!$H$4:$H$503,_calc!$E$427)),TEXT(INDEX('Checklist'!$H$4:$H$503,_calc!$E$427),"yyyy-mm-dd"),""))</f>
        <v/>
      </c>
      <c r="F425" s="44">
        <f>IF(_calc!$E$427="","",TRIM(IF(LEN(IF(LEN(INDEX('Checklist'!$A$4:$A$503,_calc!$E$427))=0,"",INDEX('Checklist'!$A$4:$A$503,_calc!$E$427)))=0,"","Group: "&amp;IF(LEN(INDEX('Checklist'!$A$4:$A$503,_calc!$E$427))=0,"",INDEX('Checklist'!$A$4:$A$503,_calc!$E$427))&amp;". ")&amp;IF(LEN(IF(LEN(INDEX('Checklist'!$E$4:$E$503,_calc!$E$427))=0,"",INDEX('Checklist'!$E$4:$E$503,_calc!$E$427)))=0,"","Owner: "&amp;IF(LEN(INDEX('Checklist'!$E$4:$E$503,_calc!$E$427))=0,"",INDEX('Checklist'!$E$4:$E$503,_calc!$E$427))&amp;". ")&amp;IF(LEN(IF(LEN(INDEX('Checklist'!$F$4:$F$503,_calc!$E$427))=0,"",INDEX('Checklist'!$F$4:$F$503,_calc!$E$427)))=0,"","Backup: "&amp;IF(LEN(INDEX('Checklist'!$F$4:$F$503,_calc!$E$427))=0,"",INDEX('Checklist'!$F$4:$F$503,_calc!$E$427))&amp;". ")&amp;IF(LEN(IF(LEN(INDEX('Checklist'!$J$4:$J$503,_calc!$E$427))=0,"",INDEX('Checklist'!$J$4:$J$503,_calc!$E$427)))=0,"","Evidence: "&amp;IF(LEN(INDEX('Checklist'!$J$4:$J$503,_calc!$E$427))=0,"",INDEX('Checklist'!$J$4:$J$503,_calc!$E$427))&amp;". ")&amp;IF(LEN(IF(LEN(INDEX('Checklist'!$D$4:$D$503,_calc!$E$427))=0,"",INDEX('Checklist'!$D$4:$D$503,_calc!$E$427)))=0,"","Rule example: "&amp;IF(LEN(INDEX('Checklist'!$D$4:$D$503,_calc!$E$427))=0,"",INDEX('Checklist'!$D$4:$D$503,_calc!$E$427))&amp;". ")&amp;IF(LEN(IF(LEN(INDEX('Checklist'!$P$4:$P$503,_calc!$E$427))=0,"",INDEX('Checklist'!$P$4:$P$503,_calc!$E$427)))=0,"",IF(LEN(INDEX('Checklist'!$P$4:$P$503,_calc!$E$427))=0,"",INDEX('Checklist'!$P$4:$P$503,_calc!$E$427)))))</f>
        <v/>
      </c>
      <c r="K425" s="44">
        <f>IF(_calc!$E$427="","",IF(LEN(INDEX('Checklist'!$G$4:$G$503,_calc!$E$427))=0,"",INDEX('Checklist'!$G$4:$G$503,_calc!$E$427)))</f>
        <v/>
      </c>
    </row>
    <row r="426">
      <c r="A426" s="44">
        <f>IF(_calc!$E$428="","","Survey check – "&amp;IF(LEN(INDEX('Checklist'!$C$4:$C$503,_calc!$E$428))=0,"",INDEX('Checklist'!$C$4:$C$503,_calc!$E$428)))</f>
        <v/>
      </c>
      <c r="B426" s="44">
        <f>IF(_calc!$E$428="","",IF(ISNUMBER(INDEX('Checklist'!$L$4:$L$503,_calc!$E$428)),TEXT(INDEX('Checklist'!$L$4:$L$503,_calc!$E$428),"yyyy-mm-dd"),""))</f>
        <v/>
      </c>
      <c r="C426" s="44">
        <f>IF(_calc!$E$428="","","Survey readiness")</f>
        <v/>
      </c>
      <c r="D426" s="44">
        <f>IF(_calc!$E$428="","",IF(ISNUMBER(INDEX('Checklist'!$H$4:$H$503,_calc!$E$428)),TEXT(INDEX('Checklist'!$H$4:$H$503,_calc!$E$428),"yyyy-mm-dd"),""))</f>
        <v/>
      </c>
      <c r="F426" s="44">
        <f>IF(_calc!$E$428="","",TRIM(IF(LEN(IF(LEN(INDEX('Checklist'!$A$4:$A$503,_calc!$E$428))=0,"",INDEX('Checklist'!$A$4:$A$503,_calc!$E$428)))=0,"","Group: "&amp;IF(LEN(INDEX('Checklist'!$A$4:$A$503,_calc!$E$428))=0,"",INDEX('Checklist'!$A$4:$A$503,_calc!$E$428))&amp;". ")&amp;IF(LEN(IF(LEN(INDEX('Checklist'!$E$4:$E$503,_calc!$E$428))=0,"",INDEX('Checklist'!$E$4:$E$503,_calc!$E$428)))=0,"","Owner: "&amp;IF(LEN(INDEX('Checklist'!$E$4:$E$503,_calc!$E$428))=0,"",INDEX('Checklist'!$E$4:$E$503,_calc!$E$428))&amp;". ")&amp;IF(LEN(IF(LEN(INDEX('Checklist'!$F$4:$F$503,_calc!$E$428))=0,"",INDEX('Checklist'!$F$4:$F$503,_calc!$E$428)))=0,"","Backup: "&amp;IF(LEN(INDEX('Checklist'!$F$4:$F$503,_calc!$E$428))=0,"",INDEX('Checklist'!$F$4:$F$503,_calc!$E$428))&amp;". ")&amp;IF(LEN(IF(LEN(INDEX('Checklist'!$J$4:$J$503,_calc!$E$428))=0,"",INDEX('Checklist'!$J$4:$J$503,_calc!$E$428)))=0,"","Evidence: "&amp;IF(LEN(INDEX('Checklist'!$J$4:$J$503,_calc!$E$428))=0,"",INDEX('Checklist'!$J$4:$J$503,_calc!$E$428))&amp;". ")&amp;IF(LEN(IF(LEN(INDEX('Checklist'!$D$4:$D$503,_calc!$E$428))=0,"",INDEX('Checklist'!$D$4:$D$503,_calc!$E$428)))=0,"","Rule example: "&amp;IF(LEN(INDEX('Checklist'!$D$4:$D$503,_calc!$E$428))=0,"",INDEX('Checklist'!$D$4:$D$503,_calc!$E$428))&amp;". ")&amp;IF(LEN(IF(LEN(INDEX('Checklist'!$P$4:$P$503,_calc!$E$428))=0,"",INDEX('Checklist'!$P$4:$P$503,_calc!$E$428)))=0,"",IF(LEN(INDEX('Checklist'!$P$4:$P$503,_calc!$E$428))=0,"",INDEX('Checklist'!$P$4:$P$503,_calc!$E$428)))))</f>
        <v/>
      </c>
      <c r="K426" s="44">
        <f>IF(_calc!$E$428="","",IF(LEN(INDEX('Checklist'!$G$4:$G$503,_calc!$E$428))=0,"",INDEX('Checklist'!$G$4:$G$503,_calc!$E$428)))</f>
        <v/>
      </c>
    </row>
    <row r="427">
      <c r="A427" s="44">
        <f>IF(_calc!$E$429="","","Survey check – "&amp;IF(LEN(INDEX('Checklist'!$C$4:$C$503,_calc!$E$429))=0,"",INDEX('Checklist'!$C$4:$C$503,_calc!$E$429)))</f>
        <v/>
      </c>
      <c r="B427" s="44">
        <f>IF(_calc!$E$429="","",IF(ISNUMBER(INDEX('Checklist'!$L$4:$L$503,_calc!$E$429)),TEXT(INDEX('Checklist'!$L$4:$L$503,_calc!$E$429),"yyyy-mm-dd"),""))</f>
        <v/>
      </c>
      <c r="C427" s="44">
        <f>IF(_calc!$E$429="","","Survey readiness")</f>
        <v/>
      </c>
      <c r="D427" s="44">
        <f>IF(_calc!$E$429="","",IF(ISNUMBER(INDEX('Checklist'!$H$4:$H$503,_calc!$E$429)),TEXT(INDEX('Checklist'!$H$4:$H$503,_calc!$E$429),"yyyy-mm-dd"),""))</f>
        <v/>
      </c>
      <c r="F427" s="44">
        <f>IF(_calc!$E$429="","",TRIM(IF(LEN(IF(LEN(INDEX('Checklist'!$A$4:$A$503,_calc!$E$429))=0,"",INDEX('Checklist'!$A$4:$A$503,_calc!$E$429)))=0,"","Group: "&amp;IF(LEN(INDEX('Checklist'!$A$4:$A$503,_calc!$E$429))=0,"",INDEX('Checklist'!$A$4:$A$503,_calc!$E$429))&amp;". ")&amp;IF(LEN(IF(LEN(INDEX('Checklist'!$E$4:$E$503,_calc!$E$429))=0,"",INDEX('Checklist'!$E$4:$E$503,_calc!$E$429)))=0,"","Owner: "&amp;IF(LEN(INDEX('Checklist'!$E$4:$E$503,_calc!$E$429))=0,"",INDEX('Checklist'!$E$4:$E$503,_calc!$E$429))&amp;". ")&amp;IF(LEN(IF(LEN(INDEX('Checklist'!$F$4:$F$503,_calc!$E$429))=0,"",INDEX('Checklist'!$F$4:$F$503,_calc!$E$429)))=0,"","Backup: "&amp;IF(LEN(INDEX('Checklist'!$F$4:$F$503,_calc!$E$429))=0,"",INDEX('Checklist'!$F$4:$F$503,_calc!$E$429))&amp;". ")&amp;IF(LEN(IF(LEN(INDEX('Checklist'!$J$4:$J$503,_calc!$E$429))=0,"",INDEX('Checklist'!$J$4:$J$503,_calc!$E$429)))=0,"","Evidence: "&amp;IF(LEN(INDEX('Checklist'!$J$4:$J$503,_calc!$E$429))=0,"",INDEX('Checklist'!$J$4:$J$503,_calc!$E$429))&amp;". ")&amp;IF(LEN(IF(LEN(INDEX('Checklist'!$D$4:$D$503,_calc!$E$429))=0,"",INDEX('Checklist'!$D$4:$D$503,_calc!$E$429)))=0,"","Rule example: "&amp;IF(LEN(INDEX('Checklist'!$D$4:$D$503,_calc!$E$429))=0,"",INDEX('Checklist'!$D$4:$D$503,_calc!$E$429))&amp;". ")&amp;IF(LEN(IF(LEN(INDEX('Checklist'!$P$4:$P$503,_calc!$E$429))=0,"",INDEX('Checklist'!$P$4:$P$503,_calc!$E$429)))=0,"",IF(LEN(INDEX('Checklist'!$P$4:$P$503,_calc!$E$429))=0,"",INDEX('Checklist'!$P$4:$P$503,_calc!$E$429)))))</f>
        <v/>
      </c>
      <c r="K427" s="44">
        <f>IF(_calc!$E$429="","",IF(LEN(INDEX('Checklist'!$G$4:$G$503,_calc!$E$429))=0,"",INDEX('Checklist'!$G$4:$G$503,_calc!$E$429)))</f>
        <v/>
      </c>
    </row>
    <row r="428">
      <c r="A428" s="44">
        <f>IF(_calc!$E$430="","","Survey check – "&amp;IF(LEN(INDEX('Checklist'!$C$4:$C$503,_calc!$E$430))=0,"",INDEX('Checklist'!$C$4:$C$503,_calc!$E$430)))</f>
        <v/>
      </c>
      <c r="B428" s="44">
        <f>IF(_calc!$E$430="","",IF(ISNUMBER(INDEX('Checklist'!$L$4:$L$503,_calc!$E$430)),TEXT(INDEX('Checklist'!$L$4:$L$503,_calc!$E$430),"yyyy-mm-dd"),""))</f>
        <v/>
      </c>
      <c r="C428" s="44">
        <f>IF(_calc!$E$430="","","Survey readiness")</f>
        <v/>
      </c>
      <c r="D428" s="44">
        <f>IF(_calc!$E$430="","",IF(ISNUMBER(INDEX('Checklist'!$H$4:$H$503,_calc!$E$430)),TEXT(INDEX('Checklist'!$H$4:$H$503,_calc!$E$430),"yyyy-mm-dd"),""))</f>
        <v/>
      </c>
      <c r="F428" s="44">
        <f>IF(_calc!$E$430="","",TRIM(IF(LEN(IF(LEN(INDEX('Checklist'!$A$4:$A$503,_calc!$E$430))=0,"",INDEX('Checklist'!$A$4:$A$503,_calc!$E$430)))=0,"","Group: "&amp;IF(LEN(INDEX('Checklist'!$A$4:$A$503,_calc!$E$430))=0,"",INDEX('Checklist'!$A$4:$A$503,_calc!$E$430))&amp;". ")&amp;IF(LEN(IF(LEN(INDEX('Checklist'!$E$4:$E$503,_calc!$E$430))=0,"",INDEX('Checklist'!$E$4:$E$503,_calc!$E$430)))=0,"","Owner: "&amp;IF(LEN(INDEX('Checklist'!$E$4:$E$503,_calc!$E$430))=0,"",INDEX('Checklist'!$E$4:$E$503,_calc!$E$430))&amp;". ")&amp;IF(LEN(IF(LEN(INDEX('Checklist'!$F$4:$F$503,_calc!$E$430))=0,"",INDEX('Checklist'!$F$4:$F$503,_calc!$E$430)))=0,"","Backup: "&amp;IF(LEN(INDEX('Checklist'!$F$4:$F$503,_calc!$E$430))=0,"",INDEX('Checklist'!$F$4:$F$503,_calc!$E$430))&amp;". ")&amp;IF(LEN(IF(LEN(INDEX('Checklist'!$J$4:$J$503,_calc!$E$430))=0,"",INDEX('Checklist'!$J$4:$J$503,_calc!$E$430)))=0,"","Evidence: "&amp;IF(LEN(INDEX('Checklist'!$J$4:$J$503,_calc!$E$430))=0,"",INDEX('Checklist'!$J$4:$J$503,_calc!$E$430))&amp;". ")&amp;IF(LEN(IF(LEN(INDEX('Checklist'!$D$4:$D$503,_calc!$E$430))=0,"",INDEX('Checklist'!$D$4:$D$503,_calc!$E$430)))=0,"","Rule example: "&amp;IF(LEN(INDEX('Checklist'!$D$4:$D$503,_calc!$E$430))=0,"",INDEX('Checklist'!$D$4:$D$503,_calc!$E$430))&amp;". ")&amp;IF(LEN(IF(LEN(INDEX('Checklist'!$P$4:$P$503,_calc!$E$430))=0,"",INDEX('Checklist'!$P$4:$P$503,_calc!$E$430)))=0,"",IF(LEN(INDEX('Checklist'!$P$4:$P$503,_calc!$E$430))=0,"",INDEX('Checklist'!$P$4:$P$503,_calc!$E$430)))))</f>
        <v/>
      </c>
      <c r="K428" s="44">
        <f>IF(_calc!$E$430="","",IF(LEN(INDEX('Checklist'!$G$4:$G$503,_calc!$E$430))=0,"",INDEX('Checklist'!$G$4:$G$503,_calc!$E$430)))</f>
        <v/>
      </c>
    </row>
    <row r="429">
      <c r="A429" s="44">
        <f>IF(_calc!$E$431="","","Survey check – "&amp;IF(LEN(INDEX('Checklist'!$C$4:$C$503,_calc!$E$431))=0,"",INDEX('Checklist'!$C$4:$C$503,_calc!$E$431)))</f>
        <v/>
      </c>
      <c r="B429" s="44">
        <f>IF(_calc!$E$431="","",IF(ISNUMBER(INDEX('Checklist'!$L$4:$L$503,_calc!$E$431)),TEXT(INDEX('Checklist'!$L$4:$L$503,_calc!$E$431),"yyyy-mm-dd"),""))</f>
        <v/>
      </c>
      <c r="C429" s="44">
        <f>IF(_calc!$E$431="","","Survey readiness")</f>
        <v/>
      </c>
      <c r="D429" s="44">
        <f>IF(_calc!$E$431="","",IF(ISNUMBER(INDEX('Checklist'!$H$4:$H$503,_calc!$E$431)),TEXT(INDEX('Checklist'!$H$4:$H$503,_calc!$E$431),"yyyy-mm-dd"),""))</f>
        <v/>
      </c>
      <c r="F429" s="44">
        <f>IF(_calc!$E$431="","",TRIM(IF(LEN(IF(LEN(INDEX('Checklist'!$A$4:$A$503,_calc!$E$431))=0,"",INDEX('Checklist'!$A$4:$A$503,_calc!$E$431)))=0,"","Group: "&amp;IF(LEN(INDEX('Checklist'!$A$4:$A$503,_calc!$E$431))=0,"",INDEX('Checklist'!$A$4:$A$503,_calc!$E$431))&amp;". ")&amp;IF(LEN(IF(LEN(INDEX('Checklist'!$E$4:$E$503,_calc!$E$431))=0,"",INDEX('Checklist'!$E$4:$E$503,_calc!$E$431)))=0,"","Owner: "&amp;IF(LEN(INDEX('Checklist'!$E$4:$E$503,_calc!$E$431))=0,"",INDEX('Checklist'!$E$4:$E$503,_calc!$E$431))&amp;". ")&amp;IF(LEN(IF(LEN(INDEX('Checklist'!$F$4:$F$503,_calc!$E$431))=0,"",INDEX('Checklist'!$F$4:$F$503,_calc!$E$431)))=0,"","Backup: "&amp;IF(LEN(INDEX('Checklist'!$F$4:$F$503,_calc!$E$431))=0,"",INDEX('Checklist'!$F$4:$F$503,_calc!$E$431))&amp;". ")&amp;IF(LEN(IF(LEN(INDEX('Checklist'!$J$4:$J$503,_calc!$E$431))=0,"",INDEX('Checklist'!$J$4:$J$503,_calc!$E$431)))=0,"","Evidence: "&amp;IF(LEN(INDEX('Checklist'!$J$4:$J$503,_calc!$E$431))=0,"",INDEX('Checklist'!$J$4:$J$503,_calc!$E$431))&amp;". ")&amp;IF(LEN(IF(LEN(INDEX('Checklist'!$D$4:$D$503,_calc!$E$431))=0,"",INDEX('Checklist'!$D$4:$D$503,_calc!$E$431)))=0,"","Rule example: "&amp;IF(LEN(INDEX('Checklist'!$D$4:$D$503,_calc!$E$431))=0,"",INDEX('Checklist'!$D$4:$D$503,_calc!$E$431))&amp;". ")&amp;IF(LEN(IF(LEN(INDEX('Checklist'!$P$4:$P$503,_calc!$E$431))=0,"",INDEX('Checklist'!$P$4:$P$503,_calc!$E$431)))=0,"",IF(LEN(INDEX('Checklist'!$P$4:$P$503,_calc!$E$431))=0,"",INDEX('Checklist'!$P$4:$P$503,_calc!$E$431)))))</f>
        <v/>
      </c>
      <c r="K429" s="44">
        <f>IF(_calc!$E$431="","",IF(LEN(INDEX('Checklist'!$G$4:$G$503,_calc!$E$431))=0,"",INDEX('Checklist'!$G$4:$G$503,_calc!$E$431)))</f>
        <v/>
      </c>
    </row>
    <row r="430">
      <c r="A430" s="44">
        <f>IF(_calc!$E$432="","","Survey check – "&amp;IF(LEN(INDEX('Checklist'!$C$4:$C$503,_calc!$E$432))=0,"",INDEX('Checklist'!$C$4:$C$503,_calc!$E$432)))</f>
        <v/>
      </c>
      <c r="B430" s="44">
        <f>IF(_calc!$E$432="","",IF(ISNUMBER(INDEX('Checklist'!$L$4:$L$503,_calc!$E$432)),TEXT(INDEX('Checklist'!$L$4:$L$503,_calc!$E$432),"yyyy-mm-dd"),""))</f>
        <v/>
      </c>
      <c r="C430" s="44">
        <f>IF(_calc!$E$432="","","Survey readiness")</f>
        <v/>
      </c>
      <c r="D430" s="44">
        <f>IF(_calc!$E$432="","",IF(ISNUMBER(INDEX('Checklist'!$H$4:$H$503,_calc!$E$432)),TEXT(INDEX('Checklist'!$H$4:$H$503,_calc!$E$432),"yyyy-mm-dd"),""))</f>
        <v/>
      </c>
      <c r="F430" s="44">
        <f>IF(_calc!$E$432="","",TRIM(IF(LEN(IF(LEN(INDEX('Checklist'!$A$4:$A$503,_calc!$E$432))=0,"",INDEX('Checklist'!$A$4:$A$503,_calc!$E$432)))=0,"","Group: "&amp;IF(LEN(INDEX('Checklist'!$A$4:$A$503,_calc!$E$432))=0,"",INDEX('Checklist'!$A$4:$A$503,_calc!$E$432))&amp;". ")&amp;IF(LEN(IF(LEN(INDEX('Checklist'!$E$4:$E$503,_calc!$E$432))=0,"",INDEX('Checklist'!$E$4:$E$503,_calc!$E$432)))=0,"","Owner: "&amp;IF(LEN(INDEX('Checklist'!$E$4:$E$503,_calc!$E$432))=0,"",INDEX('Checklist'!$E$4:$E$503,_calc!$E$432))&amp;". ")&amp;IF(LEN(IF(LEN(INDEX('Checklist'!$F$4:$F$503,_calc!$E$432))=0,"",INDEX('Checklist'!$F$4:$F$503,_calc!$E$432)))=0,"","Backup: "&amp;IF(LEN(INDEX('Checklist'!$F$4:$F$503,_calc!$E$432))=0,"",INDEX('Checklist'!$F$4:$F$503,_calc!$E$432))&amp;". ")&amp;IF(LEN(IF(LEN(INDEX('Checklist'!$J$4:$J$503,_calc!$E$432))=0,"",INDEX('Checklist'!$J$4:$J$503,_calc!$E$432)))=0,"","Evidence: "&amp;IF(LEN(INDEX('Checklist'!$J$4:$J$503,_calc!$E$432))=0,"",INDEX('Checklist'!$J$4:$J$503,_calc!$E$432))&amp;". ")&amp;IF(LEN(IF(LEN(INDEX('Checklist'!$D$4:$D$503,_calc!$E$432))=0,"",INDEX('Checklist'!$D$4:$D$503,_calc!$E$432)))=0,"","Rule example: "&amp;IF(LEN(INDEX('Checklist'!$D$4:$D$503,_calc!$E$432))=0,"",INDEX('Checklist'!$D$4:$D$503,_calc!$E$432))&amp;". ")&amp;IF(LEN(IF(LEN(INDEX('Checklist'!$P$4:$P$503,_calc!$E$432))=0,"",INDEX('Checklist'!$P$4:$P$503,_calc!$E$432)))=0,"",IF(LEN(INDEX('Checklist'!$P$4:$P$503,_calc!$E$432))=0,"",INDEX('Checklist'!$P$4:$P$503,_calc!$E$432)))))</f>
        <v/>
      </c>
      <c r="K430" s="44">
        <f>IF(_calc!$E$432="","",IF(LEN(INDEX('Checklist'!$G$4:$G$503,_calc!$E$432))=0,"",INDEX('Checklist'!$G$4:$G$503,_calc!$E$432)))</f>
        <v/>
      </c>
    </row>
    <row r="431">
      <c r="A431" s="44">
        <f>IF(_calc!$E$433="","","Survey check – "&amp;IF(LEN(INDEX('Checklist'!$C$4:$C$503,_calc!$E$433))=0,"",INDEX('Checklist'!$C$4:$C$503,_calc!$E$433)))</f>
        <v/>
      </c>
      <c r="B431" s="44">
        <f>IF(_calc!$E$433="","",IF(ISNUMBER(INDEX('Checklist'!$L$4:$L$503,_calc!$E$433)),TEXT(INDEX('Checklist'!$L$4:$L$503,_calc!$E$433),"yyyy-mm-dd"),""))</f>
        <v/>
      </c>
      <c r="C431" s="44">
        <f>IF(_calc!$E$433="","","Survey readiness")</f>
        <v/>
      </c>
      <c r="D431" s="44">
        <f>IF(_calc!$E$433="","",IF(ISNUMBER(INDEX('Checklist'!$H$4:$H$503,_calc!$E$433)),TEXT(INDEX('Checklist'!$H$4:$H$503,_calc!$E$433),"yyyy-mm-dd"),""))</f>
        <v/>
      </c>
      <c r="F431" s="44">
        <f>IF(_calc!$E$433="","",TRIM(IF(LEN(IF(LEN(INDEX('Checklist'!$A$4:$A$503,_calc!$E$433))=0,"",INDEX('Checklist'!$A$4:$A$503,_calc!$E$433)))=0,"","Group: "&amp;IF(LEN(INDEX('Checklist'!$A$4:$A$503,_calc!$E$433))=0,"",INDEX('Checklist'!$A$4:$A$503,_calc!$E$433))&amp;". ")&amp;IF(LEN(IF(LEN(INDEX('Checklist'!$E$4:$E$503,_calc!$E$433))=0,"",INDEX('Checklist'!$E$4:$E$503,_calc!$E$433)))=0,"","Owner: "&amp;IF(LEN(INDEX('Checklist'!$E$4:$E$503,_calc!$E$433))=0,"",INDEX('Checklist'!$E$4:$E$503,_calc!$E$433))&amp;". ")&amp;IF(LEN(IF(LEN(INDEX('Checklist'!$F$4:$F$503,_calc!$E$433))=0,"",INDEX('Checklist'!$F$4:$F$503,_calc!$E$433)))=0,"","Backup: "&amp;IF(LEN(INDEX('Checklist'!$F$4:$F$503,_calc!$E$433))=0,"",INDEX('Checklist'!$F$4:$F$503,_calc!$E$433))&amp;". ")&amp;IF(LEN(IF(LEN(INDEX('Checklist'!$J$4:$J$503,_calc!$E$433))=0,"",INDEX('Checklist'!$J$4:$J$503,_calc!$E$433)))=0,"","Evidence: "&amp;IF(LEN(INDEX('Checklist'!$J$4:$J$503,_calc!$E$433))=0,"",INDEX('Checklist'!$J$4:$J$503,_calc!$E$433))&amp;". ")&amp;IF(LEN(IF(LEN(INDEX('Checklist'!$D$4:$D$503,_calc!$E$433))=0,"",INDEX('Checklist'!$D$4:$D$503,_calc!$E$433)))=0,"","Rule example: "&amp;IF(LEN(INDEX('Checklist'!$D$4:$D$503,_calc!$E$433))=0,"",INDEX('Checklist'!$D$4:$D$503,_calc!$E$433))&amp;". ")&amp;IF(LEN(IF(LEN(INDEX('Checklist'!$P$4:$P$503,_calc!$E$433))=0,"",INDEX('Checklist'!$P$4:$P$503,_calc!$E$433)))=0,"",IF(LEN(INDEX('Checklist'!$P$4:$P$503,_calc!$E$433))=0,"",INDEX('Checklist'!$P$4:$P$503,_calc!$E$433)))))</f>
        <v/>
      </c>
      <c r="K431" s="44">
        <f>IF(_calc!$E$433="","",IF(LEN(INDEX('Checklist'!$G$4:$G$503,_calc!$E$433))=0,"",INDEX('Checklist'!$G$4:$G$503,_calc!$E$433)))</f>
        <v/>
      </c>
    </row>
    <row r="432">
      <c r="A432" s="44">
        <f>IF(_calc!$E$434="","","Survey check – "&amp;IF(LEN(INDEX('Checklist'!$C$4:$C$503,_calc!$E$434))=0,"",INDEX('Checklist'!$C$4:$C$503,_calc!$E$434)))</f>
        <v/>
      </c>
      <c r="B432" s="44">
        <f>IF(_calc!$E$434="","",IF(ISNUMBER(INDEX('Checklist'!$L$4:$L$503,_calc!$E$434)),TEXT(INDEX('Checklist'!$L$4:$L$503,_calc!$E$434),"yyyy-mm-dd"),""))</f>
        <v/>
      </c>
      <c r="C432" s="44">
        <f>IF(_calc!$E$434="","","Survey readiness")</f>
        <v/>
      </c>
      <c r="D432" s="44">
        <f>IF(_calc!$E$434="","",IF(ISNUMBER(INDEX('Checklist'!$H$4:$H$503,_calc!$E$434)),TEXT(INDEX('Checklist'!$H$4:$H$503,_calc!$E$434),"yyyy-mm-dd"),""))</f>
        <v/>
      </c>
      <c r="F432" s="44">
        <f>IF(_calc!$E$434="","",TRIM(IF(LEN(IF(LEN(INDEX('Checklist'!$A$4:$A$503,_calc!$E$434))=0,"",INDEX('Checklist'!$A$4:$A$503,_calc!$E$434)))=0,"","Group: "&amp;IF(LEN(INDEX('Checklist'!$A$4:$A$503,_calc!$E$434))=0,"",INDEX('Checklist'!$A$4:$A$503,_calc!$E$434))&amp;". ")&amp;IF(LEN(IF(LEN(INDEX('Checklist'!$E$4:$E$503,_calc!$E$434))=0,"",INDEX('Checklist'!$E$4:$E$503,_calc!$E$434)))=0,"","Owner: "&amp;IF(LEN(INDEX('Checklist'!$E$4:$E$503,_calc!$E$434))=0,"",INDEX('Checklist'!$E$4:$E$503,_calc!$E$434))&amp;". ")&amp;IF(LEN(IF(LEN(INDEX('Checklist'!$F$4:$F$503,_calc!$E$434))=0,"",INDEX('Checklist'!$F$4:$F$503,_calc!$E$434)))=0,"","Backup: "&amp;IF(LEN(INDEX('Checklist'!$F$4:$F$503,_calc!$E$434))=0,"",INDEX('Checklist'!$F$4:$F$503,_calc!$E$434))&amp;". ")&amp;IF(LEN(IF(LEN(INDEX('Checklist'!$J$4:$J$503,_calc!$E$434))=0,"",INDEX('Checklist'!$J$4:$J$503,_calc!$E$434)))=0,"","Evidence: "&amp;IF(LEN(INDEX('Checklist'!$J$4:$J$503,_calc!$E$434))=0,"",INDEX('Checklist'!$J$4:$J$503,_calc!$E$434))&amp;". ")&amp;IF(LEN(IF(LEN(INDEX('Checklist'!$D$4:$D$503,_calc!$E$434))=0,"",INDEX('Checklist'!$D$4:$D$503,_calc!$E$434)))=0,"","Rule example: "&amp;IF(LEN(INDEX('Checklist'!$D$4:$D$503,_calc!$E$434))=0,"",INDEX('Checklist'!$D$4:$D$503,_calc!$E$434))&amp;". ")&amp;IF(LEN(IF(LEN(INDEX('Checklist'!$P$4:$P$503,_calc!$E$434))=0,"",INDEX('Checklist'!$P$4:$P$503,_calc!$E$434)))=0,"",IF(LEN(INDEX('Checklist'!$P$4:$P$503,_calc!$E$434))=0,"",INDEX('Checklist'!$P$4:$P$503,_calc!$E$434)))))</f>
        <v/>
      </c>
      <c r="K432" s="44">
        <f>IF(_calc!$E$434="","",IF(LEN(INDEX('Checklist'!$G$4:$G$503,_calc!$E$434))=0,"",INDEX('Checklist'!$G$4:$G$503,_calc!$E$434)))</f>
        <v/>
      </c>
    </row>
    <row r="433">
      <c r="A433" s="44">
        <f>IF(_calc!$E$435="","","Survey check – "&amp;IF(LEN(INDEX('Checklist'!$C$4:$C$503,_calc!$E$435))=0,"",INDEX('Checklist'!$C$4:$C$503,_calc!$E$435)))</f>
        <v/>
      </c>
      <c r="B433" s="44">
        <f>IF(_calc!$E$435="","",IF(ISNUMBER(INDEX('Checklist'!$L$4:$L$503,_calc!$E$435)),TEXT(INDEX('Checklist'!$L$4:$L$503,_calc!$E$435),"yyyy-mm-dd"),""))</f>
        <v/>
      </c>
      <c r="C433" s="44">
        <f>IF(_calc!$E$435="","","Survey readiness")</f>
        <v/>
      </c>
      <c r="D433" s="44">
        <f>IF(_calc!$E$435="","",IF(ISNUMBER(INDEX('Checklist'!$H$4:$H$503,_calc!$E$435)),TEXT(INDEX('Checklist'!$H$4:$H$503,_calc!$E$435),"yyyy-mm-dd"),""))</f>
        <v/>
      </c>
      <c r="F433" s="44">
        <f>IF(_calc!$E$435="","",TRIM(IF(LEN(IF(LEN(INDEX('Checklist'!$A$4:$A$503,_calc!$E$435))=0,"",INDEX('Checklist'!$A$4:$A$503,_calc!$E$435)))=0,"","Group: "&amp;IF(LEN(INDEX('Checklist'!$A$4:$A$503,_calc!$E$435))=0,"",INDEX('Checklist'!$A$4:$A$503,_calc!$E$435))&amp;". ")&amp;IF(LEN(IF(LEN(INDEX('Checklist'!$E$4:$E$503,_calc!$E$435))=0,"",INDEX('Checklist'!$E$4:$E$503,_calc!$E$435)))=0,"","Owner: "&amp;IF(LEN(INDEX('Checklist'!$E$4:$E$503,_calc!$E$435))=0,"",INDEX('Checklist'!$E$4:$E$503,_calc!$E$435))&amp;". ")&amp;IF(LEN(IF(LEN(INDEX('Checklist'!$F$4:$F$503,_calc!$E$435))=0,"",INDEX('Checklist'!$F$4:$F$503,_calc!$E$435)))=0,"","Backup: "&amp;IF(LEN(INDEX('Checklist'!$F$4:$F$503,_calc!$E$435))=0,"",INDEX('Checklist'!$F$4:$F$503,_calc!$E$435))&amp;". ")&amp;IF(LEN(IF(LEN(INDEX('Checklist'!$J$4:$J$503,_calc!$E$435))=0,"",INDEX('Checklist'!$J$4:$J$503,_calc!$E$435)))=0,"","Evidence: "&amp;IF(LEN(INDEX('Checklist'!$J$4:$J$503,_calc!$E$435))=0,"",INDEX('Checklist'!$J$4:$J$503,_calc!$E$435))&amp;". ")&amp;IF(LEN(IF(LEN(INDEX('Checklist'!$D$4:$D$503,_calc!$E$435))=0,"",INDEX('Checklist'!$D$4:$D$503,_calc!$E$435)))=0,"","Rule example: "&amp;IF(LEN(INDEX('Checklist'!$D$4:$D$503,_calc!$E$435))=0,"",INDEX('Checklist'!$D$4:$D$503,_calc!$E$435))&amp;". ")&amp;IF(LEN(IF(LEN(INDEX('Checklist'!$P$4:$P$503,_calc!$E$435))=0,"",INDEX('Checklist'!$P$4:$P$503,_calc!$E$435)))=0,"",IF(LEN(INDEX('Checklist'!$P$4:$P$503,_calc!$E$435))=0,"",INDEX('Checklist'!$P$4:$P$503,_calc!$E$435)))))</f>
        <v/>
      </c>
      <c r="K433" s="44">
        <f>IF(_calc!$E$435="","",IF(LEN(INDEX('Checklist'!$G$4:$G$503,_calc!$E$435))=0,"",INDEX('Checklist'!$G$4:$G$503,_calc!$E$435)))</f>
        <v/>
      </c>
    </row>
    <row r="434">
      <c r="A434" s="44">
        <f>IF(_calc!$E$436="","","Survey check – "&amp;IF(LEN(INDEX('Checklist'!$C$4:$C$503,_calc!$E$436))=0,"",INDEX('Checklist'!$C$4:$C$503,_calc!$E$436)))</f>
        <v/>
      </c>
      <c r="B434" s="44">
        <f>IF(_calc!$E$436="","",IF(ISNUMBER(INDEX('Checklist'!$L$4:$L$503,_calc!$E$436)),TEXT(INDEX('Checklist'!$L$4:$L$503,_calc!$E$436),"yyyy-mm-dd"),""))</f>
        <v/>
      </c>
      <c r="C434" s="44">
        <f>IF(_calc!$E$436="","","Survey readiness")</f>
        <v/>
      </c>
      <c r="D434" s="44">
        <f>IF(_calc!$E$436="","",IF(ISNUMBER(INDEX('Checklist'!$H$4:$H$503,_calc!$E$436)),TEXT(INDEX('Checklist'!$H$4:$H$503,_calc!$E$436),"yyyy-mm-dd"),""))</f>
        <v/>
      </c>
      <c r="F434" s="44">
        <f>IF(_calc!$E$436="","",TRIM(IF(LEN(IF(LEN(INDEX('Checklist'!$A$4:$A$503,_calc!$E$436))=0,"",INDEX('Checklist'!$A$4:$A$503,_calc!$E$436)))=0,"","Group: "&amp;IF(LEN(INDEX('Checklist'!$A$4:$A$503,_calc!$E$436))=0,"",INDEX('Checklist'!$A$4:$A$503,_calc!$E$436))&amp;". ")&amp;IF(LEN(IF(LEN(INDEX('Checklist'!$E$4:$E$503,_calc!$E$436))=0,"",INDEX('Checklist'!$E$4:$E$503,_calc!$E$436)))=0,"","Owner: "&amp;IF(LEN(INDEX('Checklist'!$E$4:$E$503,_calc!$E$436))=0,"",INDEX('Checklist'!$E$4:$E$503,_calc!$E$436))&amp;". ")&amp;IF(LEN(IF(LEN(INDEX('Checklist'!$F$4:$F$503,_calc!$E$436))=0,"",INDEX('Checklist'!$F$4:$F$503,_calc!$E$436)))=0,"","Backup: "&amp;IF(LEN(INDEX('Checklist'!$F$4:$F$503,_calc!$E$436))=0,"",INDEX('Checklist'!$F$4:$F$503,_calc!$E$436))&amp;". ")&amp;IF(LEN(IF(LEN(INDEX('Checklist'!$J$4:$J$503,_calc!$E$436))=0,"",INDEX('Checklist'!$J$4:$J$503,_calc!$E$436)))=0,"","Evidence: "&amp;IF(LEN(INDEX('Checklist'!$J$4:$J$503,_calc!$E$436))=0,"",INDEX('Checklist'!$J$4:$J$503,_calc!$E$436))&amp;". ")&amp;IF(LEN(IF(LEN(INDEX('Checklist'!$D$4:$D$503,_calc!$E$436))=0,"",INDEX('Checklist'!$D$4:$D$503,_calc!$E$436)))=0,"","Rule example: "&amp;IF(LEN(INDEX('Checklist'!$D$4:$D$503,_calc!$E$436))=0,"",INDEX('Checklist'!$D$4:$D$503,_calc!$E$436))&amp;". ")&amp;IF(LEN(IF(LEN(INDEX('Checklist'!$P$4:$P$503,_calc!$E$436))=0,"",INDEX('Checklist'!$P$4:$P$503,_calc!$E$436)))=0,"",IF(LEN(INDEX('Checklist'!$P$4:$P$503,_calc!$E$436))=0,"",INDEX('Checklist'!$P$4:$P$503,_calc!$E$436)))))</f>
        <v/>
      </c>
      <c r="K434" s="44">
        <f>IF(_calc!$E$436="","",IF(LEN(INDEX('Checklist'!$G$4:$G$503,_calc!$E$436))=0,"",INDEX('Checklist'!$G$4:$G$503,_calc!$E$436)))</f>
        <v/>
      </c>
    </row>
    <row r="435">
      <c r="A435" s="44">
        <f>IF(_calc!$E$437="","","Survey check – "&amp;IF(LEN(INDEX('Checklist'!$C$4:$C$503,_calc!$E$437))=0,"",INDEX('Checklist'!$C$4:$C$503,_calc!$E$437)))</f>
        <v/>
      </c>
      <c r="B435" s="44">
        <f>IF(_calc!$E$437="","",IF(ISNUMBER(INDEX('Checklist'!$L$4:$L$503,_calc!$E$437)),TEXT(INDEX('Checklist'!$L$4:$L$503,_calc!$E$437),"yyyy-mm-dd"),""))</f>
        <v/>
      </c>
      <c r="C435" s="44">
        <f>IF(_calc!$E$437="","","Survey readiness")</f>
        <v/>
      </c>
      <c r="D435" s="44">
        <f>IF(_calc!$E$437="","",IF(ISNUMBER(INDEX('Checklist'!$H$4:$H$503,_calc!$E$437)),TEXT(INDEX('Checklist'!$H$4:$H$503,_calc!$E$437),"yyyy-mm-dd"),""))</f>
        <v/>
      </c>
      <c r="F435" s="44">
        <f>IF(_calc!$E$437="","",TRIM(IF(LEN(IF(LEN(INDEX('Checklist'!$A$4:$A$503,_calc!$E$437))=0,"",INDEX('Checklist'!$A$4:$A$503,_calc!$E$437)))=0,"","Group: "&amp;IF(LEN(INDEX('Checklist'!$A$4:$A$503,_calc!$E$437))=0,"",INDEX('Checklist'!$A$4:$A$503,_calc!$E$437))&amp;". ")&amp;IF(LEN(IF(LEN(INDEX('Checklist'!$E$4:$E$503,_calc!$E$437))=0,"",INDEX('Checklist'!$E$4:$E$503,_calc!$E$437)))=0,"","Owner: "&amp;IF(LEN(INDEX('Checklist'!$E$4:$E$503,_calc!$E$437))=0,"",INDEX('Checklist'!$E$4:$E$503,_calc!$E$437))&amp;". ")&amp;IF(LEN(IF(LEN(INDEX('Checklist'!$F$4:$F$503,_calc!$E$437))=0,"",INDEX('Checklist'!$F$4:$F$503,_calc!$E$437)))=0,"","Backup: "&amp;IF(LEN(INDEX('Checklist'!$F$4:$F$503,_calc!$E$437))=0,"",INDEX('Checklist'!$F$4:$F$503,_calc!$E$437))&amp;". ")&amp;IF(LEN(IF(LEN(INDEX('Checklist'!$J$4:$J$503,_calc!$E$437))=0,"",INDEX('Checklist'!$J$4:$J$503,_calc!$E$437)))=0,"","Evidence: "&amp;IF(LEN(INDEX('Checklist'!$J$4:$J$503,_calc!$E$437))=0,"",INDEX('Checklist'!$J$4:$J$503,_calc!$E$437))&amp;". ")&amp;IF(LEN(IF(LEN(INDEX('Checklist'!$D$4:$D$503,_calc!$E$437))=0,"",INDEX('Checklist'!$D$4:$D$503,_calc!$E$437)))=0,"","Rule example: "&amp;IF(LEN(INDEX('Checklist'!$D$4:$D$503,_calc!$E$437))=0,"",INDEX('Checklist'!$D$4:$D$503,_calc!$E$437))&amp;". ")&amp;IF(LEN(IF(LEN(INDEX('Checklist'!$P$4:$P$503,_calc!$E$437))=0,"",INDEX('Checklist'!$P$4:$P$503,_calc!$E$437)))=0,"",IF(LEN(INDEX('Checklist'!$P$4:$P$503,_calc!$E$437))=0,"",INDEX('Checklist'!$P$4:$P$503,_calc!$E$437)))))</f>
        <v/>
      </c>
      <c r="K435" s="44">
        <f>IF(_calc!$E$437="","",IF(LEN(INDEX('Checklist'!$G$4:$G$503,_calc!$E$437))=0,"",INDEX('Checklist'!$G$4:$G$503,_calc!$E$437)))</f>
        <v/>
      </c>
    </row>
    <row r="436">
      <c r="A436" s="44">
        <f>IF(_calc!$E$438="","","Survey check – "&amp;IF(LEN(INDEX('Checklist'!$C$4:$C$503,_calc!$E$438))=0,"",INDEX('Checklist'!$C$4:$C$503,_calc!$E$438)))</f>
        <v/>
      </c>
      <c r="B436" s="44">
        <f>IF(_calc!$E$438="","",IF(ISNUMBER(INDEX('Checklist'!$L$4:$L$503,_calc!$E$438)),TEXT(INDEX('Checklist'!$L$4:$L$503,_calc!$E$438),"yyyy-mm-dd"),""))</f>
        <v/>
      </c>
      <c r="C436" s="44">
        <f>IF(_calc!$E$438="","","Survey readiness")</f>
        <v/>
      </c>
      <c r="D436" s="44">
        <f>IF(_calc!$E$438="","",IF(ISNUMBER(INDEX('Checklist'!$H$4:$H$503,_calc!$E$438)),TEXT(INDEX('Checklist'!$H$4:$H$503,_calc!$E$438),"yyyy-mm-dd"),""))</f>
        <v/>
      </c>
      <c r="F436" s="44">
        <f>IF(_calc!$E$438="","",TRIM(IF(LEN(IF(LEN(INDEX('Checklist'!$A$4:$A$503,_calc!$E$438))=0,"",INDEX('Checklist'!$A$4:$A$503,_calc!$E$438)))=0,"","Group: "&amp;IF(LEN(INDEX('Checklist'!$A$4:$A$503,_calc!$E$438))=0,"",INDEX('Checklist'!$A$4:$A$503,_calc!$E$438))&amp;". ")&amp;IF(LEN(IF(LEN(INDEX('Checklist'!$E$4:$E$503,_calc!$E$438))=0,"",INDEX('Checklist'!$E$4:$E$503,_calc!$E$438)))=0,"","Owner: "&amp;IF(LEN(INDEX('Checklist'!$E$4:$E$503,_calc!$E$438))=0,"",INDEX('Checklist'!$E$4:$E$503,_calc!$E$438))&amp;". ")&amp;IF(LEN(IF(LEN(INDEX('Checklist'!$F$4:$F$503,_calc!$E$438))=0,"",INDEX('Checklist'!$F$4:$F$503,_calc!$E$438)))=0,"","Backup: "&amp;IF(LEN(INDEX('Checklist'!$F$4:$F$503,_calc!$E$438))=0,"",INDEX('Checklist'!$F$4:$F$503,_calc!$E$438))&amp;". ")&amp;IF(LEN(IF(LEN(INDEX('Checklist'!$J$4:$J$503,_calc!$E$438))=0,"",INDEX('Checklist'!$J$4:$J$503,_calc!$E$438)))=0,"","Evidence: "&amp;IF(LEN(INDEX('Checklist'!$J$4:$J$503,_calc!$E$438))=0,"",INDEX('Checklist'!$J$4:$J$503,_calc!$E$438))&amp;". ")&amp;IF(LEN(IF(LEN(INDEX('Checklist'!$D$4:$D$503,_calc!$E$438))=0,"",INDEX('Checklist'!$D$4:$D$503,_calc!$E$438)))=0,"","Rule example: "&amp;IF(LEN(INDEX('Checklist'!$D$4:$D$503,_calc!$E$438))=0,"",INDEX('Checklist'!$D$4:$D$503,_calc!$E$438))&amp;". ")&amp;IF(LEN(IF(LEN(INDEX('Checklist'!$P$4:$P$503,_calc!$E$438))=0,"",INDEX('Checklist'!$P$4:$P$503,_calc!$E$438)))=0,"",IF(LEN(INDEX('Checklist'!$P$4:$P$503,_calc!$E$438))=0,"",INDEX('Checklist'!$P$4:$P$503,_calc!$E$438)))))</f>
        <v/>
      </c>
      <c r="K436" s="44">
        <f>IF(_calc!$E$438="","",IF(LEN(INDEX('Checklist'!$G$4:$G$503,_calc!$E$438))=0,"",INDEX('Checklist'!$G$4:$G$503,_calc!$E$438)))</f>
        <v/>
      </c>
    </row>
    <row r="437">
      <c r="A437" s="44">
        <f>IF(_calc!$E$439="","","Survey check – "&amp;IF(LEN(INDEX('Checklist'!$C$4:$C$503,_calc!$E$439))=0,"",INDEX('Checklist'!$C$4:$C$503,_calc!$E$439)))</f>
        <v/>
      </c>
      <c r="B437" s="44">
        <f>IF(_calc!$E$439="","",IF(ISNUMBER(INDEX('Checklist'!$L$4:$L$503,_calc!$E$439)),TEXT(INDEX('Checklist'!$L$4:$L$503,_calc!$E$439),"yyyy-mm-dd"),""))</f>
        <v/>
      </c>
      <c r="C437" s="44">
        <f>IF(_calc!$E$439="","","Survey readiness")</f>
        <v/>
      </c>
      <c r="D437" s="44">
        <f>IF(_calc!$E$439="","",IF(ISNUMBER(INDEX('Checklist'!$H$4:$H$503,_calc!$E$439)),TEXT(INDEX('Checklist'!$H$4:$H$503,_calc!$E$439),"yyyy-mm-dd"),""))</f>
        <v/>
      </c>
      <c r="F437" s="44">
        <f>IF(_calc!$E$439="","",TRIM(IF(LEN(IF(LEN(INDEX('Checklist'!$A$4:$A$503,_calc!$E$439))=0,"",INDEX('Checklist'!$A$4:$A$503,_calc!$E$439)))=0,"","Group: "&amp;IF(LEN(INDEX('Checklist'!$A$4:$A$503,_calc!$E$439))=0,"",INDEX('Checklist'!$A$4:$A$503,_calc!$E$439))&amp;". ")&amp;IF(LEN(IF(LEN(INDEX('Checklist'!$E$4:$E$503,_calc!$E$439))=0,"",INDEX('Checklist'!$E$4:$E$503,_calc!$E$439)))=0,"","Owner: "&amp;IF(LEN(INDEX('Checklist'!$E$4:$E$503,_calc!$E$439))=0,"",INDEX('Checklist'!$E$4:$E$503,_calc!$E$439))&amp;". ")&amp;IF(LEN(IF(LEN(INDEX('Checklist'!$F$4:$F$503,_calc!$E$439))=0,"",INDEX('Checklist'!$F$4:$F$503,_calc!$E$439)))=0,"","Backup: "&amp;IF(LEN(INDEX('Checklist'!$F$4:$F$503,_calc!$E$439))=0,"",INDEX('Checklist'!$F$4:$F$503,_calc!$E$439))&amp;". ")&amp;IF(LEN(IF(LEN(INDEX('Checklist'!$J$4:$J$503,_calc!$E$439))=0,"",INDEX('Checklist'!$J$4:$J$503,_calc!$E$439)))=0,"","Evidence: "&amp;IF(LEN(INDEX('Checklist'!$J$4:$J$503,_calc!$E$439))=0,"",INDEX('Checklist'!$J$4:$J$503,_calc!$E$439))&amp;". ")&amp;IF(LEN(IF(LEN(INDEX('Checklist'!$D$4:$D$503,_calc!$E$439))=0,"",INDEX('Checklist'!$D$4:$D$503,_calc!$E$439)))=0,"","Rule example: "&amp;IF(LEN(INDEX('Checklist'!$D$4:$D$503,_calc!$E$439))=0,"",INDEX('Checklist'!$D$4:$D$503,_calc!$E$439))&amp;". ")&amp;IF(LEN(IF(LEN(INDEX('Checklist'!$P$4:$P$503,_calc!$E$439))=0,"",INDEX('Checklist'!$P$4:$P$503,_calc!$E$439)))=0,"",IF(LEN(INDEX('Checklist'!$P$4:$P$503,_calc!$E$439))=0,"",INDEX('Checklist'!$P$4:$P$503,_calc!$E$439)))))</f>
        <v/>
      </c>
      <c r="K437" s="44">
        <f>IF(_calc!$E$439="","",IF(LEN(INDEX('Checklist'!$G$4:$G$503,_calc!$E$439))=0,"",INDEX('Checklist'!$G$4:$G$503,_calc!$E$439)))</f>
        <v/>
      </c>
    </row>
    <row r="438">
      <c r="A438" s="44">
        <f>IF(_calc!$E$440="","","Survey check – "&amp;IF(LEN(INDEX('Checklist'!$C$4:$C$503,_calc!$E$440))=0,"",INDEX('Checklist'!$C$4:$C$503,_calc!$E$440)))</f>
        <v/>
      </c>
      <c r="B438" s="44">
        <f>IF(_calc!$E$440="","",IF(ISNUMBER(INDEX('Checklist'!$L$4:$L$503,_calc!$E$440)),TEXT(INDEX('Checklist'!$L$4:$L$503,_calc!$E$440),"yyyy-mm-dd"),""))</f>
        <v/>
      </c>
      <c r="C438" s="44">
        <f>IF(_calc!$E$440="","","Survey readiness")</f>
        <v/>
      </c>
      <c r="D438" s="44">
        <f>IF(_calc!$E$440="","",IF(ISNUMBER(INDEX('Checklist'!$H$4:$H$503,_calc!$E$440)),TEXT(INDEX('Checklist'!$H$4:$H$503,_calc!$E$440),"yyyy-mm-dd"),""))</f>
        <v/>
      </c>
      <c r="F438" s="44">
        <f>IF(_calc!$E$440="","",TRIM(IF(LEN(IF(LEN(INDEX('Checklist'!$A$4:$A$503,_calc!$E$440))=0,"",INDEX('Checklist'!$A$4:$A$503,_calc!$E$440)))=0,"","Group: "&amp;IF(LEN(INDEX('Checklist'!$A$4:$A$503,_calc!$E$440))=0,"",INDEX('Checklist'!$A$4:$A$503,_calc!$E$440))&amp;". ")&amp;IF(LEN(IF(LEN(INDEX('Checklist'!$E$4:$E$503,_calc!$E$440))=0,"",INDEX('Checklist'!$E$4:$E$503,_calc!$E$440)))=0,"","Owner: "&amp;IF(LEN(INDEX('Checklist'!$E$4:$E$503,_calc!$E$440))=0,"",INDEX('Checklist'!$E$4:$E$503,_calc!$E$440))&amp;". ")&amp;IF(LEN(IF(LEN(INDEX('Checklist'!$F$4:$F$503,_calc!$E$440))=0,"",INDEX('Checklist'!$F$4:$F$503,_calc!$E$440)))=0,"","Backup: "&amp;IF(LEN(INDEX('Checklist'!$F$4:$F$503,_calc!$E$440))=0,"",INDEX('Checklist'!$F$4:$F$503,_calc!$E$440))&amp;". ")&amp;IF(LEN(IF(LEN(INDEX('Checklist'!$J$4:$J$503,_calc!$E$440))=0,"",INDEX('Checklist'!$J$4:$J$503,_calc!$E$440)))=0,"","Evidence: "&amp;IF(LEN(INDEX('Checklist'!$J$4:$J$503,_calc!$E$440))=0,"",INDEX('Checklist'!$J$4:$J$503,_calc!$E$440))&amp;". ")&amp;IF(LEN(IF(LEN(INDEX('Checklist'!$D$4:$D$503,_calc!$E$440))=0,"",INDEX('Checklist'!$D$4:$D$503,_calc!$E$440)))=0,"","Rule example: "&amp;IF(LEN(INDEX('Checklist'!$D$4:$D$503,_calc!$E$440))=0,"",INDEX('Checklist'!$D$4:$D$503,_calc!$E$440))&amp;". ")&amp;IF(LEN(IF(LEN(INDEX('Checklist'!$P$4:$P$503,_calc!$E$440))=0,"",INDEX('Checklist'!$P$4:$P$503,_calc!$E$440)))=0,"",IF(LEN(INDEX('Checklist'!$P$4:$P$503,_calc!$E$440))=0,"",INDEX('Checklist'!$P$4:$P$503,_calc!$E$440)))))</f>
        <v/>
      </c>
      <c r="K438" s="44">
        <f>IF(_calc!$E$440="","",IF(LEN(INDEX('Checklist'!$G$4:$G$503,_calc!$E$440))=0,"",INDEX('Checklist'!$G$4:$G$503,_calc!$E$440)))</f>
        <v/>
      </c>
    </row>
    <row r="439">
      <c r="A439" s="44">
        <f>IF(_calc!$E$441="","","Survey check – "&amp;IF(LEN(INDEX('Checklist'!$C$4:$C$503,_calc!$E$441))=0,"",INDEX('Checklist'!$C$4:$C$503,_calc!$E$441)))</f>
        <v/>
      </c>
      <c r="B439" s="44">
        <f>IF(_calc!$E$441="","",IF(ISNUMBER(INDEX('Checklist'!$L$4:$L$503,_calc!$E$441)),TEXT(INDEX('Checklist'!$L$4:$L$503,_calc!$E$441),"yyyy-mm-dd"),""))</f>
        <v/>
      </c>
      <c r="C439" s="44">
        <f>IF(_calc!$E$441="","","Survey readiness")</f>
        <v/>
      </c>
      <c r="D439" s="44">
        <f>IF(_calc!$E$441="","",IF(ISNUMBER(INDEX('Checklist'!$H$4:$H$503,_calc!$E$441)),TEXT(INDEX('Checklist'!$H$4:$H$503,_calc!$E$441),"yyyy-mm-dd"),""))</f>
        <v/>
      </c>
      <c r="F439" s="44">
        <f>IF(_calc!$E$441="","",TRIM(IF(LEN(IF(LEN(INDEX('Checklist'!$A$4:$A$503,_calc!$E$441))=0,"",INDEX('Checklist'!$A$4:$A$503,_calc!$E$441)))=0,"","Group: "&amp;IF(LEN(INDEX('Checklist'!$A$4:$A$503,_calc!$E$441))=0,"",INDEX('Checklist'!$A$4:$A$503,_calc!$E$441))&amp;". ")&amp;IF(LEN(IF(LEN(INDEX('Checklist'!$E$4:$E$503,_calc!$E$441))=0,"",INDEX('Checklist'!$E$4:$E$503,_calc!$E$441)))=0,"","Owner: "&amp;IF(LEN(INDEX('Checklist'!$E$4:$E$503,_calc!$E$441))=0,"",INDEX('Checklist'!$E$4:$E$503,_calc!$E$441))&amp;". ")&amp;IF(LEN(IF(LEN(INDEX('Checklist'!$F$4:$F$503,_calc!$E$441))=0,"",INDEX('Checklist'!$F$4:$F$503,_calc!$E$441)))=0,"","Backup: "&amp;IF(LEN(INDEX('Checklist'!$F$4:$F$503,_calc!$E$441))=0,"",INDEX('Checklist'!$F$4:$F$503,_calc!$E$441))&amp;". ")&amp;IF(LEN(IF(LEN(INDEX('Checklist'!$J$4:$J$503,_calc!$E$441))=0,"",INDEX('Checklist'!$J$4:$J$503,_calc!$E$441)))=0,"","Evidence: "&amp;IF(LEN(INDEX('Checklist'!$J$4:$J$503,_calc!$E$441))=0,"",INDEX('Checklist'!$J$4:$J$503,_calc!$E$441))&amp;". ")&amp;IF(LEN(IF(LEN(INDEX('Checklist'!$D$4:$D$503,_calc!$E$441))=0,"",INDEX('Checklist'!$D$4:$D$503,_calc!$E$441)))=0,"","Rule example: "&amp;IF(LEN(INDEX('Checklist'!$D$4:$D$503,_calc!$E$441))=0,"",INDEX('Checklist'!$D$4:$D$503,_calc!$E$441))&amp;". ")&amp;IF(LEN(IF(LEN(INDEX('Checklist'!$P$4:$P$503,_calc!$E$441))=0,"",INDEX('Checklist'!$P$4:$P$503,_calc!$E$441)))=0,"",IF(LEN(INDEX('Checklist'!$P$4:$P$503,_calc!$E$441))=0,"",INDEX('Checklist'!$P$4:$P$503,_calc!$E$441)))))</f>
        <v/>
      </c>
      <c r="K439" s="44">
        <f>IF(_calc!$E$441="","",IF(LEN(INDEX('Checklist'!$G$4:$G$503,_calc!$E$441))=0,"",INDEX('Checklist'!$G$4:$G$503,_calc!$E$441)))</f>
        <v/>
      </c>
    </row>
    <row r="440">
      <c r="A440" s="44">
        <f>IF(_calc!$E$442="","","Survey check – "&amp;IF(LEN(INDEX('Checklist'!$C$4:$C$503,_calc!$E$442))=0,"",INDEX('Checklist'!$C$4:$C$503,_calc!$E$442)))</f>
        <v/>
      </c>
      <c r="B440" s="44">
        <f>IF(_calc!$E$442="","",IF(ISNUMBER(INDEX('Checklist'!$L$4:$L$503,_calc!$E$442)),TEXT(INDEX('Checklist'!$L$4:$L$503,_calc!$E$442),"yyyy-mm-dd"),""))</f>
        <v/>
      </c>
      <c r="C440" s="44">
        <f>IF(_calc!$E$442="","","Survey readiness")</f>
        <v/>
      </c>
      <c r="D440" s="44">
        <f>IF(_calc!$E$442="","",IF(ISNUMBER(INDEX('Checklist'!$H$4:$H$503,_calc!$E$442)),TEXT(INDEX('Checklist'!$H$4:$H$503,_calc!$E$442),"yyyy-mm-dd"),""))</f>
        <v/>
      </c>
      <c r="F440" s="44">
        <f>IF(_calc!$E$442="","",TRIM(IF(LEN(IF(LEN(INDEX('Checklist'!$A$4:$A$503,_calc!$E$442))=0,"",INDEX('Checklist'!$A$4:$A$503,_calc!$E$442)))=0,"","Group: "&amp;IF(LEN(INDEX('Checklist'!$A$4:$A$503,_calc!$E$442))=0,"",INDEX('Checklist'!$A$4:$A$503,_calc!$E$442))&amp;". ")&amp;IF(LEN(IF(LEN(INDEX('Checklist'!$E$4:$E$503,_calc!$E$442))=0,"",INDEX('Checklist'!$E$4:$E$503,_calc!$E$442)))=0,"","Owner: "&amp;IF(LEN(INDEX('Checklist'!$E$4:$E$503,_calc!$E$442))=0,"",INDEX('Checklist'!$E$4:$E$503,_calc!$E$442))&amp;". ")&amp;IF(LEN(IF(LEN(INDEX('Checklist'!$F$4:$F$503,_calc!$E$442))=0,"",INDEX('Checklist'!$F$4:$F$503,_calc!$E$442)))=0,"","Backup: "&amp;IF(LEN(INDEX('Checklist'!$F$4:$F$503,_calc!$E$442))=0,"",INDEX('Checklist'!$F$4:$F$503,_calc!$E$442))&amp;". ")&amp;IF(LEN(IF(LEN(INDEX('Checklist'!$J$4:$J$503,_calc!$E$442))=0,"",INDEX('Checklist'!$J$4:$J$503,_calc!$E$442)))=0,"","Evidence: "&amp;IF(LEN(INDEX('Checklist'!$J$4:$J$503,_calc!$E$442))=0,"",INDEX('Checklist'!$J$4:$J$503,_calc!$E$442))&amp;". ")&amp;IF(LEN(IF(LEN(INDEX('Checklist'!$D$4:$D$503,_calc!$E$442))=0,"",INDEX('Checklist'!$D$4:$D$503,_calc!$E$442)))=0,"","Rule example: "&amp;IF(LEN(INDEX('Checklist'!$D$4:$D$503,_calc!$E$442))=0,"",INDEX('Checklist'!$D$4:$D$503,_calc!$E$442))&amp;". ")&amp;IF(LEN(IF(LEN(INDEX('Checklist'!$P$4:$P$503,_calc!$E$442))=0,"",INDEX('Checklist'!$P$4:$P$503,_calc!$E$442)))=0,"",IF(LEN(INDEX('Checklist'!$P$4:$P$503,_calc!$E$442))=0,"",INDEX('Checklist'!$P$4:$P$503,_calc!$E$442)))))</f>
        <v/>
      </c>
      <c r="K440" s="44">
        <f>IF(_calc!$E$442="","",IF(LEN(INDEX('Checklist'!$G$4:$G$503,_calc!$E$442))=0,"",INDEX('Checklist'!$G$4:$G$503,_calc!$E$442)))</f>
        <v/>
      </c>
    </row>
    <row r="441">
      <c r="A441" s="44">
        <f>IF(_calc!$E$443="","","Survey check – "&amp;IF(LEN(INDEX('Checklist'!$C$4:$C$503,_calc!$E$443))=0,"",INDEX('Checklist'!$C$4:$C$503,_calc!$E$443)))</f>
        <v/>
      </c>
      <c r="B441" s="44">
        <f>IF(_calc!$E$443="","",IF(ISNUMBER(INDEX('Checklist'!$L$4:$L$503,_calc!$E$443)),TEXT(INDEX('Checklist'!$L$4:$L$503,_calc!$E$443),"yyyy-mm-dd"),""))</f>
        <v/>
      </c>
      <c r="C441" s="44">
        <f>IF(_calc!$E$443="","","Survey readiness")</f>
        <v/>
      </c>
      <c r="D441" s="44">
        <f>IF(_calc!$E$443="","",IF(ISNUMBER(INDEX('Checklist'!$H$4:$H$503,_calc!$E$443)),TEXT(INDEX('Checklist'!$H$4:$H$503,_calc!$E$443),"yyyy-mm-dd"),""))</f>
        <v/>
      </c>
      <c r="F441" s="44">
        <f>IF(_calc!$E$443="","",TRIM(IF(LEN(IF(LEN(INDEX('Checklist'!$A$4:$A$503,_calc!$E$443))=0,"",INDEX('Checklist'!$A$4:$A$503,_calc!$E$443)))=0,"","Group: "&amp;IF(LEN(INDEX('Checklist'!$A$4:$A$503,_calc!$E$443))=0,"",INDEX('Checklist'!$A$4:$A$503,_calc!$E$443))&amp;". ")&amp;IF(LEN(IF(LEN(INDEX('Checklist'!$E$4:$E$503,_calc!$E$443))=0,"",INDEX('Checklist'!$E$4:$E$503,_calc!$E$443)))=0,"","Owner: "&amp;IF(LEN(INDEX('Checklist'!$E$4:$E$503,_calc!$E$443))=0,"",INDEX('Checklist'!$E$4:$E$503,_calc!$E$443))&amp;". ")&amp;IF(LEN(IF(LEN(INDEX('Checklist'!$F$4:$F$503,_calc!$E$443))=0,"",INDEX('Checklist'!$F$4:$F$503,_calc!$E$443)))=0,"","Backup: "&amp;IF(LEN(INDEX('Checklist'!$F$4:$F$503,_calc!$E$443))=0,"",INDEX('Checklist'!$F$4:$F$503,_calc!$E$443))&amp;". ")&amp;IF(LEN(IF(LEN(INDEX('Checklist'!$J$4:$J$503,_calc!$E$443))=0,"",INDEX('Checklist'!$J$4:$J$503,_calc!$E$443)))=0,"","Evidence: "&amp;IF(LEN(INDEX('Checklist'!$J$4:$J$503,_calc!$E$443))=0,"",INDEX('Checklist'!$J$4:$J$503,_calc!$E$443))&amp;". ")&amp;IF(LEN(IF(LEN(INDEX('Checklist'!$D$4:$D$503,_calc!$E$443))=0,"",INDEX('Checklist'!$D$4:$D$503,_calc!$E$443)))=0,"","Rule example: "&amp;IF(LEN(INDEX('Checklist'!$D$4:$D$503,_calc!$E$443))=0,"",INDEX('Checklist'!$D$4:$D$503,_calc!$E$443))&amp;". ")&amp;IF(LEN(IF(LEN(INDEX('Checklist'!$P$4:$P$503,_calc!$E$443))=0,"",INDEX('Checklist'!$P$4:$P$503,_calc!$E$443)))=0,"",IF(LEN(INDEX('Checklist'!$P$4:$P$503,_calc!$E$443))=0,"",INDEX('Checklist'!$P$4:$P$503,_calc!$E$443)))))</f>
        <v/>
      </c>
      <c r="K441" s="44">
        <f>IF(_calc!$E$443="","",IF(LEN(INDEX('Checklist'!$G$4:$G$503,_calc!$E$443))=0,"",INDEX('Checklist'!$G$4:$G$503,_calc!$E$443)))</f>
        <v/>
      </c>
    </row>
    <row r="442">
      <c r="A442" s="44">
        <f>IF(_calc!$E$444="","","Survey check – "&amp;IF(LEN(INDEX('Checklist'!$C$4:$C$503,_calc!$E$444))=0,"",INDEX('Checklist'!$C$4:$C$503,_calc!$E$444)))</f>
        <v/>
      </c>
      <c r="B442" s="44">
        <f>IF(_calc!$E$444="","",IF(ISNUMBER(INDEX('Checklist'!$L$4:$L$503,_calc!$E$444)),TEXT(INDEX('Checklist'!$L$4:$L$503,_calc!$E$444),"yyyy-mm-dd"),""))</f>
        <v/>
      </c>
      <c r="C442" s="44">
        <f>IF(_calc!$E$444="","","Survey readiness")</f>
        <v/>
      </c>
      <c r="D442" s="44">
        <f>IF(_calc!$E$444="","",IF(ISNUMBER(INDEX('Checklist'!$H$4:$H$503,_calc!$E$444)),TEXT(INDEX('Checklist'!$H$4:$H$503,_calc!$E$444),"yyyy-mm-dd"),""))</f>
        <v/>
      </c>
      <c r="F442" s="44">
        <f>IF(_calc!$E$444="","",TRIM(IF(LEN(IF(LEN(INDEX('Checklist'!$A$4:$A$503,_calc!$E$444))=0,"",INDEX('Checklist'!$A$4:$A$503,_calc!$E$444)))=0,"","Group: "&amp;IF(LEN(INDEX('Checklist'!$A$4:$A$503,_calc!$E$444))=0,"",INDEX('Checklist'!$A$4:$A$503,_calc!$E$444))&amp;". ")&amp;IF(LEN(IF(LEN(INDEX('Checklist'!$E$4:$E$503,_calc!$E$444))=0,"",INDEX('Checklist'!$E$4:$E$503,_calc!$E$444)))=0,"","Owner: "&amp;IF(LEN(INDEX('Checklist'!$E$4:$E$503,_calc!$E$444))=0,"",INDEX('Checklist'!$E$4:$E$503,_calc!$E$444))&amp;". ")&amp;IF(LEN(IF(LEN(INDEX('Checklist'!$F$4:$F$503,_calc!$E$444))=0,"",INDEX('Checklist'!$F$4:$F$503,_calc!$E$444)))=0,"","Backup: "&amp;IF(LEN(INDEX('Checklist'!$F$4:$F$503,_calc!$E$444))=0,"",INDEX('Checklist'!$F$4:$F$503,_calc!$E$444))&amp;". ")&amp;IF(LEN(IF(LEN(INDEX('Checklist'!$J$4:$J$503,_calc!$E$444))=0,"",INDEX('Checklist'!$J$4:$J$503,_calc!$E$444)))=0,"","Evidence: "&amp;IF(LEN(INDEX('Checklist'!$J$4:$J$503,_calc!$E$444))=0,"",INDEX('Checklist'!$J$4:$J$503,_calc!$E$444))&amp;". ")&amp;IF(LEN(IF(LEN(INDEX('Checklist'!$D$4:$D$503,_calc!$E$444))=0,"",INDEX('Checklist'!$D$4:$D$503,_calc!$E$444)))=0,"","Rule example: "&amp;IF(LEN(INDEX('Checklist'!$D$4:$D$503,_calc!$E$444))=0,"",INDEX('Checklist'!$D$4:$D$503,_calc!$E$444))&amp;". ")&amp;IF(LEN(IF(LEN(INDEX('Checklist'!$P$4:$P$503,_calc!$E$444))=0,"",INDEX('Checklist'!$P$4:$P$503,_calc!$E$444)))=0,"",IF(LEN(INDEX('Checklist'!$P$4:$P$503,_calc!$E$444))=0,"",INDEX('Checklist'!$P$4:$P$503,_calc!$E$444)))))</f>
        <v/>
      </c>
      <c r="K442" s="44">
        <f>IF(_calc!$E$444="","",IF(LEN(INDEX('Checklist'!$G$4:$G$503,_calc!$E$444))=0,"",INDEX('Checklist'!$G$4:$G$503,_calc!$E$444)))</f>
        <v/>
      </c>
    </row>
    <row r="443">
      <c r="A443" s="44">
        <f>IF(_calc!$E$445="","","Survey check – "&amp;IF(LEN(INDEX('Checklist'!$C$4:$C$503,_calc!$E$445))=0,"",INDEX('Checklist'!$C$4:$C$503,_calc!$E$445)))</f>
        <v/>
      </c>
      <c r="B443" s="44">
        <f>IF(_calc!$E$445="","",IF(ISNUMBER(INDEX('Checklist'!$L$4:$L$503,_calc!$E$445)),TEXT(INDEX('Checklist'!$L$4:$L$503,_calc!$E$445),"yyyy-mm-dd"),""))</f>
        <v/>
      </c>
      <c r="C443" s="44">
        <f>IF(_calc!$E$445="","","Survey readiness")</f>
        <v/>
      </c>
      <c r="D443" s="44">
        <f>IF(_calc!$E$445="","",IF(ISNUMBER(INDEX('Checklist'!$H$4:$H$503,_calc!$E$445)),TEXT(INDEX('Checklist'!$H$4:$H$503,_calc!$E$445),"yyyy-mm-dd"),""))</f>
        <v/>
      </c>
      <c r="F443" s="44">
        <f>IF(_calc!$E$445="","",TRIM(IF(LEN(IF(LEN(INDEX('Checklist'!$A$4:$A$503,_calc!$E$445))=0,"",INDEX('Checklist'!$A$4:$A$503,_calc!$E$445)))=0,"","Group: "&amp;IF(LEN(INDEX('Checklist'!$A$4:$A$503,_calc!$E$445))=0,"",INDEX('Checklist'!$A$4:$A$503,_calc!$E$445))&amp;". ")&amp;IF(LEN(IF(LEN(INDEX('Checklist'!$E$4:$E$503,_calc!$E$445))=0,"",INDEX('Checklist'!$E$4:$E$503,_calc!$E$445)))=0,"","Owner: "&amp;IF(LEN(INDEX('Checklist'!$E$4:$E$503,_calc!$E$445))=0,"",INDEX('Checklist'!$E$4:$E$503,_calc!$E$445))&amp;". ")&amp;IF(LEN(IF(LEN(INDEX('Checklist'!$F$4:$F$503,_calc!$E$445))=0,"",INDEX('Checklist'!$F$4:$F$503,_calc!$E$445)))=0,"","Backup: "&amp;IF(LEN(INDEX('Checklist'!$F$4:$F$503,_calc!$E$445))=0,"",INDEX('Checklist'!$F$4:$F$503,_calc!$E$445))&amp;". ")&amp;IF(LEN(IF(LEN(INDEX('Checklist'!$J$4:$J$503,_calc!$E$445))=0,"",INDEX('Checklist'!$J$4:$J$503,_calc!$E$445)))=0,"","Evidence: "&amp;IF(LEN(INDEX('Checklist'!$J$4:$J$503,_calc!$E$445))=0,"",INDEX('Checklist'!$J$4:$J$503,_calc!$E$445))&amp;". ")&amp;IF(LEN(IF(LEN(INDEX('Checklist'!$D$4:$D$503,_calc!$E$445))=0,"",INDEX('Checklist'!$D$4:$D$503,_calc!$E$445)))=0,"","Rule example: "&amp;IF(LEN(INDEX('Checklist'!$D$4:$D$503,_calc!$E$445))=0,"",INDEX('Checklist'!$D$4:$D$503,_calc!$E$445))&amp;". ")&amp;IF(LEN(IF(LEN(INDEX('Checklist'!$P$4:$P$503,_calc!$E$445))=0,"",INDEX('Checklist'!$P$4:$P$503,_calc!$E$445)))=0,"",IF(LEN(INDEX('Checklist'!$P$4:$P$503,_calc!$E$445))=0,"",INDEX('Checklist'!$P$4:$P$503,_calc!$E$445)))))</f>
        <v/>
      </c>
      <c r="K443" s="44">
        <f>IF(_calc!$E$445="","",IF(LEN(INDEX('Checklist'!$G$4:$G$503,_calc!$E$445))=0,"",INDEX('Checklist'!$G$4:$G$503,_calc!$E$445)))</f>
        <v/>
      </c>
    </row>
    <row r="444">
      <c r="A444" s="44">
        <f>IF(_calc!$E$446="","","Survey check – "&amp;IF(LEN(INDEX('Checklist'!$C$4:$C$503,_calc!$E$446))=0,"",INDEX('Checklist'!$C$4:$C$503,_calc!$E$446)))</f>
        <v/>
      </c>
      <c r="B444" s="44">
        <f>IF(_calc!$E$446="","",IF(ISNUMBER(INDEX('Checklist'!$L$4:$L$503,_calc!$E$446)),TEXT(INDEX('Checklist'!$L$4:$L$503,_calc!$E$446),"yyyy-mm-dd"),""))</f>
        <v/>
      </c>
      <c r="C444" s="44">
        <f>IF(_calc!$E$446="","","Survey readiness")</f>
        <v/>
      </c>
      <c r="D444" s="44">
        <f>IF(_calc!$E$446="","",IF(ISNUMBER(INDEX('Checklist'!$H$4:$H$503,_calc!$E$446)),TEXT(INDEX('Checklist'!$H$4:$H$503,_calc!$E$446),"yyyy-mm-dd"),""))</f>
        <v/>
      </c>
      <c r="F444" s="44">
        <f>IF(_calc!$E$446="","",TRIM(IF(LEN(IF(LEN(INDEX('Checklist'!$A$4:$A$503,_calc!$E$446))=0,"",INDEX('Checklist'!$A$4:$A$503,_calc!$E$446)))=0,"","Group: "&amp;IF(LEN(INDEX('Checklist'!$A$4:$A$503,_calc!$E$446))=0,"",INDEX('Checklist'!$A$4:$A$503,_calc!$E$446))&amp;". ")&amp;IF(LEN(IF(LEN(INDEX('Checklist'!$E$4:$E$503,_calc!$E$446))=0,"",INDEX('Checklist'!$E$4:$E$503,_calc!$E$446)))=0,"","Owner: "&amp;IF(LEN(INDEX('Checklist'!$E$4:$E$503,_calc!$E$446))=0,"",INDEX('Checklist'!$E$4:$E$503,_calc!$E$446))&amp;". ")&amp;IF(LEN(IF(LEN(INDEX('Checklist'!$F$4:$F$503,_calc!$E$446))=0,"",INDEX('Checklist'!$F$4:$F$503,_calc!$E$446)))=0,"","Backup: "&amp;IF(LEN(INDEX('Checklist'!$F$4:$F$503,_calc!$E$446))=0,"",INDEX('Checklist'!$F$4:$F$503,_calc!$E$446))&amp;". ")&amp;IF(LEN(IF(LEN(INDEX('Checklist'!$J$4:$J$503,_calc!$E$446))=0,"",INDEX('Checklist'!$J$4:$J$503,_calc!$E$446)))=0,"","Evidence: "&amp;IF(LEN(INDEX('Checklist'!$J$4:$J$503,_calc!$E$446))=0,"",INDEX('Checklist'!$J$4:$J$503,_calc!$E$446))&amp;". ")&amp;IF(LEN(IF(LEN(INDEX('Checklist'!$D$4:$D$503,_calc!$E$446))=0,"",INDEX('Checklist'!$D$4:$D$503,_calc!$E$446)))=0,"","Rule example: "&amp;IF(LEN(INDEX('Checklist'!$D$4:$D$503,_calc!$E$446))=0,"",INDEX('Checklist'!$D$4:$D$503,_calc!$E$446))&amp;". ")&amp;IF(LEN(IF(LEN(INDEX('Checklist'!$P$4:$P$503,_calc!$E$446))=0,"",INDEX('Checklist'!$P$4:$P$503,_calc!$E$446)))=0,"",IF(LEN(INDEX('Checklist'!$P$4:$P$503,_calc!$E$446))=0,"",INDEX('Checklist'!$P$4:$P$503,_calc!$E$446)))))</f>
        <v/>
      </c>
      <c r="K444" s="44">
        <f>IF(_calc!$E$446="","",IF(LEN(INDEX('Checklist'!$G$4:$G$503,_calc!$E$446))=0,"",INDEX('Checklist'!$G$4:$G$503,_calc!$E$446)))</f>
        <v/>
      </c>
    </row>
    <row r="445">
      <c r="A445" s="44">
        <f>IF(_calc!$E$447="","","Survey check – "&amp;IF(LEN(INDEX('Checklist'!$C$4:$C$503,_calc!$E$447))=0,"",INDEX('Checklist'!$C$4:$C$503,_calc!$E$447)))</f>
        <v/>
      </c>
      <c r="B445" s="44">
        <f>IF(_calc!$E$447="","",IF(ISNUMBER(INDEX('Checklist'!$L$4:$L$503,_calc!$E$447)),TEXT(INDEX('Checklist'!$L$4:$L$503,_calc!$E$447),"yyyy-mm-dd"),""))</f>
        <v/>
      </c>
      <c r="C445" s="44">
        <f>IF(_calc!$E$447="","","Survey readiness")</f>
        <v/>
      </c>
      <c r="D445" s="44">
        <f>IF(_calc!$E$447="","",IF(ISNUMBER(INDEX('Checklist'!$H$4:$H$503,_calc!$E$447)),TEXT(INDEX('Checklist'!$H$4:$H$503,_calc!$E$447),"yyyy-mm-dd"),""))</f>
        <v/>
      </c>
      <c r="F445" s="44">
        <f>IF(_calc!$E$447="","",TRIM(IF(LEN(IF(LEN(INDEX('Checklist'!$A$4:$A$503,_calc!$E$447))=0,"",INDEX('Checklist'!$A$4:$A$503,_calc!$E$447)))=0,"","Group: "&amp;IF(LEN(INDEX('Checklist'!$A$4:$A$503,_calc!$E$447))=0,"",INDEX('Checklist'!$A$4:$A$503,_calc!$E$447))&amp;". ")&amp;IF(LEN(IF(LEN(INDEX('Checklist'!$E$4:$E$503,_calc!$E$447))=0,"",INDEX('Checklist'!$E$4:$E$503,_calc!$E$447)))=0,"","Owner: "&amp;IF(LEN(INDEX('Checklist'!$E$4:$E$503,_calc!$E$447))=0,"",INDEX('Checklist'!$E$4:$E$503,_calc!$E$447))&amp;". ")&amp;IF(LEN(IF(LEN(INDEX('Checklist'!$F$4:$F$503,_calc!$E$447))=0,"",INDEX('Checklist'!$F$4:$F$503,_calc!$E$447)))=0,"","Backup: "&amp;IF(LEN(INDEX('Checklist'!$F$4:$F$503,_calc!$E$447))=0,"",INDEX('Checklist'!$F$4:$F$503,_calc!$E$447))&amp;". ")&amp;IF(LEN(IF(LEN(INDEX('Checklist'!$J$4:$J$503,_calc!$E$447))=0,"",INDEX('Checklist'!$J$4:$J$503,_calc!$E$447)))=0,"","Evidence: "&amp;IF(LEN(INDEX('Checklist'!$J$4:$J$503,_calc!$E$447))=0,"",INDEX('Checklist'!$J$4:$J$503,_calc!$E$447))&amp;". ")&amp;IF(LEN(IF(LEN(INDEX('Checklist'!$D$4:$D$503,_calc!$E$447))=0,"",INDEX('Checklist'!$D$4:$D$503,_calc!$E$447)))=0,"","Rule example: "&amp;IF(LEN(INDEX('Checklist'!$D$4:$D$503,_calc!$E$447))=0,"",INDEX('Checklist'!$D$4:$D$503,_calc!$E$447))&amp;". ")&amp;IF(LEN(IF(LEN(INDEX('Checklist'!$P$4:$P$503,_calc!$E$447))=0,"",INDEX('Checklist'!$P$4:$P$503,_calc!$E$447)))=0,"",IF(LEN(INDEX('Checklist'!$P$4:$P$503,_calc!$E$447))=0,"",INDEX('Checklist'!$P$4:$P$503,_calc!$E$447)))))</f>
        <v/>
      </c>
      <c r="K445" s="44">
        <f>IF(_calc!$E$447="","",IF(LEN(INDEX('Checklist'!$G$4:$G$503,_calc!$E$447))=0,"",INDEX('Checklist'!$G$4:$G$503,_calc!$E$447)))</f>
        <v/>
      </c>
    </row>
    <row r="446">
      <c r="A446" s="44">
        <f>IF(_calc!$E$448="","","Survey check – "&amp;IF(LEN(INDEX('Checklist'!$C$4:$C$503,_calc!$E$448))=0,"",INDEX('Checklist'!$C$4:$C$503,_calc!$E$448)))</f>
        <v/>
      </c>
      <c r="B446" s="44">
        <f>IF(_calc!$E$448="","",IF(ISNUMBER(INDEX('Checklist'!$L$4:$L$503,_calc!$E$448)),TEXT(INDEX('Checklist'!$L$4:$L$503,_calc!$E$448),"yyyy-mm-dd"),""))</f>
        <v/>
      </c>
      <c r="C446" s="44">
        <f>IF(_calc!$E$448="","","Survey readiness")</f>
        <v/>
      </c>
      <c r="D446" s="44">
        <f>IF(_calc!$E$448="","",IF(ISNUMBER(INDEX('Checklist'!$H$4:$H$503,_calc!$E$448)),TEXT(INDEX('Checklist'!$H$4:$H$503,_calc!$E$448),"yyyy-mm-dd"),""))</f>
        <v/>
      </c>
      <c r="F446" s="44">
        <f>IF(_calc!$E$448="","",TRIM(IF(LEN(IF(LEN(INDEX('Checklist'!$A$4:$A$503,_calc!$E$448))=0,"",INDEX('Checklist'!$A$4:$A$503,_calc!$E$448)))=0,"","Group: "&amp;IF(LEN(INDEX('Checklist'!$A$4:$A$503,_calc!$E$448))=0,"",INDEX('Checklist'!$A$4:$A$503,_calc!$E$448))&amp;". ")&amp;IF(LEN(IF(LEN(INDEX('Checklist'!$E$4:$E$503,_calc!$E$448))=0,"",INDEX('Checklist'!$E$4:$E$503,_calc!$E$448)))=0,"","Owner: "&amp;IF(LEN(INDEX('Checklist'!$E$4:$E$503,_calc!$E$448))=0,"",INDEX('Checklist'!$E$4:$E$503,_calc!$E$448))&amp;". ")&amp;IF(LEN(IF(LEN(INDEX('Checklist'!$F$4:$F$503,_calc!$E$448))=0,"",INDEX('Checklist'!$F$4:$F$503,_calc!$E$448)))=0,"","Backup: "&amp;IF(LEN(INDEX('Checklist'!$F$4:$F$503,_calc!$E$448))=0,"",INDEX('Checklist'!$F$4:$F$503,_calc!$E$448))&amp;". ")&amp;IF(LEN(IF(LEN(INDEX('Checklist'!$J$4:$J$503,_calc!$E$448))=0,"",INDEX('Checklist'!$J$4:$J$503,_calc!$E$448)))=0,"","Evidence: "&amp;IF(LEN(INDEX('Checklist'!$J$4:$J$503,_calc!$E$448))=0,"",INDEX('Checklist'!$J$4:$J$503,_calc!$E$448))&amp;". ")&amp;IF(LEN(IF(LEN(INDEX('Checklist'!$D$4:$D$503,_calc!$E$448))=0,"",INDEX('Checklist'!$D$4:$D$503,_calc!$E$448)))=0,"","Rule example: "&amp;IF(LEN(INDEX('Checklist'!$D$4:$D$503,_calc!$E$448))=0,"",INDEX('Checklist'!$D$4:$D$503,_calc!$E$448))&amp;". ")&amp;IF(LEN(IF(LEN(INDEX('Checklist'!$P$4:$P$503,_calc!$E$448))=0,"",INDEX('Checklist'!$P$4:$P$503,_calc!$E$448)))=0,"",IF(LEN(INDEX('Checklist'!$P$4:$P$503,_calc!$E$448))=0,"",INDEX('Checklist'!$P$4:$P$503,_calc!$E$448)))))</f>
        <v/>
      </c>
      <c r="K446" s="44">
        <f>IF(_calc!$E$448="","",IF(LEN(INDEX('Checklist'!$G$4:$G$503,_calc!$E$448))=0,"",INDEX('Checklist'!$G$4:$G$503,_calc!$E$448)))</f>
        <v/>
      </c>
    </row>
    <row r="447">
      <c r="A447" s="44">
        <f>IF(_calc!$E$449="","","Survey check – "&amp;IF(LEN(INDEX('Checklist'!$C$4:$C$503,_calc!$E$449))=0,"",INDEX('Checklist'!$C$4:$C$503,_calc!$E$449)))</f>
        <v/>
      </c>
      <c r="B447" s="44">
        <f>IF(_calc!$E$449="","",IF(ISNUMBER(INDEX('Checklist'!$L$4:$L$503,_calc!$E$449)),TEXT(INDEX('Checklist'!$L$4:$L$503,_calc!$E$449),"yyyy-mm-dd"),""))</f>
        <v/>
      </c>
      <c r="C447" s="44">
        <f>IF(_calc!$E$449="","","Survey readiness")</f>
        <v/>
      </c>
      <c r="D447" s="44">
        <f>IF(_calc!$E$449="","",IF(ISNUMBER(INDEX('Checklist'!$H$4:$H$503,_calc!$E$449)),TEXT(INDEX('Checklist'!$H$4:$H$503,_calc!$E$449),"yyyy-mm-dd"),""))</f>
        <v/>
      </c>
      <c r="F447" s="44">
        <f>IF(_calc!$E$449="","",TRIM(IF(LEN(IF(LEN(INDEX('Checklist'!$A$4:$A$503,_calc!$E$449))=0,"",INDEX('Checklist'!$A$4:$A$503,_calc!$E$449)))=0,"","Group: "&amp;IF(LEN(INDEX('Checklist'!$A$4:$A$503,_calc!$E$449))=0,"",INDEX('Checklist'!$A$4:$A$503,_calc!$E$449))&amp;". ")&amp;IF(LEN(IF(LEN(INDEX('Checklist'!$E$4:$E$503,_calc!$E$449))=0,"",INDEX('Checklist'!$E$4:$E$503,_calc!$E$449)))=0,"","Owner: "&amp;IF(LEN(INDEX('Checklist'!$E$4:$E$503,_calc!$E$449))=0,"",INDEX('Checklist'!$E$4:$E$503,_calc!$E$449))&amp;". ")&amp;IF(LEN(IF(LEN(INDEX('Checklist'!$F$4:$F$503,_calc!$E$449))=0,"",INDEX('Checklist'!$F$4:$F$503,_calc!$E$449)))=0,"","Backup: "&amp;IF(LEN(INDEX('Checklist'!$F$4:$F$503,_calc!$E$449))=0,"",INDEX('Checklist'!$F$4:$F$503,_calc!$E$449))&amp;". ")&amp;IF(LEN(IF(LEN(INDEX('Checklist'!$J$4:$J$503,_calc!$E$449))=0,"",INDEX('Checklist'!$J$4:$J$503,_calc!$E$449)))=0,"","Evidence: "&amp;IF(LEN(INDEX('Checklist'!$J$4:$J$503,_calc!$E$449))=0,"",INDEX('Checklist'!$J$4:$J$503,_calc!$E$449))&amp;". ")&amp;IF(LEN(IF(LEN(INDEX('Checklist'!$D$4:$D$503,_calc!$E$449))=0,"",INDEX('Checklist'!$D$4:$D$503,_calc!$E$449)))=0,"","Rule example: "&amp;IF(LEN(INDEX('Checklist'!$D$4:$D$503,_calc!$E$449))=0,"",INDEX('Checklist'!$D$4:$D$503,_calc!$E$449))&amp;". ")&amp;IF(LEN(IF(LEN(INDEX('Checklist'!$P$4:$P$503,_calc!$E$449))=0,"",INDEX('Checklist'!$P$4:$P$503,_calc!$E$449)))=0,"",IF(LEN(INDEX('Checklist'!$P$4:$P$503,_calc!$E$449))=0,"",INDEX('Checklist'!$P$4:$P$503,_calc!$E$449)))))</f>
        <v/>
      </c>
      <c r="K447" s="44">
        <f>IF(_calc!$E$449="","",IF(LEN(INDEX('Checklist'!$G$4:$G$503,_calc!$E$449))=0,"",INDEX('Checklist'!$G$4:$G$503,_calc!$E$449)))</f>
        <v/>
      </c>
    </row>
    <row r="448">
      <c r="A448" s="44">
        <f>IF(_calc!$E$450="","","Survey check – "&amp;IF(LEN(INDEX('Checklist'!$C$4:$C$503,_calc!$E$450))=0,"",INDEX('Checklist'!$C$4:$C$503,_calc!$E$450)))</f>
        <v/>
      </c>
      <c r="B448" s="44">
        <f>IF(_calc!$E$450="","",IF(ISNUMBER(INDEX('Checklist'!$L$4:$L$503,_calc!$E$450)),TEXT(INDEX('Checklist'!$L$4:$L$503,_calc!$E$450),"yyyy-mm-dd"),""))</f>
        <v/>
      </c>
      <c r="C448" s="44">
        <f>IF(_calc!$E$450="","","Survey readiness")</f>
        <v/>
      </c>
      <c r="D448" s="44">
        <f>IF(_calc!$E$450="","",IF(ISNUMBER(INDEX('Checklist'!$H$4:$H$503,_calc!$E$450)),TEXT(INDEX('Checklist'!$H$4:$H$503,_calc!$E$450),"yyyy-mm-dd"),""))</f>
        <v/>
      </c>
      <c r="F448" s="44">
        <f>IF(_calc!$E$450="","",TRIM(IF(LEN(IF(LEN(INDEX('Checklist'!$A$4:$A$503,_calc!$E$450))=0,"",INDEX('Checklist'!$A$4:$A$503,_calc!$E$450)))=0,"","Group: "&amp;IF(LEN(INDEX('Checklist'!$A$4:$A$503,_calc!$E$450))=0,"",INDEX('Checklist'!$A$4:$A$503,_calc!$E$450))&amp;". ")&amp;IF(LEN(IF(LEN(INDEX('Checklist'!$E$4:$E$503,_calc!$E$450))=0,"",INDEX('Checklist'!$E$4:$E$503,_calc!$E$450)))=0,"","Owner: "&amp;IF(LEN(INDEX('Checklist'!$E$4:$E$503,_calc!$E$450))=0,"",INDEX('Checklist'!$E$4:$E$503,_calc!$E$450))&amp;". ")&amp;IF(LEN(IF(LEN(INDEX('Checklist'!$F$4:$F$503,_calc!$E$450))=0,"",INDEX('Checklist'!$F$4:$F$503,_calc!$E$450)))=0,"","Backup: "&amp;IF(LEN(INDEX('Checklist'!$F$4:$F$503,_calc!$E$450))=0,"",INDEX('Checklist'!$F$4:$F$503,_calc!$E$450))&amp;". ")&amp;IF(LEN(IF(LEN(INDEX('Checklist'!$J$4:$J$503,_calc!$E$450))=0,"",INDEX('Checklist'!$J$4:$J$503,_calc!$E$450)))=0,"","Evidence: "&amp;IF(LEN(INDEX('Checklist'!$J$4:$J$503,_calc!$E$450))=0,"",INDEX('Checklist'!$J$4:$J$503,_calc!$E$450))&amp;". ")&amp;IF(LEN(IF(LEN(INDEX('Checklist'!$D$4:$D$503,_calc!$E$450))=0,"",INDEX('Checklist'!$D$4:$D$503,_calc!$E$450)))=0,"","Rule example: "&amp;IF(LEN(INDEX('Checklist'!$D$4:$D$503,_calc!$E$450))=0,"",INDEX('Checklist'!$D$4:$D$503,_calc!$E$450))&amp;". ")&amp;IF(LEN(IF(LEN(INDEX('Checklist'!$P$4:$P$503,_calc!$E$450))=0,"",INDEX('Checklist'!$P$4:$P$503,_calc!$E$450)))=0,"",IF(LEN(INDEX('Checklist'!$P$4:$P$503,_calc!$E$450))=0,"",INDEX('Checklist'!$P$4:$P$503,_calc!$E$450)))))</f>
        <v/>
      </c>
      <c r="K448" s="44">
        <f>IF(_calc!$E$450="","",IF(LEN(INDEX('Checklist'!$G$4:$G$503,_calc!$E$450))=0,"",INDEX('Checklist'!$G$4:$G$503,_calc!$E$450)))</f>
        <v/>
      </c>
    </row>
    <row r="449">
      <c r="A449" s="44">
        <f>IF(_calc!$E$451="","","Survey check – "&amp;IF(LEN(INDEX('Checklist'!$C$4:$C$503,_calc!$E$451))=0,"",INDEX('Checklist'!$C$4:$C$503,_calc!$E$451)))</f>
        <v/>
      </c>
      <c r="B449" s="44">
        <f>IF(_calc!$E$451="","",IF(ISNUMBER(INDEX('Checklist'!$L$4:$L$503,_calc!$E$451)),TEXT(INDEX('Checklist'!$L$4:$L$503,_calc!$E$451),"yyyy-mm-dd"),""))</f>
        <v/>
      </c>
      <c r="C449" s="44">
        <f>IF(_calc!$E$451="","","Survey readiness")</f>
        <v/>
      </c>
      <c r="D449" s="44">
        <f>IF(_calc!$E$451="","",IF(ISNUMBER(INDEX('Checklist'!$H$4:$H$503,_calc!$E$451)),TEXT(INDEX('Checklist'!$H$4:$H$503,_calc!$E$451),"yyyy-mm-dd"),""))</f>
        <v/>
      </c>
      <c r="F449" s="44">
        <f>IF(_calc!$E$451="","",TRIM(IF(LEN(IF(LEN(INDEX('Checklist'!$A$4:$A$503,_calc!$E$451))=0,"",INDEX('Checklist'!$A$4:$A$503,_calc!$E$451)))=0,"","Group: "&amp;IF(LEN(INDEX('Checklist'!$A$4:$A$503,_calc!$E$451))=0,"",INDEX('Checklist'!$A$4:$A$503,_calc!$E$451))&amp;". ")&amp;IF(LEN(IF(LEN(INDEX('Checklist'!$E$4:$E$503,_calc!$E$451))=0,"",INDEX('Checklist'!$E$4:$E$503,_calc!$E$451)))=0,"","Owner: "&amp;IF(LEN(INDEX('Checklist'!$E$4:$E$503,_calc!$E$451))=0,"",INDEX('Checklist'!$E$4:$E$503,_calc!$E$451))&amp;". ")&amp;IF(LEN(IF(LEN(INDEX('Checklist'!$F$4:$F$503,_calc!$E$451))=0,"",INDEX('Checklist'!$F$4:$F$503,_calc!$E$451)))=0,"","Backup: "&amp;IF(LEN(INDEX('Checklist'!$F$4:$F$503,_calc!$E$451))=0,"",INDEX('Checklist'!$F$4:$F$503,_calc!$E$451))&amp;". ")&amp;IF(LEN(IF(LEN(INDEX('Checklist'!$J$4:$J$503,_calc!$E$451))=0,"",INDEX('Checklist'!$J$4:$J$503,_calc!$E$451)))=0,"","Evidence: "&amp;IF(LEN(INDEX('Checklist'!$J$4:$J$503,_calc!$E$451))=0,"",INDEX('Checklist'!$J$4:$J$503,_calc!$E$451))&amp;". ")&amp;IF(LEN(IF(LEN(INDEX('Checklist'!$D$4:$D$503,_calc!$E$451))=0,"",INDEX('Checklist'!$D$4:$D$503,_calc!$E$451)))=0,"","Rule example: "&amp;IF(LEN(INDEX('Checklist'!$D$4:$D$503,_calc!$E$451))=0,"",INDEX('Checklist'!$D$4:$D$503,_calc!$E$451))&amp;". ")&amp;IF(LEN(IF(LEN(INDEX('Checklist'!$P$4:$P$503,_calc!$E$451))=0,"",INDEX('Checklist'!$P$4:$P$503,_calc!$E$451)))=0,"",IF(LEN(INDEX('Checklist'!$P$4:$P$503,_calc!$E$451))=0,"",INDEX('Checklist'!$P$4:$P$503,_calc!$E$451)))))</f>
        <v/>
      </c>
      <c r="K449" s="44">
        <f>IF(_calc!$E$451="","",IF(LEN(INDEX('Checklist'!$G$4:$G$503,_calc!$E$451))=0,"",INDEX('Checklist'!$G$4:$G$503,_calc!$E$451)))</f>
        <v/>
      </c>
    </row>
    <row r="450">
      <c r="A450" s="44">
        <f>IF(_calc!$E$452="","","Survey check – "&amp;IF(LEN(INDEX('Checklist'!$C$4:$C$503,_calc!$E$452))=0,"",INDEX('Checklist'!$C$4:$C$503,_calc!$E$452)))</f>
        <v/>
      </c>
      <c r="B450" s="44">
        <f>IF(_calc!$E$452="","",IF(ISNUMBER(INDEX('Checklist'!$L$4:$L$503,_calc!$E$452)),TEXT(INDEX('Checklist'!$L$4:$L$503,_calc!$E$452),"yyyy-mm-dd"),""))</f>
        <v/>
      </c>
      <c r="C450" s="44">
        <f>IF(_calc!$E$452="","","Survey readiness")</f>
        <v/>
      </c>
      <c r="D450" s="44">
        <f>IF(_calc!$E$452="","",IF(ISNUMBER(INDEX('Checklist'!$H$4:$H$503,_calc!$E$452)),TEXT(INDEX('Checklist'!$H$4:$H$503,_calc!$E$452),"yyyy-mm-dd"),""))</f>
        <v/>
      </c>
      <c r="F450" s="44">
        <f>IF(_calc!$E$452="","",TRIM(IF(LEN(IF(LEN(INDEX('Checklist'!$A$4:$A$503,_calc!$E$452))=0,"",INDEX('Checklist'!$A$4:$A$503,_calc!$E$452)))=0,"","Group: "&amp;IF(LEN(INDEX('Checklist'!$A$4:$A$503,_calc!$E$452))=0,"",INDEX('Checklist'!$A$4:$A$503,_calc!$E$452))&amp;". ")&amp;IF(LEN(IF(LEN(INDEX('Checklist'!$E$4:$E$503,_calc!$E$452))=0,"",INDEX('Checklist'!$E$4:$E$503,_calc!$E$452)))=0,"","Owner: "&amp;IF(LEN(INDEX('Checklist'!$E$4:$E$503,_calc!$E$452))=0,"",INDEX('Checklist'!$E$4:$E$503,_calc!$E$452))&amp;". ")&amp;IF(LEN(IF(LEN(INDEX('Checklist'!$F$4:$F$503,_calc!$E$452))=0,"",INDEX('Checklist'!$F$4:$F$503,_calc!$E$452)))=0,"","Backup: "&amp;IF(LEN(INDEX('Checklist'!$F$4:$F$503,_calc!$E$452))=0,"",INDEX('Checklist'!$F$4:$F$503,_calc!$E$452))&amp;". ")&amp;IF(LEN(IF(LEN(INDEX('Checklist'!$J$4:$J$503,_calc!$E$452))=0,"",INDEX('Checklist'!$J$4:$J$503,_calc!$E$452)))=0,"","Evidence: "&amp;IF(LEN(INDEX('Checklist'!$J$4:$J$503,_calc!$E$452))=0,"",INDEX('Checklist'!$J$4:$J$503,_calc!$E$452))&amp;". ")&amp;IF(LEN(IF(LEN(INDEX('Checklist'!$D$4:$D$503,_calc!$E$452))=0,"",INDEX('Checklist'!$D$4:$D$503,_calc!$E$452)))=0,"","Rule example: "&amp;IF(LEN(INDEX('Checklist'!$D$4:$D$503,_calc!$E$452))=0,"",INDEX('Checklist'!$D$4:$D$503,_calc!$E$452))&amp;". ")&amp;IF(LEN(IF(LEN(INDEX('Checklist'!$P$4:$P$503,_calc!$E$452))=0,"",INDEX('Checklist'!$P$4:$P$503,_calc!$E$452)))=0,"",IF(LEN(INDEX('Checklist'!$P$4:$P$503,_calc!$E$452))=0,"",INDEX('Checklist'!$P$4:$P$503,_calc!$E$452)))))</f>
        <v/>
      </c>
      <c r="K450" s="44">
        <f>IF(_calc!$E$452="","",IF(LEN(INDEX('Checklist'!$G$4:$G$503,_calc!$E$452))=0,"",INDEX('Checklist'!$G$4:$G$503,_calc!$E$452)))</f>
        <v/>
      </c>
    </row>
    <row r="451">
      <c r="A451" s="44">
        <f>IF(_calc!$E$453="","","Survey check – "&amp;IF(LEN(INDEX('Checklist'!$C$4:$C$503,_calc!$E$453))=0,"",INDEX('Checklist'!$C$4:$C$503,_calc!$E$453)))</f>
        <v/>
      </c>
      <c r="B451" s="44">
        <f>IF(_calc!$E$453="","",IF(ISNUMBER(INDEX('Checklist'!$L$4:$L$503,_calc!$E$453)),TEXT(INDEX('Checklist'!$L$4:$L$503,_calc!$E$453),"yyyy-mm-dd"),""))</f>
        <v/>
      </c>
      <c r="C451" s="44">
        <f>IF(_calc!$E$453="","","Survey readiness")</f>
        <v/>
      </c>
      <c r="D451" s="44">
        <f>IF(_calc!$E$453="","",IF(ISNUMBER(INDEX('Checklist'!$H$4:$H$503,_calc!$E$453)),TEXT(INDEX('Checklist'!$H$4:$H$503,_calc!$E$453),"yyyy-mm-dd"),""))</f>
        <v/>
      </c>
      <c r="F451" s="44">
        <f>IF(_calc!$E$453="","",TRIM(IF(LEN(IF(LEN(INDEX('Checklist'!$A$4:$A$503,_calc!$E$453))=0,"",INDEX('Checklist'!$A$4:$A$503,_calc!$E$453)))=0,"","Group: "&amp;IF(LEN(INDEX('Checklist'!$A$4:$A$503,_calc!$E$453))=0,"",INDEX('Checklist'!$A$4:$A$503,_calc!$E$453))&amp;". ")&amp;IF(LEN(IF(LEN(INDEX('Checklist'!$E$4:$E$503,_calc!$E$453))=0,"",INDEX('Checklist'!$E$4:$E$503,_calc!$E$453)))=0,"","Owner: "&amp;IF(LEN(INDEX('Checklist'!$E$4:$E$503,_calc!$E$453))=0,"",INDEX('Checklist'!$E$4:$E$503,_calc!$E$453))&amp;". ")&amp;IF(LEN(IF(LEN(INDEX('Checklist'!$F$4:$F$503,_calc!$E$453))=0,"",INDEX('Checklist'!$F$4:$F$503,_calc!$E$453)))=0,"","Backup: "&amp;IF(LEN(INDEX('Checklist'!$F$4:$F$503,_calc!$E$453))=0,"",INDEX('Checklist'!$F$4:$F$503,_calc!$E$453))&amp;". ")&amp;IF(LEN(IF(LEN(INDEX('Checklist'!$J$4:$J$503,_calc!$E$453))=0,"",INDEX('Checklist'!$J$4:$J$503,_calc!$E$453)))=0,"","Evidence: "&amp;IF(LEN(INDEX('Checklist'!$J$4:$J$503,_calc!$E$453))=0,"",INDEX('Checklist'!$J$4:$J$503,_calc!$E$453))&amp;". ")&amp;IF(LEN(IF(LEN(INDEX('Checklist'!$D$4:$D$503,_calc!$E$453))=0,"",INDEX('Checklist'!$D$4:$D$503,_calc!$E$453)))=0,"","Rule example: "&amp;IF(LEN(INDEX('Checklist'!$D$4:$D$503,_calc!$E$453))=0,"",INDEX('Checklist'!$D$4:$D$503,_calc!$E$453))&amp;". ")&amp;IF(LEN(IF(LEN(INDEX('Checklist'!$P$4:$P$503,_calc!$E$453))=0,"",INDEX('Checklist'!$P$4:$P$503,_calc!$E$453)))=0,"",IF(LEN(INDEX('Checklist'!$P$4:$P$503,_calc!$E$453))=0,"",INDEX('Checklist'!$P$4:$P$503,_calc!$E$453)))))</f>
        <v/>
      </c>
      <c r="K451" s="44">
        <f>IF(_calc!$E$453="","",IF(LEN(INDEX('Checklist'!$G$4:$G$503,_calc!$E$453))=0,"",INDEX('Checklist'!$G$4:$G$503,_calc!$E$453)))</f>
        <v/>
      </c>
    </row>
    <row r="452">
      <c r="A452" s="44">
        <f>IF(_calc!$E$454="","","Survey check – "&amp;IF(LEN(INDEX('Checklist'!$C$4:$C$503,_calc!$E$454))=0,"",INDEX('Checklist'!$C$4:$C$503,_calc!$E$454)))</f>
        <v/>
      </c>
      <c r="B452" s="44">
        <f>IF(_calc!$E$454="","",IF(ISNUMBER(INDEX('Checklist'!$L$4:$L$503,_calc!$E$454)),TEXT(INDEX('Checklist'!$L$4:$L$503,_calc!$E$454),"yyyy-mm-dd"),""))</f>
        <v/>
      </c>
      <c r="C452" s="44">
        <f>IF(_calc!$E$454="","","Survey readiness")</f>
        <v/>
      </c>
      <c r="D452" s="44">
        <f>IF(_calc!$E$454="","",IF(ISNUMBER(INDEX('Checklist'!$H$4:$H$503,_calc!$E$454)),TEXT(INDEX('Checklist'!$H$4:$H$503,_calc!$E$454),"yyyy-mm-dd"),""))</f>
        <v/>
      </c>
      <c r="F452" s="44">
        <f>IF(_calc!$E$454="","",TRIM(IF(LEN(IF(LEN(INDEX('Checklist'!$A$4:$A$503,_calc!$E$454))=0,"",INDEX('Checklist'!$A$4:$A$503,_calc!$E$454)))=0,"","Group: "&amp;IF(LEN(INDEX('Checklist'!$A$4:$A$503,_calc!$E$454))=0,"",INDEX('Checklist'!$A$4:$A$503,_calc!$E$454))&amp;". ")&amp;IF(LEN(IF(LEN(INDEX('Checklist'!$E$4:$E$503,_calc!$E$454))=0,"",INDEX('Checklist'!$E$4:$E$503,_calc!$E$454)))=0,"","Owner: "&amp;IF(LEN(INDEX('Checklist'!$E$4:$E$503,_calc!$E$454))=0,"",INDEX('Checklist'!$E$4:$E$503,_calc!$E$454))&amp;". ")&amp;IF(LEN(IF(LEN(INDEX('Checklist'!$F$4:$F$503,_calc!$E$454))=0,"",INDEX('Checklist'!$F$4:$F$503,_calc!$E$454)))=0,"","Backup: "&amp;IF(LEN(INDEX('Checklist'!$F$4:$F$503,_calc!$E$454))=0,"",INDEX('Checklist'!$F$4:$F$503,_calc!$E$454))&amp;". ")&amp;IF(LEN(IF(LEN(INDEX('Checklist'!$J$4:$J$503,_calc!$E$454))=0,"",INDEX('Checklist'!$J$4:$J$503,_calc!$E$454)))=0,"","Evidence: "&amp;IF(LEN(INDEX('Checklist'!$J$4:$J$503,_calc!$E$454))=0,"",INDEX('Checklist'!$J$4:$J$503,_calc!$E$454))&amp;". ")&amp;IF(LEN(IF(LEN(INDEX('Checklist'!$D$4:$D$503,_calc!$E$454))=0,"",INDEX('Checklist'!$D$4:$D$503,_calc!$E$454)))=0,"","Rule example: "&amp;IF(LEN(INDEX('Checklist'!$D$4:$D$503,_calc!$E$454))=0,"",INDEX('Checklist'!$D$4:$D$503,_calc!$E$454))&amp;". ")&amp;IF(LEN(IF(LEN(INDEX('Checklist'!$P$4:$P$503,_calc!$E$454))=0,"",INDEX('Checklist'!$P$4:$P$503,_calc!$E$454)))=0,"",IF(LEN(INDEX('Checklist'!$P$4:$P$503,_calc!$E$454))=0,"",INDEX('Checklist'!$P$4:$P$503,_calc!$E$454)))))</f>
        <v/>
      </c>
      <c r="K452" s="44">
        <f>IF(_calc!$E$454="","",IF(LEN(INDEX('Checklist'!$G$4:$G$503,_calc!$E$454))=0,"",INDEX('Checklist'!$G$4:$G$503,_calc!$E$454)))</f>
        <v/>
      </c>
    </row>
    <row r="453">
      <c r="A453" s="44">
        <f>IF(_calc!$E$455="","","Survey check – "&amp;IF(LEN(INDEX('Checklist'!$C$4:$C$503,_calc!$E$455))=0,"",INDEX('Checklist'!$C$4:$C$503,_calc!$E$455)))</f>
        <v/>
      </c>
      <c r="B453" s="44">
        <f>IF(_calc!$E$455="","",IF(ISNUMBER(INDEX('Checklist'!$L$4:$L$503,_calc!$E$455)),TEXT(INDEX('Checklist'!$L$4:$L$503,_calc!$E$455),"yyyy-mm-dd"),""))</f>
        <v/>
      </c>
      <c r="C453" s="44">
        <f>IF(_calc!$E$455="","","Survey readiness")</f>
        <v/>
      </c>
      <c r="D453" s="44">
        <f>IF(_calc!$E$455="","",IF(ISNUMBER(INDEX('Checklist'!$H$4:$H$503,_calc!$E$455)),TEXT(INDEX('Checklist'!$H$4:$H$503,_calc!$E$455),"yyyy-mm-dd"),""))</f>
        <v/>
      </c>
      <c r="F453" s="44">
        <f>IF(_calc!$E$455="","",TRIM(IF(LEN(IF(LEN(INDEX('Checklist'!$A$4:$A$503,_calc!$E$455))=0,"",INDEX('Checklist'!$A$4:$A$503,_calc!$E$455)))=0,"","Group: "&amp;IF(LEN(INDEX('Checklist'!$A$4:$A$503,_calc!$E$455))=0,"",INDEX('Checklist'!$A$4:$A$503,_calc!$E$455))&amp;". ")&amp;IF(LEN(IF(LEN(INDEX('Checklist'!$E$4:$E$503,_calc!$E$455))=0,"",INDEX('Checklist'!$E$4:$E$503,_calc!$E$455)))=0,"","Owner: "&amp;IF(LEN(INDEX('Checklist'!$E$4:$E$503,_calc!$E$455))=0,"",INDEX('Checklist'!$E$4:$E$503,_calc!$E$455))&amp;". ")&amp;IF(LEN(IF(LEN(INDEX('Checklist'!$F$4:$F$503,_calc!$E$455))=0,"",INDEX('Checklist'!$F$4:$F$503,_calc!$E$455)))=0,"","Backup: "&amp;IF(LEN(INDEX('Checklist'!$F$4:$F$503,_calc!$E$455))=0,"",INDEX('Checklist'!$F$4:$F$503,_calc!$E$455))&amp;". ")&amp;IF(LEN(IF(LEN(INDEX('Checklist'!$J$4:$J$503,_calc!$E$455))=0,"",INDEX('Checklist'!$J$4:$J$503,_calc!$E$455)))=0,"","Evidence: "&amp;IF(LEN(INDEX('Checklist'!$J$4:$J$503,_calc!$E$455))=0,"",INDEX('Checklist'!$J$4:$J$503,_calc!$E$455))&amp;". ")&amp;IF(LEN(IF(LEN(INDEX('Checklist'!$D$4:$D$503,_calc!$E$455))=0,"",INDEX('Checklist'!$D$4:$D$503,_calc!$E$455)))=0,"","Rule example: "&amp;IF(LEN(INDEX('Checklist'!$D$4:$D$503,_calc!$E$455))=0,"",INDEX('Checklist'!$D$4:$D$503,_calc!$E$455))&amp;". ")&amp;IF(LEN(IF(LEN(INDEX('Checklist'!$P$4:$P$503,_calc!$E$455))=0,"",INDEX('Checklist'!$P$4:$P$503,_calc!$E$455)))=0,"",IF(LEN(INDEX('Checklist'!$P$4:$P$503,_calc!$E$455))=0,"",INDEX('Checklist'!$P$4:$P$503,_calc!$E$455)))))</f>
        <v/>
      </c>
      <c r="K453" s="44">
        <f>IF(_calc!$E$455="","",IF(LEN(INDEX('Checklist'!$G$4:$G$503,_calc!$E$455))=0,"",INDEX('Checklist'!$G$4:$G$503,_calc!$E$455)))</f>
        <v/>
      </c>
    </row>
    <row r="454">
      <c r="A454" s="44">
        <f>IF(_calc!$E$456="","","Survey check – "&amp;IF(LEN(INDEX('Checklist'!$C$4:$C$503,_calc!$E$456))=0,"",INDEX('Checklist'!$C$4:$C$503,_calc!$E$456)))</f>
        <v/>
      </c>
      <c r="B454" s="44">
        <f>IF(_calc!$E$456="","",IF(ISNUMBER(INDEX('Checklist'!$L$4:$L$503,_calc!$E$456)),TEXT(INDEX('Checklist'!$L$4:$L$503,_calc!$E$456),"yyyy-mm-dd"),""))</f>
        <v/>
      </c>
      <c r="C454" s="44">
        <f>IF(_calc!$E$456="","","Survey readiness")</f>
        <v/>
      </c>
      <c r="D454" s="44">
        <f>IF(_calc!$E$456="","",IF(ISNUMBER(INDEX('Checklist'!$H$4:$H$503,_calc!$E$456)),TEXT(INDEX('Checklist'!$H$4:$H$503,_calc!$E$456),"yyyy-mm-dd"),""))</f>
        <v/>
      </c>
      <c r="F454" s="44">
        <f>IF(_calc!$E$456="","",TRIM(IF(LEN(IF(LEN(INDEX('Checklist'!$A$4:$A$503,_calc!$E$456))=0,"",INDEX('Checklist'!$A$4:$A$503,_calc!$E$456)))=0,"","Group: "&amp;IF(LEN(INDEX('Checklist'!$A$4:$A$503,_calc!$E$456))=0,"",INDEX('Checklist'!$A$4:$A$503,_calc!$E$456))&amp;". ")&amp;IF(LEN(IF(LEN(INDEX('Checklist'!$E$4:$E$503,_calc!$E$456))=0,"",INDEX('Checklist'!$E$4:$E$503,_calc!$E$456)))=0,"","Owner: "&amp;IF(LEN(INDEX('Checklist'!$E$4:$E$503,_calc!$E$456))=0,"",INDEX('Checklist'!$E$4:$E$503,_calc!$E$456))&amp;". ")&amp;IF(LEN(IF(LEN(INDEX('Checklist'!$F$4:$F$503,_calc!$E$456))=0,"",INDEX('Checklist'!$F$4:$F$503,_calc!$E$456)))=0,"","Backup: "&amp;IF(LEN(INDEX('Checklist'!$F$4:$F$503,_calc!$E$456))=0,"",INDEX('Checklist'!$F$4:$F$503,_calc!$E$456))&amp;". ")&amp;IF(LEN(IF(LEN(INDEX('Checklist'!$J$4:$J$503,_calc!$E$456))=0,"",INDEX('Checklist'!$J$4:$J$503,_calc!$E$456)))=0,"","Evidence: "&amp;IF(LEN(INDEX('Checklist'!$J$4:$J$503,_calc!$E$456))=0,"",INDEX('Checklist'!$J$4:$J$503,_calc!$E$456))&amp;". ")&amp;IF(LEN(IF(LEN(INDEX('Checklist'!$D$4:$D$503,_calc!$E$456))=0,"",INDEX('Checklist'!$D$4:$D$503,_calc!$E$456)))=0,"","Rule example: "&amp;IF(LEN(INDEX('Checklist'!$D$4:$D$503,_calc!$E$456))=0,"",INDEX('Checklist'!$D$4:$D$503,_calc!$E$456))&amp;". ")&amp;IF(LEN(IF(LEN(INDEX('Checklist'!$P$4:$P$503,_calc!$E$456))=0,"",INDEX('Checklist'!$P$4:$P$503,_calc!$E$456)))=0,"",IF(LEN(INDEX('Checklist'!$P$4:$P$503,_calc!$E$456))=0,"",INDEX('Checklist'!$P$4:$P$503,_calc!$E$456)))))</f>
        <v/>
      </c>
      <c r="K454" s="44">
        <f>IF(_calc!$E$456="","",IF(LEN(INDEX('Checklist'!$G$4:$G$503,_calc!$E$456))=0,"",INDEX('Checklist'!$G$4:$G$503,_calc!$E$456)))</f>
        <v/>
      </c>
    </row>
    <row r="455">
      <c r="A455" s="44">
        <f>IF(_calc!$E$457="","","Survey check – "&amp;IF(LEN(INDEX('Checklist'!$C$4:$C$503,_calc!$E$457))=0,"",INDEX('Checklist'!$C$4:$C$503,_calc!$E$457)))</f>
        <v/>
      </c>
      <c r="B455" s="44">
        <f>IF(_calc!$E$457="","",IF(ISNUMBER(INDEX('Checklist'!$L$4:$L$503,_calc!$E$457)),TEXT(INDEX('Checklist'!$L$4:$L$503,_calc!$E$457),"yyyy-mm-dd"),""))</f>
        <v/>
      </c>
      <c r="C455" s="44">
        <f>IF(_calc!$E$457="","","Survey readiness")</f>
        <v/>
      </c>
      <c r="D455" s="44">
        <f>IF(_calc!$E$457="","",IF(ISNUMBER(INDEX('Checklist'!$H$4:$H$503,_calc!$E$457)),TEXT(INDEX('Checklist'!$H$4:$H$503,_calc!$E$457),"yyyy-mm-dd"),""))</f>
        <v/>
      </c>
      <c r="F455" s="44">
        <f>IF(_calc!$E$457="","",TRIM(IF(LEN(IF(LEN(INDEX('Checklist'!$A$4:$A$503,_calc!$E$457))=0,"",INDEX('Checklist'!$A$4:$A$503,_calc!$E$457)))=0,"","Group: "&amp;IF(LEN(INDEX('Checklist'!$A$4:$A$503,_calc!$E$457))=0,"",INDEX('Checklist'!$A$4:$A$503,_calc!$E$457))&amp;". ")&amp;IF(LEN(IF(LEN(INDEX('Checklist'!$E$4:$E$503,_calc!$E$457))=0,"",INDEX('Checklist'!$E$4:$E$503,_calc!$E$457)))=0,"","Owner: "&amp;IF(LEN(INDEX('Checklist'!$E$4:$E$503,_calc!$E$457))=0,"",INDEX('Checklist'!$E$4:$E$503,_calc!$E$457))&amp;". ")&amp;IF(LEN(IF(LEN(INDEX('Checklist'!$F$4:$F$503,_calc!$E$457))=0,"",INDEX('Checklist'!$F$4:$F$503,_calc!$E$457)))=0,"","Backup: "&amp;IF(LEN(INDEX('Checklist'!$F$4:$F$503,_calc!$E$457))=0,"",INDEX('Checklist'!$F$4:$F$503,_calc!$E$457))&amp;". ")&amp;IF(LEN(IF(LEN(INDEX('Checklist'!$J$4:$J$503,_calc!$E$457))=0,"",INDEX('Checklist'!$J$4:$J$503,_calc!$E$457)))=0,"","Evidence: "&amp;IF(LEN(INDEX('Checklist'!$J$4:$J$503,_calc!$E$457))=0,"",INDEX('Checklist'!$J$4:$J$503,_calc!$E$457))&amp;". ")&amp;IF(LEN(IF(LEN(INDEX('Checklist'!$D$4:$D$503,_calc!$E$457))=0,"",INDEX('Checklist'!$D$4:$D$503,_calc!$E$457)))=0,"","Rule example: "&amp;IF(LEN(INDEX('Checklist'!$D$4:$D$503,_calc!$E$457))=0,"",INDEX('Checklist'!$D$4:$D$503,_calc!$E$457))&amp;". ")&amp;IF(LEN(IF(LEN(INDEX('Checklist'!$P$4:$P$503,_calc!$E$457))=0,"",INDEX('Checklist'!$P$4:$P$503,_calc!$E$457)))=0,"",IF(LEN(INDEX('Checklist'!$P$4:$P$503,_calc!$E$457))=0,"",INDEX('Checklist'!$P$4:$P$503,_calc!$E$457)))))</f>
        <v/>
      </c>
      <c r="K455" s="44">
        <f>IF(_calc!$E$457="","",IF(LEN(INDEX('Checklist'!$G$4:$G$503,_calc!$E$457))=0,"",INDEX('Checklist'!$G$4:$G$503,_calc!$E$457)))</f>
        <v/>
      </c>
    </row>
    <row r="456">
      <c r="A456" s="44">
        <f>IF(_calc!$E$458="","","Survey check – "&amp;IF(LEN(INDEX('Checklist'!$C$4:$C$503,_calc!$E$458))=0,"",INDEX('Checklist'!$C$4:$C$503,_calc!$E$458)))</f>
        <v/>
      </c>
      <c r="B456" s="44">
        <f>IF(_calc!$E$458="","",IF(ISNUMBER(INDEX('Checklist'!$L$4:$L$503,_calc!$E$458)),TEXT(INDEX('Checklist'!$L$4:$L$503,_calc!$E$458),"yyyy-mm-dd"),""))</f>
        <v/>
      </c>
      <c r="C456" s="44">
        <f>IF(_calc!$E$458="","","Survey readiness")</f>
        <v/>
      </c>
      <c r="D456" s="44">
        <f>IF(_calc!$E$458="","",IF(ISNUMBER(INDEX('Checklist'!$H$4:$H$503,_calc!$E$458)),TEXT(INDEX('Checklist'!$H$4:$H$503,_calc!$E$458),"yyyy-mm-dd"),""))</f>
        <v/>
      </c>
      <c r="F456" s="44">
        <f>IF(_calc!$E$458="","",TRIM(IF(LEN(IF(LEN(INDEX('Checklist'!$A$4:$A$503,_calc!$E$458))=0,"",INDEX('Checklist'!$A$4:$A$503,_calc!$E$458)))=0,"","Group: "&amp;IF(LEN(INDEX('Checklist'!$A$4:$A$503,_calc!$E$458))=0,"",INDEX('Checklist'!$A$4:$A$503,_calc!$E$458))&amp;". ")&amp;IF(LEN(IF(LEN(INDEX('Checklist'!$E$4:$E$503,_calc!$E$458))=0,"",INDEX('Checklist'!$E$4:$E$503,_calc!$E$458)))=0,"","Owner: "&amp;IF(LEN(INDEX('Checklist'!$E$4:$E$503,_calc!$E$458))=0,"",INDEX('Checklist'!$E$4:$E$503,_calc!$E$458))&amp;". ")&amp;IF(LEN(IF(LEN(INDEX('Checklist'!$F$4:$F$503,_calc!$E$458))=0,"",INDEX('Checklist'!$F$4:$F$503,_calc!$E$458)))=0,"","Backup: "&amp;IF(LEN(INDEX('Checklist'!$F$4:$F$503,_calc!$E$458))=0,"",INDEX('Checklist'!$F$4:$F$503,_calc!$E$458))&amp;". ")&amp;IF(LEN(IF(LEN(INDEX('Checklist'!$J$4:$J$503,_calc!$E$458))=0,"",INDEX('Checklist'!$J$4:$J$503,_calc!$E$458)))=0,"","Evidence: "&amp;IF(LEN(INDEX('Checklist'!$J$4:$J$503,_calc!$E$458))=0,"",INDEX('Checklist'!$J$4:$J$503,_calc!$E$458))&amp;". ")&amp;IF(LEN(IF(LEN(INDEX('Checklist'!$D$4:$D$503,_calc!$E$458))=0,"",INDEX('Checklist'!$D$4:$D$503,_calc!$E$458)))=0,"","Rule example: "&amp;IF(LEN(INDEX('Checklist'!$D$4:$D$503,_calc!$E$458))=0,"",INDEX('Checklist'!$D$4:$D$503,_calc!$E$458))&amp;". ")&amp;IF(LEN(IF(LEN(INDEX('Checklist'!$P$4:$P$503,_calc!$E$458))=0,"",INDEX('Checklist'!$P$4:$P$503,_calc!$E$458)))=0,"",IF(LEN(INDEX('Checklist'!$P$4:$P$503,_calc!$E$458))=0,"",INDEX('Checklist'!$P$4:$P$503,_calc!$E$458)))))</f>
        <v/>
      </c>
      <c r="K456" s="44">
        <f>IF(_calc!$E$458="","",IF(LEN(INDEX('Checklist'!$G$4:$G$503,_calc!$E$458))=0,"",INDEX('Checklist'!$G$4:$G$503,_calc!$E$458)))</f>
        <v/>
      </c>
    </row>
    <row r="457">
      <c r="A457" s="44">
        <f>IF(_calc!$E$459="","","Survey check – "&amp;IF(LEN(INDEX('Checklist'!$C$4:$C$503,_calc!$E$459))=0,"",INDEX('Checklist'!$C$4:$C$503,_calc!$E$459)))</f>
        <v/>
      </c>
      <c r="B457" s="44">
        <f>IF(_calc!$E$459="","",IF(ISNUMBER(INDEX('Checklist'!$L$4:$L$503,_calc!$E$459)),TEXT(INDEX('Checklist'!$L$4:$L$503,_calc!$E$459),"yyyy-mm-dd"),""))</f>
        <v/>
      </c>
      <c r="C457" s="44">
        <f>IF(_calc!$E$459="","","Survey readiness")</f>
        <v/>
      </c>
      <c r="D457" s="44">
        <f>IF(_calc!$E$459="","",IF(ISNUMBER(INDEX('Checklist'!$H$4:$H$503,_calc!$E$459)),TEXT(INDEX('Checklist'!$H$4:$H$503,_calc!$E$459),"yyyy-mm-dd"),""))</f>
        <v/>
      </c>
      <c r="F457" s="44">
        <f>IF(_calc!$E$459="","",TRIM(IF(LEN(IF(LEN(INDEX('Checklist'!$A$4:$A$503,_calc!$E$459))=0,"",INDEX('Checklist'!$A$4:$A$503,_calc!$E$459)))=0,"","Group: "&amp;IF(LEN(INDEX('Checklist'!$A$4:$A$503,_calc!$E$459))=0,"",INDEX('Checklist'!$A$4:$A$503,_calc!$E$459))&amp;". ")&amp;IF(LEN(IF(LEN(INDEX('Checklist'!$E$4:$E$503,_calc!$E$459))=0,"",INDEX('Checklist'!$E$4:$E$503,_calc!$E$459)))=0,"","Owner: "&amp;IF(LEN(INDEX('Checklist'!$E$4:$E$503,_calc!$E$459))=0,"",INDEX('Checklist'!$E$4:$E$503,_calc!$E$459))&amp;". ")&amp;IF(LEN(IF(LEN(INDEX('Checklist'!$F$4:$F$503,_calc!$E$459))=0,"",INDEX('Checklist'!$F$4:$F$503,_calc!$E$459)))=0,"","Backup: "&amp;IF(LEN(INDEX('Checklist'!$F$4:$F$503,_calc!$E$459))=0,"",INDEX('Checklist'!$F$4:$F$503,_calc!$E$459))&amp;". ")&amp;IF(LEN(IF(LEN(INDEX('Checklist'!$J$4:$J$503,_calc!$E$459))=0,"",INDEX('Checklist'!$J$4:$J$503,_calc!$E$459)))=0,"","Evidence: "&amp;IF(LEN(INDEX('Checklist'!$J$4:$J$503,_calc!$E$459))=0,"",INDEX('Checklist'!$J$4:$J$503,_calc!$E$459))&amp;". ")&amp;IF(LEN(IF(LEN(INDEX('Checklist'!$D$4:$D$503,_calc!$E$459))=0,"",INDEX('Checklist'!$D$4:$D$503,_calc!$E$459)))=0,"","Rule example: "&amp;IF(LEN(INDEX('Checklist'!$D$4:$D$503,_calc!$E$459))=0,"",INDEX('Checklist'!$D$4:$D$503,_calc!$E$459))&amp;". ")&amp;IF(LEN(IF(LEN(INDEX('Checklist'!$P$4:$P$503,_calc!$E$459))=0,"",INDEX('Checklist'!$P$4:$P$503,_calc!$E$459)))=0,"",IF(LEN(INDEX('Checklist'!$P$4:$P$503,_calc!$E$459))=0,"",INDEX('Checklist'!$P$4:$P$503,_calc!$E$459)))))</f>
        <v/>
      </c>
      <c r="K457" s="44">
        <f>IF(_calc!$E$459="","",IF(LEN(INDEX('Checklist'!$G$4:$G$503,_calc!$E$459))=0,"",INDEX('Checklist'!$G$4:$G$503,_calc!$E$459)))</f>
        <v/>
      </c>
    </row>
    <row r="458">
      <c r="A458" s="44">
        <f>IF(_calc!$E$460="","","Survey check – "&amp;IF(LEN(INDEX('Checklist'!$C$4:$C$503,_calc!$E$460))=0,"",INDEX('Checklist'!$C$4:$C$503,_calc!$E$460)))</f>
        <v/>
      </c>
      <c r="B458" s="44">
        <f>IF(_calc!$E$460="","",IF(ISNUMBER(INDEX('Checklist'!$L$4:$L$503,_calc!$E$460)),TEXT(INDEX('Checklist'!$L$4:$L$503,_calc!$E$460),"yyyy-mm-dd"),""))</f>
        <v/>
      </c>
      <c r="C458" s="44">
        <f>IF(_calc!$E$460="","","Survey readiness")</f>
        <v/>
      </c>
      <c r="D458" s="44">
        <f>IF(_calc!$E$460="","",IF(ISNUMBER(INDEX('Checklist'!$H$4:$H$503,_calc!$E$460)),TEXT(INDEX('Checklist'!$H$4:$H$503,_calc!$E$460),"yyyy-mm-dd"),""))</f>
        <v/>
      </c>
      <c r="F458" s="44">
        <f>IF(_calc!$E$460="","",TRIM(IF(LEN(IF(LEN(INDEX('Checklist'!$A$4:$A$503,_calc!$E$460))=0,"",INDEX('Checklist'!$A$4:$A$503,_calc!$E$460)))=0,"","Group: "&amp;IF(LEN(INDEX('Checklist'!$A$4:$A$503,_calc!$E$460))=0,"",INDEX('Checklist'!$A$4:$A$503,_calc!$E$460))&amp;". ")&amp;IF(LEN(IF(LEN(INDEX('Checklist'!$E$4:$E$503,_calc!$E$460))=0,"",INDEX('Checklist'!$E$4:$E$503,_calc!$E$460)))=0,"","Owner: "&amp;IF(LEN(INDEX('Checklist'!$E$4:$E$503,_calc!$E$460))=0,"",INDEX('Checklist'!$E$4:$E$503,_calc!$E$460))&amp;". ")&amp;IF(LEN(IF(LEN(INDEX('Checklist'!$F$4:$F$503,_calc!$E$460))=0,"",INDEX('Checklist'!$F$4:$F$503,_calc!$E$460)))=0,"","Backup: "&amp;IF(LEN(INDEX('Checklist'!$F$4:$F$503,_calc!$E$460))=0,"",INDEX('Checklist'!$F$4:$F$503,_calc!$E$460))&amp;". ")&amp;IF(LEN(IF(LEN(INDEX('Checklist'!$J$4:$J$503,_calc!$E$460))=0,"",INDEX('Checklist'!$J$4:$J$503,_calc!$E$460)))=0,"","Evidence: "&amp;IF(LEN(INDEX('Checklist'!$J$4:$J$503,_calc!$E$460))=0,"",INDEX('Checklist'!$J$4:$J$503,_calc!$E$460))&amp;". ")&amp;IF(LEN(IF(LEN(INDEX('Checklist'!$D$4:$D$503,_calc!$E$460))=0,"",INDEX('Checklist'!$D$4:$D$503,_calc!$E$460)))=0,"","Rule example: "&amp;IF(LEN(INDEX('Checklist'!$D$4:$D$503,_calc!$E$460))=0,"",INDEX('Checklist'!$D$4:$D$503,_calc!$E$460))&amp;". ")&amp;IF(LEN(IF(LEN(INDEX('Checklist'!$P$4:$P$503,_calc!$E$460))=0,"",INDEX('Checklist'!$P$4:$P$503,_calc!$E$460)))=0,"",IF(LEN(INDEX('Checklist'!$P$4:$P$503,_calc!$E$460))=0,"",INDEX('Checklist'!$P$4:$P$503,_calc!$E$460)))))</f>
        <v/>
      </c>
      <c r="K458" s="44">
        <f>IF(_calc!$E$460="","",IF(LEN(INDEX('Checklist'!$G$4:$G$503,_calc!$E$460))=0,"",INDEX('Checklist'!$G$4:$G$503,_calc!$E$460)))</f>
        <v/>
      </c>
    </row>
    <row r="459">
      <c r="A459" s="44">
        <f>IF(_calc!$E$461="","","Survey check – "&amp;IF(LEN(INDEX('Checklist'!$C$4:$C$503,_calc!$E$461))=0,"",INDEX('Checklist'!$C$4:$C$503,_calc!$E$461)))</f>
        <v/>
      </c>
      <c r="B459" s="44">
        <f>IF(_calc!$E$461="","",IF(ISNUMBER(INDEX('Checklist'!$L$4:$L$503,_calc!$E$461)),TEXT(INDEX('Checklist'!$L$4:$L$503,_calc!$E$461),"yyyy-mm-dd"),""))</f>
        <v/>
      </c>
      <c r="C459" s="44">
        <f>IF(_calc!$E$461="","","Survey readiness")</f>
        <v/>
      </c>
      <c r="D459" s="44">
        <f>IF(_calc!$E$461="","",IF(ISNUMBER(INDEX('Checklist'!$H$4:$H$503,_calc!$E$461)),TEXT(INDEX('Checklist'!$H$4:$H$503,_calc!$E$461),"yyyy-mm-dd"),""))</f>
        <v/>
      </c>
      <c r="F459" s="44">
        <f>IF(_calc!$E$461="","",TRIM(IF(LEN(IF(LEN(INDEX('Checklist'!$A$4:$A$503,_calc!$E$461))=0,"",INDEX('Checklist'!$A$4:$A$503,_calc!$E$461)))=0,"","Group: "&amp;IF(LEN(INDEX('Checklist'!$A$4:$A$503,_calc!$E$461))=0,"",INDEX('Checklist'!$A$4:$A$503,_calc!$E$461))&amp;". ")&amp;IF(LEN(IF(LEN(INDEX('Checklist'!$E$4:$E$503,_calc!$E$461))=0,"",INDEX('Checklist'!$E$4:$E$503,_calc!$E$461)))=0,"","Owner: "&amp;IF(LEN(INDEX('Checklist'!$E$4:$E$503,_calc!$E$461))=0,"",INDEX('Checklist'!$E$4:$E$503,_calc!$E$461))&amp;". ")&amp;IF(LEN(IF(LEN(INDEX('Checklist'!$F$4:$F$503,_calc!$E$461))=0,"",INDEX('Checklist'!$F$4:$F$503,_calc!$E$461)))=0,"","Backup: "&amp;IF(LEN(INDEX('Checklist'!$F$4:$F$503,_calc!$E$461))=0,"",INDEX('Checklist'!$F$4:$F$503,_calc!$E$461))&amp;". ")&amp;IF(LEN(IF(LEN(INDEX('Checklist'!$J$4:$J$503,_calc!$E$461))=0,"",INDEX('Checklist'!$J$4:$J$503,_calc!$E$461)))=0,"","Evidence: "&amp;IF(LEN(INDEX('Checklist'!$J$4:$J$503,_calc!$E$461))=0,"",INDEX('Checklist'!$J$4:$J$503,_calc!$E$461))&amp;". ")&amp;IF(LEN(IF(LEN(INDEX('Checklist'!$D$4:$D$503,_calc!$E$461))=0,"",INDEX('Checklist'!$D$4:$D$503,_calc!$E$461)))=0,"","Rule example: "&amp;IF(LEN(INDEX('Checklist'!$D$4:$D$503,_calc!$E$461))=0,"",INDEX('Checklist'!$D$4:$D$503,_calc!$E$461))&amp;". ")&amp;IF(LEN(IF(LEN(INDEX('Checklist'!$P$4:$P$503,_calc!$E$461))=0,"",INDEX('Checklist'!$P$4:$P$503,_calc!$E$461)))=0,"",IF(LEN(INDEX('Checklist'!$P$4:$P$503,_calc!$E$461))=0,"",INDEX('Checklist'!$P$4:$P$503,_calc!$E$461)))))</f>
        <v/>
      </c>
      <c r="K459" s="44">
        <f>IF(_calc!$E$461="","",IF(LEN(INDEX('Checklist'!$G$4:$G$503,_calc!$E$461))=0,"",INDEX('Checklist'!$G$4:$G$503,_calc!$E$461)))</f>
        <v/>
      </c>
    </row>
    <row r="460">
      <c r="A460" s="44">
        <f>IF(_calc!$E$462="","","Survey check – "&amp;IF(LEN(INDEX('Checklist'!$C$4:$C$503,_calc!$E$462))=0,"",INDEX('Checklist'!$C$4:$C$503,_calc!$E$462)))</f>
        <v/>
      </c>
      <c r="B460" s="44">
        <f>IF(_calc!$E$462="","",IF(ISNUMBER(INDEX('Checklist'!$L$4:$L$503,_calc!$E$462)),TEXT(INDEX('Checklist'!$L$4:$L$503,_calc!$E$462),"yyyy-mm-dd"),""))</f>
        <v/>
      </c>
      <c r="C460" s="44">
        <f>IF(_calc!$E$462="","","Survey readiness")</f>
        <v/>
      </c>
      <c r="D460" s="44">
        <f>IF(_calc!$E$462="","",IF(ISNUMBER(INDEX('Checklist'!$H$4:$H$503,_calc!$E$462)),TEXT(INDEX('Checklist'!$H$4:$H$503,_calc!$E$462),"yyyy-mm-dd"),""))</f>
        <v/>
      </c>
      <c r="F460" s="44">
        <f>IF(_calc!$E$462="","",TRIM(IF(LEN(IF(LEN(INDEX('Checklist'!$A$4:$A$503,_calc!$E$462))=0,"",INDEX('Checklist'!$A$4:$A$503,_calc!$E$462)))=0,"","Group: "&amp;IF(LEN(INDEX('Checklist'!$A$4:$A$503,_calc!$E$462))=0,"",INDEX('Checklist'!$A$4:$A$503,_calc!$E$462))&amp;". ")&amp;IF(LEN(IF(LEN(INDEX('Checklist'!$E$4:$E$503,_calc!$E$462))=0,"",INDEX('Checklist'!$E$4:$E$503,_calc!$E$462)))=0,"","Owner: "&amp;IF(LEN(INDEX('Checklist'!$E$4:$E$503,_calc!$E$462))=0,"",INDEX('Checklist'!$E$4:$E$503,_calc!$E$462))&amp;". ")&amp;IF(LEN(IF(LEN(INDEX('Checklist'!$F$4:$F$503,_calc!$E$462))=0,"",INDEX('Checklist'!$F$4:$F$503,_calc!$E$462)))=0,"","Backup: "&amp;IF(LEN(INDEX('Checklist'!$F$4:$F$503,_calc!$E$462))=0,"",INDEX('Checklist'!$F$4:$F$503,_calc!$E$462))&amp;". ")&amp;IF(LEN(IF(LEN(INDEX('Checklist'!$J$4:$J$503,_calc!$E$462))=0,"",INDEX('Checklist'!$J$4:$J$503,_calc!$E$462)))=0,"","Evidence: "&amp;IF(LEN(INDEX('Checklist'!$J$4:$J$503,_calc!$E$462))=0,"",INDEX('Checklist'!$J$4:$J$503,_calc!$E$462))&amp;". ")&amp;IF(LEN(IF(LEN(INDEX('Checklist'!$D$4:$D$503,_calc!$E$462))=0,"",INDEX('Checklist'!$D$4:$D$503,_calc!$E$462)))=0,"","Rule example: "&amp;IF(LEN(INDEX('Checklist'!$D$4:$D$503,_calc!$E$462))=0,"",INDEX('Checklist'!$D$4:$D$503,_calc!$E$462))&amp;". ")&amp;IF(LEN(IF(LEN(INDEX('Checklist'!$P$4:$P$503,_calc!$E$462))=0,"",INDEX('Checklist'!$P$4:$P$503,_calc!$E$462)))=0,"",IF(LEN(INDEX('Checklist'!$P$4:$P$503,_calc!$E$462))=0,"",INDEX('Checklist'!$P$4:$P$503,_calc!$E$462)))))</f>
        <v/>
      </c>
      <c r="K460" s="44">
        <f>IF(_calc!$E$462="","",IF(LEN(INDEX('Checklist'!$G$4:$G$503,_calc!$E$462))=0,"",INDEX('Checklist'!$G$4:$G$503,_calc!$E$462)))</f>
        <v/>
      </c>
    </row>
    <row r="461">
      <c r="A461" s="44">
        <f>IF(_calc!$E$463="","","Survey check – "&amp;IF(LEN(INDEX('Checklist'!$C$4:$C$503,_calc!$E$463))=0,"",INDEX('Checklist'!$C$4:$C$503,_calc!$E$463)))</f>
        <v/>
      </c>
      <c r="B461" s="44">
        <f>IF(_calc!$E$463="","",IF(ISNUMBER(INDEX('Checklist'!$L$4:$L$503,_calc!$E$463)),TEXT(INDEX('Checklist'!$L$4:$L$503,_calc!$E$463),"yyyy-mm-dd"),""))</f>
        <v/>
      </c>
      <c r="C461" s="44">
        <f>IF(_calc!$E$463="","","Survey readiness")</f>
        <v/>
      </c>
      <c r="D461" s="44">
        <f>IF(_calc!$E$463="","",IF(ISNUMBER(INDEX('Checklist'!$H$4:$H$503,_calc!$E$463)),TEXT(INDEX('Checklist'!$H$4:$H$503,_calc!$E$463),"yyyy-mm-dd"),""))</f>
        <v/>
      </c>
      <c r="F461" s="44">
        <f>IF(_calc!$E$463="","",TRIM(IF(LEN(IF(LEN(INDEX('Checklist'!$A$4:$A$503,_calc!$E$463))=0,"",INDEX('Checklist'!$A$4:$A$503,_calc!$E$463)))=0,"","Group: "&amp;IF(LEN(INDEX('Checklist'!$A$4:$A$503,_calc!$E$463))=0,"",INDEX('Checklist'!$A$4:$A$503,_calc!$E$463))&amp;". ")&amp;IF(LEN(IF(LEN(INDEX('Checklist'!$E$4:$E$503,_calc!$E$463))=0,"",INDEX('Checklist'!$E$4:$E$503,_calc!$E$463)))=0,"","Owner: "&amp;IF(LEN(INDEX('Checklist'!$E$4:$E$503,_calc!$E$463))=0,"",INDEX('Checklist'!$E$4:$E$503,_calc!$E$463))&amp;". ")&amp;IF(LEN(IF(LEN(INDEX('Checklist'!$F$4:$F$503,_calc!$E$463))=0,"",INDEX('Checklist'!$F$4:$F$503,_calc!$E$463)))=0,"","Backup: "&amp;IF(LEN(INDEX('Checklist'!$F$4:$F$503,_calc!$E$463))=0,"",INDEX('Checklist'!$F$4:$F$503,_calc!$E$463))&amp;". ")&amp;IF(LEN(IF(LEN(INDEX('Checklist'!$J$4:$J$503,_calc!$E$463))=0,"",INDEX('Checklist'!$J$4:$J$503,_calc!$E$463)))=0,"","Evidence: "&amp;IF(LEN(INDEX('Checklist'!$J$4:$J$503,_calc!$E$463))=0,"",INDEX('Checklist'!$J$4:$J$503,_calc!$E$463))&amp;". ")&amp;IF(LEN(IF(LEN(INDEX('Checklist'!$D$4:$D$503,_calc!$E$463))=0,"",INDEX('Checklist'!$D$4:$D$503,_calc!$E$463)))=0,"","Rule example: "&amp;IF(LEN(INDEX('Checklist'!$D$4:$D$503,_calc!$E$463))=0,"",INDEX('Checklist'!$D$4:$D$503,_calc!$E$463))&amp;". ")&amp;IF(LEN(IF(LEN(INDEX('Checklist'!$P$4:$P$503,_calc!$E$463))=0,"",INDEX('Checklist'!$P$4:$P$503,_calc!$E$463)))=0,"",IF(LEN(INDEX('Checklist'!$P$4:$P$503,_calc!$E$463))=0,"",INDEX('Checklist'!$P$4:$P$503,_calc!$E$463)))))</f>
        <v/>
      </c>
      <c r="K461" s="44">
        <f>IF(_calc!$E$463="","",IF(LEN(INDEX('Checklist'!$G$4:$G$503,_calc!$E$463))=0,"",INDEX('Checklist'!$G$4:$G$503,_calc!$E$463)))</f>
        <v/>
      </c>
    </row>
    <row r="462">
      <c r="A462" s="44">
        <f>IF(_calc!$E$464="","","Survey check – "&amp;IF(LEN(INDEX('Checklist'!$C$4:$C$503,_calc!$E$464))=0,"",INDEX('Checklist'!$C$4:$C$503,_calc!$E$464)))</f>
        <v/>
      </c>
      <c r="B462" s="44">
        <f>IF(_calc!$E$464="","",IF(ISNUMBER(INDEX('Checklist'!$L$4:$L$503,_calc!$E$464)),TEXT(INDEX('Checklist'!$L$4:$L$503,_calc!$E$464),"yyyy-mm-dd"),""))</f>
        <v/>
      </c>
      <c r="C462" s="44">
        <f>IF(_calc!$E$464="","","Survey readiness")</f>
        <v/>
      </c>
      <c r="D462" s="44">
        <f>IF(_calc!$E$464="","",IF(ISNUMBER(INDEX('Checklist'!$H$4:$H$503,_calc!$E$464)),TEXT(INDEX('Checklist'!$H$4:$H$503,_calc!$E$464),"yyyy-mm-dd"),""))</f>
        <v/>
      </c>
      <c r="F462" s="44">
        <f>IF(_calc!$E$464="","",TRIM(IF(LEN(IF(LEN(INDEX('Checklist'!$A$4:$A$503,_calc!$E$464))=0,"",INDEX('Checklist'!$A$4:$A$503,_calc!$E$464)))=0,"","Group: "&amp;IF(LEN(INDEX('Checklist'!$A$4:$A$503,_calc!$E$464))=0,"",INDEX('Checklist'!$A$4:$A$503,_calc!$E$464))&amp;". ")&amp;IF(LEN(IF(LEN(INDEX('Checklist'!$E$4:$E$503,_calc!$E$464))=0,"",INDEX('Checklist'!$E$4:$E$503,_calc!$E$464)))=0,"","Owner: "&amp;IF(LEN(INDEX('Checklist'!$E$4:$E$503,_calc!$E$464))=0,"",INDEX('Checklist'!$E$4:$E$503,_calc!$E$464))&amp;". ")&amp;IF(LEN(IF(LEN(INDEX('Checklist'!$F$4:$F$503,_calc!$E$464))=0,"",INDEX('Checklist'!$F$4:$F$503,_calc!$E$464)))=0,"","Backup: "&amp;IF(LEN(INDEX('Checklist'!$F$4:$F$503,_calc!$E$464))=0,"",INDEX('Checklist'!$F$4:$F$503,_calc!$E$464))&amp;". ")&amp;IF(LEN(IF(LEN(INDEX('Checklist'!$J$4:$J$503,_calc!$E$464))=0,"",INDEX('Checklist'!$J$4:$J$503,_calc!$E$464)))=0,"","Evidence: "&amp;IF(LEN(INDEX('Checklist'!$J$4:$J$503,_calc!$E$464))=0,"",INDEX('Checklist'!$J$4:$J$503,_calc!$E$464))&amp;". ")&amp;IF(LEN(IF(LEN(INDEX('Checklist'!$D$4:$D$503,_calc!$E$464))=0,"",INDEX('Checklist'!$D$4:$D$503,_calc!$E$464)))=0,"","Rule example: "&amp;IF(LEN(INDEX('Checklist'!$D$4:$D$503,_calc!$E$464))=0,"",INDEX('Checklist'!$D$4:$D$503,_calc!$E$464))&amp;". ")&amp;IF(LEN(IF(LEN(INDEX('Checklist'!$P$4:$P$503,_calc!$E$464))=0,"",INDEX('Checklist'!$P$4:$P$503,_calc!$E$464)))=0,"",IF(LEN(INDEX('Checklist'!$P$4:$P$503,_calc!$E$464))=0,"",INDEX('Checklist'!$P$4:$P$503,_calc!$E$464)))))</f>
        <v/>
      </c>
      <c r="K462" s="44">
        <f>IF(_calc!$E$464="","",IF(LEN(INDEX('Checklist'!$G$4:$G$503,_calc!$E$464))=0,"",INDEX('Checklist'!$G$4:$G$503,_calc!$E$464)))</f>
        <v/>
      </c>
    </row>
    <row r="463">
      <c r="A463" s="44">
        <f>IF(_calc!$E$465="","","Survey check – "&amp;IF(LEN(INDEX('Checklist'!$C$4:$C$503,_calc!$E$465))=0,"",INDEX('Checklist'!$C$4:$C$503,_calc!$E$465)))</f>
        <v/>
      </c>
      <c r="B463" s="44">
        <f>IF(_calc!$E$465="","",IF(ISNUMBER(INDEX('Checklist'!$L$4:$L$503,_calc!$E$465)),TEXT(INDEX('Checklist'!$L$4:$L$503,_calc!$E$465),"yyyy-mm-dd"),""))</f>
        <v/>
      </c>
      <c r="C463" s="44">
        <f>IF(_calc!$E$465="","","Survey readiness")</f>
        <v/>
      </c>
      <c r="D463" s="44">
        <f>IF(_calc!$E$465="","",IF(ISNUMBER(INDEX('Checklist'!$H$4:$H$503,_calc!$E$465)),TEXT(INDEX('Checklist'!$H$4:$H$503,_calc!$E$465),"yyyy-mm-dd"),""))</f>
        <v/>
      </c>
      <c r="F463" s="44">
        <f>IF(_calc!$E$465="","",TRIM(IF(LEN(IF(LEN(INDEX('Checklist'!$A$4:$A$503,_calc!$E$465))=0,"",INDEX('Checklist'!$A$4:$A$503,_calc!$E$465)))=0,"","Group: "&amp;IF(LEN(INDEX('Checklist'!$A$4:$A$503,_calc!$E$465))=0,"",INDEX('Checklist'!$A$4:$A$503,_calc!$E$465))&amp;". ")&amp;IF(LEN(IF(LEN(INDEX('Checklist'!$E$4:$E$503,_calc!$E$465))=0,"",INDEX('Checklist'!$E$4:$E$503,_calc!$E$465)))=0,"","Owner: "&amp;IF(LEN(INDEX('Checklist'!$E$4:$E$503,_calc!$E$465))=0,"",INDEX('Checklist'!$E$4:$E$503,_calc!$E$465))&amp;". ")&amp;IF(LEN(IF(LEN(INDEX('Checklist'!$F$4:$F$503,_calc!$E$465))=0,"",INDEX('Checklist'!$F$4:$F$503,_calc!$E$465)))=0,"","Backup: "&amp;IF(LEN(INDEX('Checklist'!$F$4:$F$503,_calc!$E$465))=0,"",INDEX('Checklist'!$F$4:$F$503,_calc!$E$465))&amp;". ")&amp;IF(LEN(IF(LEN(INDEX('Checklist'!$J$4:$J$503,_calc!$E$465))=0,"",INDEX('Checklist'!$J$4:$J$503,_calc!$E$465)))=0,"","Evidence: "&amp;IF(LEN(INDEX('Checklist'!$J$4:$J$503,_calc!$E$465))=0,"",INDEX('Checklist'!$J$4:$J$503,_calc!$E$465))&amp;". ")&amp;IF(LEN(IF(LEN(INDEX('Checklist'!$D$4:$D$503,_calc!$E$465))=0,"",INDEX('Checklist'!$D$4:$D$503,_calc!$E$465)))=0,"","Rule example: "&amp;IF(LEN(INDEX('Checklist'!$D$4:$D$503,_calc!$E$465))=0,"",INDEX('Checklist'!$D$4:$D$503,_calc!$E$465))&amp;". ")&amp;IF(LEN(IF(LEN(INDEX('Checklist'!$P$4:$P$503,_calc!$E$465))=0,"",INDEX('Checklist'!$P$4:$P$503,_calc!$E$465)))=0,"",IF(LEN(INDEX('Checklist'!$P$4:$P$503,_calc!$E$465))=0,"",INDEX('Checklist'!$P$4:$P$503,_calc!$E$465)))))</f>
        <v/>
      </c>
      <c r="K463" s="44">
        <f>IF(_calc!$E$465="","",IF(LEN(INDEX('Checklist'!$G$4:$G$503,_calc!$E$465))=0,"",INDEX('Checklist'!$G$4:$G$503,_calc!$E$465)))</f>
        <v/>
      </c>
    </row>
    <row r="464">
      <c r="A464" s="44">
        <f>IF(_calc!$E$466="","","Survey check – "&amp;IF(LEN(INDEX('Checklist'!$C$4:$C$503,_calc!$E$466))=0,"",INDEX('Checklist'!$C$4:$C$503,_calc!$E$466)))</f>
        <v/>
      </c>
      <c r="B464" s="44">
        <f>IF(_calc!$E$466="","",IF(ISNUMBER(INDEX('Checklist'!$L$4:$L$503,_calc!$E$466)),TEXT(INDEX('Checklist'!$L$4:$L$503,_calc!$E$466),"yyyy-mm-dd"),""))</f>
        <v/>
      </c>
      <c r="C464" s="44">
        <f>IF(_calc!$E$466="","","Survey readiness")</f>
        <v/>
      </c>
      <c r="D464" s="44">
        <f>IF(_calc!$E$466="","",IF(ISNUMBER(INDEX('Checklist'!$H$4:$H$503,_calc!$E$466)),TEXT(INDEX('Checklist'!$H$4:$H$503,_calc!$E$466),"yyyy-mm-dd"),""))</f>
        <v/>
      </c>
      <c r="F464" s="44">
        <f>IF(_calc!$E$466="","",TRIM(IF(LEN(IF(LEN(INDEX('Checklist'!$A$4:$A$503,_calc!$E$466))=0,"",INDEX('Checklist'!$A$4:$A$503,_calc!$E$466)))=0,"","Group: "&amp;IF(LEN(INDEX('Checklist'!$A$4:$A$503,_calc!$E$466))=0,"",INDEX('Checklist'!$A$4:$A$503,_calc!$E$466))&amp;". ")&amp;IF(LEN(IF(LEN(INDEX('Checklist'!$E$4:$E$503,_calc!$E$466))=0,"",INDEX('Checklist'!$E$4:$E$503,_calc!$E$466)))=0,"","Owner: "&amp;IF(LEN(INDEX('Checklist'!$E$4:$E$503,_calc!$E$466))=0,"",INDEX('Checklist'!$E$4:$E$503,_calc!$E$466))&amp;". ")&amp;IF(LEN(IF(LEN(INDEX('Checklist'!$F$4:$F$503,_calc!$E$466))=0,"",INDEX('Checklist'!$F$4:$F$503,_calc!$E$466)))=0,"","Backup: "&amp;IF(LEN(INDEX('Checklist'!$F$4:$F$503,_calc!$E$466))=0,"",INDEX('Checklist'!$F$4:$F$503,_calc!$E$466))&amp;". ")&amp;IF(LEN(IF(LEN(INDEX('Checklist'!$J$4:$J$503,_calc!$E$466))=0,"",INDEX('Checklist'!$J$4:$J$503,_calc!$E$466)))=0,"","Evidence: "&amp;IF(LEN(INDEX('Checklist'!$J$4:$J$503,_calc!$E$466))=0,"",INDEX('Checklist'!$J$4:$J$503,_calc!$E$466))&amp;". ")&amp;IF(LEN(IF(LEN(INDEX('Checklist'!$D$4:$D$503,_calc!$E$466))=0,"",INDEX('Checklist'!$D$4:$D$503,_calc!$E$466)))=0,"","Rule example: "&amp;IF(LEN(INDEX('Checklist'!$D$4:$D$503,_calc!$E$466))=0,"",INDEX('Checklist'!$D$4:$D$503,_calc!$E$466))&amp;". ")&amp;IF(LEN(IF(LEN(INDEX('Checklist'!$P$4:$P$503,_calc!$E$466))=0,"",INDEX('Checklist'!$P$4:$P$503,_calc!$E$466)))=0,"",IF(LEN(INDEX('Checklist'!$P$4:$P$503,_calc!$E$466))=0,"",INDEX('Checklist'!$P$4:$P$503,_calc!$E$466)))))</f>
        <v/>
      </c>
      <c r="K464" s="44">
        <f>IF(_calc!$E$466="","",IF(LEN(INDEX('Checklist'!$G$4:$G$503,_calc!$E$466))=0,"",INDEX('Checklist'!$G$4:$G$503,_calc!$E$466)))</f>
        <v/>
      </c>
    </row>
    <row r="465">
      <c r="A465" s="44">
        <f>IF(_calc!$E$467="","","Survey check – "&amp;IF(LEN(INDEX('Checklist'!$C$4:$C$503,_calc!$E$467))=0,"",INDEX('Checklist'!$C$4:$C$503,_calc!$E$467)))</f>
        <v/>
      </c>
      <c r="B465" s="44">
        <f>IF(_calc!$E$467="","",IF(ISNUMBER(INDEX('Checklist'!$L$4:$L$503,_calc!$E$467)),TEXT(INDEX('Checklist'!$L$4:$L$503,_calc!$E$467),"yyyy-mm-dd"),""))</f>
        <v/>
      </c>
      <c r="C465" s="44">
        <f>IF(_calc!$E$467="","","Survey readiness")</f>
        <v/>
      </c>
      <c r="D465" s="44">
        <f>IF(_calc!$E$467="","",IF(ISNUMBER(INDEX('Checklist'!$H$4:$H$503,_calc!$E$467)),TEXT(INDEX('Checklist'!$H$4:$H$503,_calc!$E$467),"yyyy-mm-dd"),""))</f>
        <v/>
      </c>
      <c r="F465" s="44">
        <f>IF(_calc!$E$467="","",TRIM(IF(LEN(IF(LEN(INDEX('Checklist'!$A$4:$A$503,_calc!$E$467))=0,"",INDEX('Checklist'!$A$4:$A$503,_calc!$E$467)))=0,"","Group: "&amp;IF(LEN(INDEX('Checklist'!$A$4:$A$503,_calc!$E$467))=0,"",INDEX('Checklist'!$A$4:$A$503,_calc!$E$467))&amp;". ")&amp;IF(LEN(IF(LEN(INDEX('Checklist'!$E$4:$E$503,_calc!$E$467))=0,"",INDEX('Checklist'!$E$4:$E$503,_calc!$E$467)))=0,"","Owner: "&amp;IF(LEN(INDEX('Checklist'!$E$4:$E$503,_calc!$E$467))=0,"",INDEX('Checklist'!$E$4:$E$503,_calc!$E$467))&amp;". ")&amp;IF(LEN(IF(LEN(INDEX('Checklist'!$F$4:$F$503,_calc!$E$467))=0,"",INDEX('Checklist'!$F$4:$F$503,_calc!$E$467)))=0,"","Backup: "&amp;IF(LEN(INDEX('Checklist'!$F$4:$F$503,_calc!$E$467))=0,"",INDEX('Checklist'!$F$4:$F$503,_calc!$E$467))&amp;". ")&amp;IF(LEN(IF(LEN(INDEX('Checklist'!$J$4:$J$503,_calc!$E$467))=0,"",INDEX('Checklist'!$J$4:$J$503,_calc!$E$467)))=0,"","Evidence: "&amp;IF(LEN(INDEX('Checklist'!$J$4:$J$503,_calc!$E$467))=0,"",INDEX('Checklist'!$J$4:$J$503,_calc!$E$467))&amp;". ")&amp;IF(LEN(IF(LEN(INDEX('Checklist'!$D$4:$D$503,_calc!$E$467))=0,"",INDEX('Checklist'!$D$4:$D$503,_calc!$E$467)))=0,"","Rule example: "&amp;IF(LEN(INDEX('Checklist'!$D$4:$D$503,_calc!$E$467))=0,"",INDEX('Checklist'!$D$4:$D$503,_calc!$E$467))&amp;". ")&amp;IF(LEN(IF(LEN(INDEX('Checklist'!$P$4:$P$503,_calc!$E$467))=0,"",INDEX('Checklist'!$P$4:$P$503,_calc!$E$467)))=0,"",IF(LEN(INDEX('Checklist'!$P$4:$P$503,_calc!$E$467))=0,"",INDEX('Checklist'!$P$4:$P$503,_calc!$E$467)))))</f>
        <v/>
      </c>
      <c r="K465" s="44">
        <f>IF(_calc!$E$467="","",IF(LEN(INDEX('Checklist'!$G$4:$G$503,_calc!$E$467))=0,"",INDEX('Checklist'!$G$4:$G$503,_calc!$E$467)))</f>
        <v/>
      </c>
    </row>
    <row r="466">
      <c r="A466" s="44">
        <f>IF(_calc!$E$468="","","Survey check – "&amp;IF(LEN(INDEX('Checklist'!$C$4:$C$503,_calc!$E$468))=0,"",INDEX('Checklist'!$C$4:$C$503,_calc!$E$468)))</f>
        <v/>
      </c>
      <c r="B466" s="44">
        <f>IF(_calc!$E$468="","",IF(ISNUMBER(INDEX('Checklist'!$L$4:$L$503,_calc!$E$468)),TEXT(INDEX('Checklist'!$L$4:$L$503,_calc!$E$468),"yyyy-mm-dd"),""))</f>
        <v/>
      </c>
      <c r="C466" s="44">
        <f>IF(_calc!$E$468="","","Survey readiness")</f>
        <v/>
      </c>
      <c r="D466" s="44">
        <f>IF(_calc!$E$468="","",IF(ISNUMBER(INDEX('Checklist'!$H$4:$H$503,_calc!$E$468)),TEXT(INDEX('Checklist'!$H$4:$H$503,_calc!$E$468),"yyyy-mm-dd"),""))</f>
        <v/>
      </c>
      <c r="F466" s="44">
        <f>IF(_calc!$E$468="","",TRIM(IF(LEN(IF(LEN(INDEX('Checklist'!$A$4:$A$503,_calc!$E$468))=0,"",INDEX('Checklist'!$A$4:$A$503,_calc!$E$468)))=0,"","Group: "&amp;IF(LEN(INDEX('Checklist'!$A$4:$A$503,_calc!$E$468))=0,"",INDEX('Checklist'!$A$4:$A$503,_calc!$E$468))&amp;". ")&amp;IF(LEN(IF(LEN(INDEX('Checklist'!$E$4:$E$503,_calc!$E$468))=0,"",INDEX('Checklist'!$E$4:$E$503,_calc!$E$468)))=0,"","Owner: "&amp;IF(LEN(INDEX('Checklist'!$E$4:$E$503,_calc!$E$468))=0,"",INDEX('Checklist'!$E$4:$E$503,_calc!$E$468))&amp;". ")&amp;IF(LEN(IF(LEN(INDEX('Checklist'!$F$4:$F$503,_calc!$E$468))=0,"",INDEX('Checklist'!$F$4:$F$503,_calc!$E$468)))=0,"","Backup: "&amp;IF(LEN(INDEX('Checklist'!$F$4:$F$503,_calc!$E$468))=0,"",INDEX('Checklist'!$F$4:$F$503,_calc!$E$468))&amp;". ")&amp;IF(LEN(IF(LEN(INDEX('Checklist'!$J$4:$J$503,_calc!$E$468))=0,"",INDEX('Checklist'!$J$4:$J$503,_calc!$E$468)))=0,"","Evidence: "&amp;IF(LEN(INDEX('Checklist'!$J$4:$J$503,_calc!$E$468))=0,"",INDEX('Checklist'!$J$4:$J$503,_calc!$E$468))&amp;". ")&amp;IF(LEN(IF(LEN(INDEX('Checklist'!$D$4:$D$503,_calc!$E$468))=0,"",INDEX('Checklist'!$D$4:$D$503,_calc!$E$468)))=0,"","Rule example: "&amp;IF(LEN(INDEX('Checklist'!$D$4:$D$503,_calc!$E$468))=0,"",INDEX('Checklist'!$D$4:$D$503,_calc!$E$468))&amp;". ")&amp;IF(LEN(IF(LEN(INDEX('Checklist'!$P$4:$P$503,_calc!$E$468))=0,"",INDEX('Checklist'!$P$4:$P$503,_calc!$E$468)))=0,"",IF(LEN(INDEX('Checklist'!$P$4:$P$503,_calc!$E$468))=0,"",INDEX('Checklist'!$P$4:$P$503,_calc!$E$468)))))</f>
        <v/>
      </c>
      <c r="K466" s="44">
        <f>IF(_calc!$E$468="","",IF(LEN(INDEX('Checklist'!$G$4:$G$503,_calc!$E$468))=0,"",INDEX('Checklist'!$G$4:$G$503,_calc!$E$468)))</f>
        <v/>
      </c>
    </row>
    <row r="467">
      <c r="A467" s="44">
        <f>IF(_calc!$E$469="","","Survey check – "&amp;IF(LEN(INDEX('Checklist'!$C$4:$C$503,_calc!$E$469))=0,"",INDEX('Checklist'!$C$4:$C$503,_calc!$E$469)))</f>
        <v/>
      </c>
      <c r="B467" s="44">
        <f>IF(_calc!$E$469="","",IF(ISNUMBER(INDEX('Checklist'!$L$4:$L$503,_calc!$E$469)),TEXT(INDEX('Checklist'!$L$4:$L$503,_calc!$E$469),"yyyy-mm-dd"),""))</f>
        <v/>
      </c>
      <c r="C467" s="44">
        <f>IF(_calc!$E$469="","","Survey readiness")</f>
        <v/>
      </c>
      <c r="D467" s="44">
        <f>IF(_calc!$E$469="","",IF(ISNUMBER(INDEX('Checklist'!$H$4:$H$503,_calc!$E$469)),TEXT(INDEX('Checklist'!$H$4:$H$503,_calc!$E$469),"yyyy-mm-dd"),""))</f>
        <v/>
      </c>
      <c r="F467" s="44">
        <f>IF(_calc!$E$469="","",TRIM(IF(LEN(IF(LEN(INDEX('Checklist'!$A$4:$A$503,_calc!$E$469))=0,"",INDEX('Checklist'!$A$4:$A$503,_calc!$E$469)))=0,"","Group: "&amp;IF(LEN(INDEX('Checklist'!$A$4:$A$503,_calc!$E$469))=0,"",INDEX('Checklist'!$A$4:$A$503,_calc!$E$469))&amp;". ")&amp;IF(LEN(IF(LEN(INDEX('Checklist'!$E$4:$E$503,_calc!$E$469))=0,"",INDEX('Checklist'!$E$4:$E$503,_calc!$E$469)))=0,"","Owner: "&amp;IF(LEN(INDEX('Checklist'!$E$4:$E$503,_calc!$E$469))=0,"",INDEX('Checklist'!$E$4:$E$503,_calc!$E$469))&amp;". ")&amp;IF(LEN(IF(LEN(INDEX('Checklist'!$F$4:$F$503,_calc!$E$469))=0,"",INDEX('Checklist'!$F$4:$F$503,_calc!$E$469)))=0,"","Backup: "&amp;IF(LEN(INDEX('Checklist'!$F$4:$F$503,_calc!$E$469))=0,"",INDEX('Checklist'!$F$4:$F$503,_calc!$E$469))&amp;". ")&amp;IF(LEN(IF(LEN(INDEX('Checklist'!$J$4:$J$503,_calc!$E$469))=0,"",INDEX('Checklist'!$J$4:$J$503,_calc!$E$469)))=0,"","Evidence: "&amp;IF(LEN(INDEX('Checklist'!$J$4:$J$503,_calc!$E$469))=0,"",INDEX('Checklist'!$J$4:$J$503,_calc!$E$469))&amp;". ")&amp;IF(LEN(IF(LEN(INDEX('Checklist'!$D$4:$D$503,_calc!$E$469))=0,"",INDEX('Checklist'!$D$4:$D$503,_calc!$E$469)))=0,"","Rule example: "&amp;IF(LEN(INDEX('Checklist'!$D$4:$D$503,_calc!$E$469))=0,"",INDEX('Checklist'!$D$4:$D$503,_calc!$E$469))&amp;". ")&amp;IF(LEN(IF(LEN(INDEX('Checklist'!$P$4:$P$503,_calc!$E$469))=0,"",INDEX('Checklist'!$P$4:$P$503,_calc!$E$469)))=0,"",IF(LEN(INDEX('Checklist'!$P$4:$P$503,_calc!$E$469))=0,"",INDEX('Checklist'!$P$4:$P$503,_calc!$E$469)))))</f>
        <v/>
      </c>
      <c r="K467" s="44">
        <f>IF(_calc!$E$469="","",IF(LEN(INDEX('Checklist'!$G$4:$G$503,_calc!$E$469))=0,"",INDEX('Checklist'!$G$4:$G$503,_calc!$E$469)))</f>
        <v/>
      </c>
    </row>
    <row r="468">
      <c r="A468" s="44">
        <f>IF(_calc!$E$470="","","Survey check – "&amp;IF(LEN(INDEX('Checklist'!$C$4:$C$503,_calc!$E$470))=0,"",INDEX('Checklist'!$C$4:$C$503,_calc!$E$470)))</f>
        <v/>
      </c>
      <c r="B468" s="44">
        <f>IF(_calc!$E$470="","",IF(ISNUMBER(INDEX('Checklist'!$L$4:$L$503,_calc!$E$470)),TEXT(INDEX('Checklist'!$L$4:$L$503,_calc!$E$470),"yyyy-mm-dd"),""))</f>
        <v/>
      </c>
      <c r="C468" s="44">
        <f>IF(_calc!$E$470="","","Survey readiness")</f>
        <v/>
      </c>
      <c r="D468" s="44">
        <f>IF(_calc!$E$470="","",IF(ISNUMBER(INDEX('Checklist'!$H$4:$H$503,_calc!$E$470)),TEXT(INDEX('Checklist'!$H$4:$H$503,_calc!$E$470),"yyyy-mm-dd"),""))</f>
        <v/>
      </c>
      <c r="F468" s="44">
        <f>IF(_calc!$E$470="","",TRIM(IF(LEN(IF(LEN(INDEX('Checklist'!$A$4:$A$503,_calc!$E$470))=0,"",INDEX('Checklist'!$A$4:$A$503,_calc!$E$470)))=0,"","Group: "&amp;IF(LEN(INDEX('Checklist'!$A$4:$A$503,_calc!$E$470))=0,"",INDEX('Checklist'!$A$4:$A$503,_calc!$E$470))&amp;". ")&amp;IF(LEN(IF(LEN(INDEX('Checklist'!$E$4:$E$503,_calc!$E$470))=0,"",INDEX('Checklist'!$E$4:$E$503,_calc!$E$470)))=0,"","Owner: "&amp;IF(LEN(INDEX('Checklist'!$E$4:$E$503,_calc!$E$470))=0,"",INDEX('Checklist'!$E$4:$E$503,_calc!$E$470))&amp;". ")&amp;IF(LEN(IF(LEN(INDEX('Checklist'!$F$4:$F$503,_calc!$E$470))=0,"",INDEX('Checklist'!$F$4:$F$503,_calc!$E$470)))=0,"","Backup: "&amp;IF(LEN(INDEX('Checklist'!$F$4:$F$503,_calc!$E$470))=0,"",INDEX('Checklist'!$F$4:$F$503,_calc!$E$470))&amp;". ")&amp;IF(LEN(IF(LEN(INDEX('Checklist'!$J$4:$J$503,_calc!$E$470))=0,"",INDEX('Checklist'!$J$4:$J$503,_calc!$E$470)))=0,"","Evidence: "&amp;IF(LEN(INDEX('Checklist'!$J$4:$J$503,_calc!$E$470))=0,"",INDEX('Checklist'!$J$4:$J$503,_calc!$E$470))&amp;". ")&amp;IF(LEN(IF(LEN(INDEX('Checklist'!$D$4:$D$503,_calc!$E$470))=0,"",INDEX('Checklist'!$D$4:$D$503,_calc!$E$470)))=0,"","Rule example: "&amp;IF(LEN(INDEX('Checklist'!$D$4:$D$503,_calc!$E$470))=0,"",INDEX('Checklist'!$D$4:$D$503,_calc!$E$470))&amp;". ")&amp;IF(LEN(IF(LEN(INDEX('Checklist'!$P$4:$P$503,_calc!$E$470))=0,"",INDEX('Checklist'!$P$4:$P$503,_calc!$E$470)))=0,"",IF(LEN(INDEX('Checklist'!$P$4:$P$503,_calc!$E$470))=0,"",INDEX('Checklist'!$P$4:$P$503,_calc!$E$470)))))</f>
        <v/>
      </c>
      <c r="K468" s="44">
        <f>IF(_calc!$E$470="","",IF(LEN(INDEX('Checklist'!$G$4:$G$503,_calc!$E$470))=0,"",INDEX('Checklist'!$G$4:$G$503,_calc!$E$470)))</f>
        <v/>
      </c>
    </row>
    <row r="469">
      <c r="A469" s="44">
        <f>IF(_calc!$E$471="","","Survey check – "&amp;IF(LEN(INDEX('Checklist'!$C$4:$C$503,_calc!$E$471))=0,"",INDEX('Checklist'!$C$4:$C$503,_calc!$E$471)))</f>
        <v/>
      </c>
      <c r="B469" s="44">
        <f>IF(_calc!$E$471="","",IF(ISNUMBER(INDEX('Checklist'!$L$4:$L$503,_calc!$E$471)),TEXT(INDEX('Checklist'!$L$4:$L$503,_calc!$E$471),"yyyy-mm-dd"),""))</f>
        <v/>
      </c>
      <c r="C469" s="44">
        <f>IF(_calc!$E$471="","","Survey readiness")</f>
        <v/>
      </c>
      <c r="D469" s="44">
        <f>IF(_calc!$E$471="","",IF(ISNUMBER(INDEX('Checklist'!$H$4:$H$503,_calc!$E$471)),TEXT(INDEX('Checklist'!$H$4:$H$503,_calc!$E$471),"yyyy-mm-dd"),""))</f>
        <v/>
      </c>
      <c r="F469" s="44">
        <f>IF(_calc!$E$471="","",TRIM(IF(LEN(IF(LEN(INDEX('Checklist'!$A$4:$A$503,_calc!$E$471))=0,"",INDEX('Checklist'!$A$4:$A$503,_calc!$E$471)))=0,"","Group: "&amp;IF(LEN(INDEX('Checklist'!$A$4:$A$503,_calc!$E$471))=0,"",INDEX('Checklist'!$A$4:$A$503,_calc!$E$471))&amp;". ")&amp;IF(LEN(IF(LEN(INDEX('Checklist'!$E$4:$E$503,_calc!$E$471))=0,"",INDEX('Checklist'!$E$4:$E$503,_calc!$E$471)))=0,"","Owner: "&amp;IF(LEN(INDEX('Checklist'!$E$4:$E$503,_calc!$E$471))=0,"",INDEX('Checklist'!$E$4:$E$503,_calc!$E$471))&amp;". ")&amp;IF(LEN(IF(LEN(INDEX('Checklist'!$F$4:$F$503,_calc!$E$471))=0,"",INDEX('Checklist'!$F$4:$F$503,_calc!$E$471)))=0,"","Backup: "&amp;IF(LEN(INDEX('Checklist'!$F$4:$F$503,_calc!$E$471))=0,"",INDEX('Checklist'!$F$4:$F$503,_calc!$E$471))&amp;". ")&amp;IF(LEN(IF(LEN(INDEX('Checklist'!$J$4:$J$503,_calc!$E$471))=0,"",INDEX('Checklist'!$J$4:$J$503,_calc!$E$471)))=0,"","Evidence: "&amp;IF(LEN(INDEX('Checklist'!$J$4:$J$503,_calc!$E$471))=0,"",INDEX('Checklist'!$J$4:$J$503,_calc!$E$471))&amp;". ")&amp;IF(LEN(IF(LEN(INDEX('Checklist'!$D$4:$D$503,_calc!$E$471))=0,"",INDEX('Checklist'!$D$4:$D$503,_calc!$E$471)))=0,"","Rule example: "&amp;IF(LEN(INDEX('Checklist'!$D$4:$D$503,_calc!$E$471))=0,"",INDEX('Checklist'!$D$4:$D$503,_calc!$E$471))&amp;". ")&amp;IF(LEN(IF(LEN(INDEX('Checklist'!$P$4:$P$503,_calc!$E$471))=0,"",INDEX('Checklist'!$P$4:$P$503,_calc!$E$471)))=0,"",IF(LEN(INDEX('Checklist'!$P$4:$P$503,_calc!$E$471))=0,"",INDEX('Checklist'!$P$4:$P$503,_calc!$E$471)))))</f>
        <v/>
      </c>
      <c r="K469" s="44">
        <f>IF(_calc!$E$471="","",IF(LEN(INDEX('Checklist'!$G$4:$G$503,_calc!$E$471))=0,"",INDEX('Checklist'!$G$4:$G$503,_calc!$E$471)))</f>
        <v/>
      </c>
    </row>
    <row r="470">
      <c r="A470" s="44">
        <f>IF(_calc!$E$472="","","Survey check – "&amp;IF(LEN(INDEX('Checklist'!$C$4:$C$503,_calc!$E$472))=0,"",INDEX('Checklist'!$C$4:$C$503,_calc!$E$472)))</f>
        <v/>
      </c>
      <c r="B470" s="44">
        <f>IF(_calc!$E$472="","",IF(ISNUMBER(INDEX('Checklist'!$L$4:$L$503,_calc!$E$472)),TEXT(INDEX('Checklist'!$L$4:$L$503,_calc!$E$472),"yyyy-mm-dd"),""))</f>
        <v/>
      </c>
      <c r="C470" s="44">
        <f>IF(_calc!$E$472="","","Survey readiness")</f>
        <v/>
      </c>
      <c r="D470" s="44">
        <f>IF(_calc!$E$472="","",IF(ISNUMBER(INDEX('Checklist'!$H$4:$H$503,_calc!$E$472)),TEXT(INDEX('Checklist'!$H$4:$H$503,_calc!$E$472),"yyyy-mm-dd"),""))</f>
        <v/>
      </c>
      <c r="F470" s="44">
        <f>IF(_calc!$E$472="","",TRIM(IF(LEN(IF(LEN(INDEX('Checklist'!$A$4:$A$503,_calc!$E$472))=0,"",INDEX('Checklist'!$A$4:$A$503,_calc!$E$472)))=0,"","Group: "&amp;IF(LEN(INDEX('Checklist'!$A$4:$A$503,_calc!$E$472))=0,"",INDEX('Checklist'!$A$4:$A$503,_calc!$E$472))&amp;". ")&amp;IF(LEN(IF(LEN(INDEX('Checklist'!$E$4:$E$503,_calc!$E$472))=0,"",INDEX('Checklist'!$E$4:$E$503,_calc!$E$472)))=0,"","Owner: "&amp;IF(LEN(INDEX('Checklist'!$E$4:$E$503,_calc!$E$472))=0,"",INDEX('Checklist'!$E$4:$E$503,_calc!$E$472))&amp;". ")&amp;IF(LEN(IF(LEN(INDEX('Checklist'!$F$4:$F$503,_calc!$E$472))=0,"",INDEX('Checklist'!$F$4:$F$503,_calc!$E$472)))=0,"","Backup: "&amp;IF(LEN(INDEX('Checklist'!$F$4:$F$503,_calc!$E$472))=0,"",INDEX('Checklist'!$F$4:$F$503,_calc!$E$472))&amp;". ")&amp;IF(LEN(IF(LEN(INDEX('Checklist'!$J$4:$J$503,_calc!$E$472))=0,"",INDEX('Checklist'!$J$4:$J$503,_calc!$E$472)))=0,"","Evidence: "&amp;IF(LEN(INDEX('Checklist'!$J$4:$J$503,_calc!$E$472))=0,"",INDEX('Checklist'!$J$4:$J$503,_calc!$E$472))&amp;". ")&amp;IF(LEN(IF(LEN(INDEX('Checklist'!$D$4:$D$503,_calc!$E$472))=0,"",INDEX('Checklist'!$D$4:$D$503,_calc!$E$472)))=0,"","Rule example: "&amp;IF(LEN(INDEX('Checklist'!$D$4:$D$503,_calc!$E$472))=0,"",INDEX('Checklist'!$D$4:$D$503,_calc!$E$472))&amp;". ")&amp;IF(LEN(IF(LEN(INDEX('Checklist'!$P$4:$P$503,_calc!$E$472))=0,"",INDEX('Checklist'!$P$4:$P$503,_calc!$E$472)))=0,"",IF(LEN(INDEX('Checklist'!$P$4:$P$503,_calc!$E$472))=0,"",INDEX('Checklist'!$P$4:$P$503,_calc!$E$472)))))</f>
        <v/>
      </c>
      <c r="K470" s="44">
        <f>IF(_calc!$E$472="","",IF(LEN(INDEX('Checklist'!$G$4:$G$503,_calc!$E$472))=0,"",INDEX('Checklist'!$G$4:$G$503,_calc!$E$472)))</f>
        <v/>
      </c>
    </row>
    <row r="471">
      <c r="A471" s="44">
        <f>IF(_calc!$E$473="","","Survey check – "&amp;IF(LEN(INDEX('Checklist'!$C$4:$C$503,_calc!$E$473))=0,"",INDEX('Checklist'!$C$4:$C$503,_calc!$E$473)))</f>
        <v/>
      </c>
      <c r="B471" s="44">
        <f>IF(_calc!$E$473="","",IF(ISNUMBER(INDEX('Checklist'!$L$4:$L$503,_calc!$E$473)),TEXT(INDEX('Checklist'!$L$4:$L$503,_calc!$E$473),"yyyy-mm-dd"),""))</f>
        <v/>
      </c>
      <c r="C471" s="44">
        <f>IF(_calc!$E$473="","","Survey readiness")</f>
        <v/>
      </c>
      <c r="D471" s="44">
        <f>IF(_calc!$E$473="","",IF(ISNUMBER(INDEX('Checklist'!$H$4:$H$503,_calc!$E$473)),TEXT(INDEX('Checklist'!$H$4:$H$503,_calc!$E$473),"yyyy-mm-dd"),""))</f>
        <v/>
      </c>
      <c r="F471" s="44">
        <f>IF(_calc!$E$473="","",TRIM(IF(LEN(IF(LEN(INDEX('Checklist'!$A$4:$A$503,_calc!$E$473))=0,"",INDEX('Checklist'!$A$4:$A$503,_calc!$E$473)))=0,"","Group: "&amp;IF(LEN(INDEX('Checklist'!$A$4:$A$503,_calc!$E$473))=0,"",INDEX('Checklist'!$A$4:$A$503,_calc!$E$473))&amp;". ")&amp;IF(LEN(IF(LEN(INDEX('Checklist'!$E$4:$E$503,_calc!$E$473))=0,"",INDEX('Checklist'!$E$4:$E$503,_calc!$E$473)))=0,"","Owner: "&amp;IF(LEN(INDEX('Checklist'!$E$4:$E$503,_calc!$E$473))=0,"",INDEX('Checklist'!$E$4:$E$503,_calc!$E$473))&amp;". ")&amp;IF(LEN(IF(LEN(INDEX('Checklist'!$F$4:$F$503,_calc!$E$473))=0,"",INDEX('Checklist'!$F$4:$F$503,_calc!$E$473)))=0,"","Backup: "&amp;IF(LEN(INDEX('Checklist'!$F$4:$F$503,_calc!$E$473))=0,"",INDEX('Checklist'!$F$4:$F$503,_calc!$E$473))&amp;". ")&amp;IF(LEN(IF(LEN(INDEX('Checklist'!$J$4:$J$503,_calc!$E$473))=0,"",INDEX('Checklist'!$J$4:$J$503,_calc!$E$473)))=0,"","Evidence: "&amp;IF(LEN(INDEX('Checklist'!$J$4:$J$503,_calc!$E$473))=0,"",INDEX('Checklist'!$J$4:$J$503,_calc!$E$473))&amp;". ")&amp;IF(LEN(IF(LEN(INDEX('Checklist'!$D$4:$D$503,_calc!$E$473))=0,"",INDEX('Checklist'!$D$4:$D$503,_calc!$E$473)))=0,"","Rule example: "&amp;IF(LEN(INDEX('Checklist'!$D$4:$D$503,_calc!$E$473))=0,"",INDEX('Checklist'!$D$4:$D$503,_calc!$E$473))&amp;". ")&amp;IF(LEN(IF(LEN(INDEX('Checklist'!$P$4:$P$503,_calc!$E$473))=0,"",INDEX('Checklist'!$P$4:$P$503,_calc!$E$473)))=0,"",IF(LEN(INDEX('Checklist'!$P$4:$P$503,_calc!$E$473))=0,"",INDEX('Checklist'!$P$4:$P$503,_calc!$E$473)))))</f>
        <v/>
      </c>
      <c r="K471" s="44">
        <f>IF(_calc!$E$473="","",IF(LEN(INDEX('Checklist'!$G$4:$G$503,_calc!$E$473))=0,"",INDEX('Checklist'!$G$4:$G$503,_calc!$E$473)))</f>
        <v/>
      </c>
    </row>
    <row r="472">
      <c r="A472" s="44">
        <f>IF(_calc!$E$474="","","Survey check – "&amp;IF(LEN(INDEX('Checklist'!$C$4:$C$503,_calc!$E$474))=0,"",INDEX('Checklist'!$C$4:$C$503,_calc!$E$474)))</f>
        <v/>
      </c>
      <c r="B472" s="44">
        <f>IF(_calc!$E$474="","",IF(ISNUMBER(INDEX('Checklist'!$L$4:$L$503,_calc!$E$474)),TEXT(INDEX('Checklist'!$L$4:$L$503,_calc!$E$474),"yyyy-mm-dd"),""))</f>
        <v/>
      </c>
      <c r="C472" s="44">
        <f>IF(_calc!$E$474="","","Survey readiness")</f>
        <v/>
      </c>
      <c r="D472" s="44">
        <f>IF(_calc!$E$474="","",IF(ISNUMBER(INDEX('Checklist'!$H$4:$H$503,_calc!$E$474)),TEXT(INDEX('Checklist'!$H$4:$H$503,_calc!$E$474),"yyyy-mm-dd"),""))</f>
        <v/>
      </c>
      <c r="F472" s="44">
        <f>IF(_calc!$E$474="","",TRIM(IF(LEN(IF(LEN(INDEX('Checklist'!$A$4:$A$503,_calc!$E$474))=0,"",INDEX('Checklist'!$A$4:$A$503,_calc!$E$474)))=0,"","Group: "&amp;IF(LEN(INDEX('Checklist'!$A$4:$A$503,_calc!$E$474))=0,"",INDEX('Checklist'!$A$4:$A$503,_calc!$E$474))&amp;". ")&amp;IF(LEN(IF(LEN(INDEX('Checklist'!$E$4:$E$503,_calc!$E$474))=0,"",INDEX('Checklist'!$E$4:$E$503,_calc!$E$474)))=0,"","Owner: "&amp;IF(LEN(INDEX('Checklist'!$E$4:$E$503,_calc!$E$474))=0,"",INDEX('Checklist'!$E$4:$E$503,_calc!$E$474))&amp;". ")&amp;IF(LEN(IF(LEN(INDEX('Checklist'!$F$4:$F$503,_calc!$E$474))=0,"",INDEX('Checklist'!$F$4:$F$503,_calc!$E$474)))=0,"","Backup: "&amp;IF(LEN(INDEX('Checklist'!$F$4:$F$503,_calc!$E$474))=0,"",INDEX('Checklist'!$F$4:$F$503,_calc!$E$474))&amp;". ")&amp;IF(LEN(IF(LEN(INDEX('Checklist'!$J$4:$J$503,_calc!$E$474))=0,"",INDEX('Checklist'!$J$4:$J$503,_calc!$E$474)))=0,"","Evidence: "&amp;IF(LEN(INDEX('Checklist'!$J$4:$J$503,_calc!$E$474))=0,"",INDEX('Checklist'!$J$4:$J$503,_calc!$E$474))&amp;". ")&amp;IF(LEN(IF(LEN(INDEX('Checklist'!$D$4:$D$503,_calc!$E$474))=0,"",INDEX('Checklist'!$D$4:$D$503,_calc!$E$474)))=0,"","Rule example: "&amp;IF(LEN(INDEX('Checklist'!$D$4:$D$503,_calc!$E$474))=0,"",INDEX('Checklist'!$D$4:$D$503,_calc!$E$474))&amp;". ")&amp;IF(LEN(IF(LEN(INDEX('Checklist'!$P$4:$P$503,_calc!$E$474))=0,"",INDEX('Checklist'!$P$4:$P$503,_calc!$E$474)))=0,"",IF(LEN(INDEX('Checklist'!$P$4:$P$503,_calc!$E$474))=0,"",INDEX('Checklist'!$P$4:$P$503,_calc!$E$474)))))</f>
        <v/>
      </c>
      <c r="K472" s="44">
        <f>IF(_calc!$E$474="","",IF(LEN(INDEX('Checklist'!$G$4:$G$503,_calc!$E$474))=0,"",INDEX('Checklist'!$G$4:$G$503,_calc!$E$474)))</f>
        <v/>
      </c>
    </row>
    <row r="473">
      <c r="A473" s="44">
        <f>IF(_calc!$E$475="","","Survey check – "&amp;IF(LEN(INDEX('Checklist'!$C$4:$C$503,_calc!$E$475))=0,"",INDEX('Checklist'!$C$4:$C$503,_calc!$E$475)))</f>
        <v/>
      </c>
      <c r="B473" s="44">
        <f>IF(_calc!$E$475="","",IF(ISNUMBER(INDEX('Checklist'!$L$4:$L$503,_calc!$E$475)),TEXT(INDEX('Checklist'!$L$4:$L$503,_calc!$E$475),"yyyy-mm-dd"),""))</f>
        <v/>
      </c>
      <c r="C473" s="44">
        <f>IF(_calc!$E$475="","","Survey readiness")</f>
        <v/>
      </c>
      <c r="D473" s="44">
        <f>IF(_calc!$E$475="","",IF(ISNUMBER(INDEX('Checklist'!$H$4:$H$503,_calc!$E$475)),TEXT(INDEX('Checklist'!$H$4:$H$503,_calc!$E$475),"yyyy-mm-dd"),""))</f>
        <v/>
      </c>
      <c r="F473" s="44">
        <f>IF(_calc!$E$475="","",TRIM(IF(LEN(IF(LEN(INDEX('Checklist'!$A$4:$A$503,_calc!$E$475))=0,"",INDEX('Checklist'!$A$4:$A$503,_calc!$E$475)))=0,"","Group: "&amp;IF(LEN(INDEX('Checklist'!$A$4:$A$503,_calc!$E$475))=0,"",INDEX('Checklist'!$A$4:$A$503,_calc!$E$475))&amp;". ")&amp;IF(LEN(IF(LEN(INDEX('Checklist'!$E$4:$E$503,_calc!$E$475))=0,"",INDEX('Checklist'!$E$4:$E$503,_calc!$E$475)))=0,"","Owner: "&amp;IF(LEN(INDEX('Checklist'!$E$4:$E$503,_calc!$E$475))=0,"",INDEX('Checklist'!$E$4:$E$503,_calc!$E$475))&amp;". ")&amp;IF(LEN(IF(LEN(INDEX('Checklist'!$F$4:$F$503,_calc!$E$475))=0,"",INDEX('Checklist'!$F$4:$F$503,_calc!$E$475)))=0,"","Backup: "&amp;IF(LEN(INDEX('Checklist'!$F$4:$F$503,_calc!$E$475))=0,"",INDEX('Checklist'!$F$4:$F$503,_calc!$E$475))&amp;". ")&amp;IF(LEN(IF(LEN(INDEX('Checklist'!$J$4:$J$503,_calc!$E$475))=0,"",INDEX('Checklist'!$J$4:$J$503,_calc!$E$475)))=0,"","Evidence: "&amp;IF(LEN(INDEX('Checklist'!$J$4:$J$503,_calc!$E$475))=0,"",INDEX('Checklist'!$J$4:$J$503,_calc!$E$475))&amp;". ")&amp;IF(LEN(IF(LEN(INDEX('Checklist'!$D$4:$D$503,_calc!$E$475))=0,"",INDEX('Checklist'!$D$4:$D$503,_calc!$E$475)))=0,"","Rule example: "&amp;IF(LEN(INDEX('Checklist'!$D$4:$D$503,_calc!$E$475))=0,"",INDEX('Checklist'!$D$4:$D$503,_calc!$E$475))&amp;". ")&amp;IF(LEN(IF(LEN(INDEX('Checklist'!$P$4:$P$503,_calc!$E$475))=0,"",INDEX('Checklist'!$P$4:$P$503,_calc!$E$475)))=0,"",IF(LEN(INDEX('Checklist'!$P$4:$P$503,_calc!$E$475))=0,"",INDEX('Checklist'!$P$4:$P$503,_calc!$E$475)))))</f>
        <v/>
      </c>
      <c r="K473" s="44">
        <f>IF(_calc!$E$475="","",IF(LEN(INDEX('Checklist'!$G$4:$G$503,_calc!$E$475))=0,"",INDEX('Checklist'!$G$4:$G$503,_calc!$E$475)))</f>
        <v/>
      </c>
    </row>
    <row r="474">
      <c r="A474" s="44">
        <f>IF(_calc!$E$476="","","Survey check – "&amp;IF(LEN(INDEX('Checklist'!$C$4:$C$503,_calc!$E$476))=0,"",INDEX('Checklist'!$C$4:$C$503,_calc!$E$476)))</f>
        <v/>
      </c>
      <c r="B474" s="44">
        <f>IF(_calc!$E$476="","",IF(ISNUMBER(INDEX('Checklist'!$L$4:$L$503,_calc!$E$476)),TEXT(INDEX('Checklist'!$L$4:$L$503,_calc!$E$476),"yyyy-mm-dd"),""))</f>
        <v/>
      </c>
      <c r="C474" s="44">
        <f>IF(_calc!$E$476="","","Survey readiness")</f>
        <v/>
      </c>
      <c r="D474" s="44">
        <f>IF(_calc!$E$476="","",IF(ISNUMBER(INDEX('Checklist'!$H$4:$H$503,_calc!$E$476)),TEXT(INDEX('Checklist'!$H$4:$H$503,_calc!$E$476),"yyyy-mm-dd"),""))</f>
        <v/>
      </c>
      <c r="F474" s="44">
        <f>IF(_calc!$E$476="","",TRIM(IF(LEN(IF(LEN(INDEX('Checklist'!$A$4:$A$503,_calc!$E$476))=0,"",INDEX('Checklist'!$A$4:$A$503,_calc!$E$476)))=0,"","Group: "&amp;IF(LEN(INDEX('Checklist'!$A$4:$A$503,_calc!$E$476))=0,"",INDEX('Checklist'!$A$4:$A$503,_calc!$E$476))&amp;". ")&amp;IF(LEN(IF(LEN(INDEX('Checklist'!$E$4:$E$503,_calc!$E$476))=0,"",INDEX('Checklist'!$E$4:$E$503,_calc!$E$476)))=0,"","Owner: "&amp;IF(LEN(INDEX('Checklist'!$E$4:$E$503,_calc!$E$476))=0,"",INDEX('Checklist'!$E$4:$E$503,_calc!$E$476))&amp;". ")&amp;IF(LEN(IF(LEN(INDEX('Checklist'!$F$4:$F$503,_calc!$E$476))=0,"",INDEX('Checklist'!$F$4:$F$503,_calc!$E$476)))=0,"","Backup: "&amp;IF(LEN(INDEX('Checklist'!$F$4:$F$503,_calc!$E$476))=0,"",INDEX('Checklist'!$F$4:$F$503,_calc!$E$476))&amp;". ")&amp;IF(LEN(IF(LEN(INDEX('Checklist'!$J$4:$J$503,_calc!$E$476))=0,"",INDEX('Checklist'!$J$4:$J$503,_calc!$E$476)))=0,"","Evidence: "&amp;IF(LEN(INDEX('Checklist'!$J$4:$J$503,_calc!$E$476))=0,"",INDEX('Checklist'!$J$4:$J$503,_calc!$E$476))&amp;". ")&amp;IF(LEN(IF(LEN(INDEX('Checklist'!$D$4:$D$503,_calc!$E$476))=0,"",INDEX('Checklist'!$D$4:$D$503,_calc!$E$476)))=0,"","Rule example: "&amp;IF(LEN(INDEX('Checklist'!$D$4:$D$503,_calc!$E$476))=0,"",INDEX('Checklist'!$D$4:$D$503,_calc!$E$476))&amp;". ")&amp;IF(LEN(IF(LEN(INDEX('Checklist'!$P$4:$P$503,_calc!$E$476))=0,"",INDEX('Checklist'!$P$4:$P$503,_calc!$E$476)))=0,"",IF(LEN(INDEX('Checklist'!$P$4:$P$503,_calc!$E$476))=0,"",INDEX('Checklist'!$P$4:$P$503,_calc!$E$476)))))</f>
        <v/>
      </c>
      <c r="K474" s="44">
        <f>IF(_calc!$E$476="","",IF(LEN(INDEX('Checklist'!$G$4:$G$503,_calc!$E$476))=0,"",INDEX('Checklist'!$G$4:$G$503,_calc!$E$476)))</f>
        <v/>
      </c>
    </row>
    <row r="475">
      <c r="A475" s="44">
        <f>IF(_calc!$E$477="","","Survey check – "&amp;IF(LEN(INDEX('Checklist'!$C$4:$C$503,_calc!$E$477))=0,"",INDEX('Checklist'!$C$4:$C$503,_calc!$E$477)))</f>
        <v/>
      </c>
      <c r="B475" s="44">
        <f>IF(_calc!$E$477="","",IF(ISNUMBER(INDEX('Checklist'!$L$4:$L$503,_calc!$E$477)),TEXT(INDEX('Checklist'!$L$4:$L$503,_calc!$E$477),"yyyy-mm-dd"),""))</f>
        <v/>
      </c>
      <c r="C475" s="44">
        <f>IF(_calc!$E$477="","","Survey readiness")</f>
        <v/>
      </c>
      <c r="D475" s="44">
        <f>IF(_calc!$E$477="","",IF(ISNUMBER(INDEX('Checklist'!$H$4:$H$503,_calc!$E$477)),TEXT(INDEX('Checklist'!$H$4:$H$503,_calc!$E$477),"yyyy-mm-dd"),""))</f>
        <v/>
      </c>
      <c r="F475" s="44">
        <f>IF(_calc!$E$477="","",TRIM(IF(LEN(IF(LEN(INDEX('Checklist'!$A$4:$A$503,_calc!$E$477))=0,"",INDEX('Checklist'!$A$4:$A$503,_calc!$E$477)))=0,"","Group: "&amp;IF(LEN(INDEX('Checklist'!$A$4:$A$503,_calc!$E$477))=0,"",INDEX('Checklist'!$A$4:$A$503,_calc!$E$477))&amp;". ")&amp;IF(LEN(IF(LEN(INDEX('Checklist'!$E$4:$E$503,_calc!$E$477))=0,"",INDEX('Checklist'!$E$4:$E$503,_calc!$E$477)))=0,"","Owner: "&amp;IF(LEN(INDEX('Checklist'!$E$4:$E$503,_calc!$E$477))=0,"",INDEX('Checklist'!$E$4:$E$503,_calc!$E$477))&amp;". ")&amp;IF(LEN(IF(LEN(INDEX('Checklist'!$F$4:$F$503,_calc!$E$477))=0,"",INDEX('Checklist'!$F$4:$F$503,_calc!$E$477)))=0,"","Backup: "&amp;IF(LEN(INDEX('Checklist'!$F$4:$F$503,_calc!$E$477))=0,"",INDEX('Checklist'!$F$4:$F$503,_calc!$E$477))&amp;". ")&amp;IF(LEN(IF(LEN(INDEX('Checklist'!$J$4:$J$503,_calc!$E$477))=0,"",INDEX('Checklist'!$J$4:$J$503,_calc!$E$477)))=0,"","Evidence: "&amp;IF(LEN(INDEX('Checklist'!$J$4:$J$503,_calc!$E$477))=0,"",INDEX('Checklist'!$J$4:$J$503,_calc!$E$477))&amp;". ")&amp;IF(LEN(IF(LEN(INDEX('Checklist'!$D$4:$D$503,_calc!$E$477))=0,"",INDEX('Checklist'!$D$4:$D$503,_calc!$E$477)))=0,"","Rule example: "&amp;IF(LEN(INDEX('Checklist'!$D$4:$D$503,_calc!$E$477))=0,"",INDEX('Checklist'!$D$4:$D$503,_calc!$E$477))&amp;". ")&amp;IF(LEN(IF(LEN(INDEX('Checklist'!$P$4:$P$503,_calc!$E$477))=0,"",INDEX('Checklist'!$P$4:$P$503,_calc!$E$477)))=0,"",IF(LEN(INDEX('Checklist'!$P$4:$P$503,_calc!$E$477))=0,"",INDEX('Checklist'!$P$4:$P$503,_calc!$E$477)))))</f>
        <v/>
      </c>
      <c r="K475" s="44">
        <f>IF(_calc!$E$477="","",IF(LEN(INDEX('Checklist'!$G$4:$G$503,_calc!$E$477))=0,"",INDEX('Checklist'!$G$4:$G$503,_calc!$E$477)))</f>
        <v/>
      </c>
    </row>
    <row r="476">
      <c r="A476" s="44">
        <f>IF(_calc!$E$478="","","Survey check – "&amp;IF(LEN(INDEX('Checklist'!$C$4:$C$503,_calc!$E$478))=0,"",INDEX('Checklist'!$C$4:$C$503,_calc!$E$478)))</f>
        <v/>
      </c>
      <c r="B476" s="44">
        <f>IF(_calc!$E$478="","",IF(ISNUMBER(INDEX('Checklist'!$L$4:$L$503,_calc!$E$478)),TEXT(INDEX('Checklist'!$L$4:$L$503,_calc!$E$478),"yyyy-mm-dd"),""))</f>
        <v/>
      </c>
      <c r="C476" s="44">
        <f>IF(_calc!$E$478="","","Survey readiness")</f>
        <v/>
      </c>
      <c r="D476" s="44">
        <f>IF(_calc!$E$478="","",IF(ISNUMBER(INDEX('Checklist'!$H$4:$H$503,_calc!$E$478)),TEXT(INDEX('Checklist'!$H$4:$H$503,_calc!$E$478),"yyyy-mm-dd"),""))</f>
        <v/>
      </c>
      <c r="F476" s="44">
        <f>IF(_calc!$E$478="","",TRIM(IF(LEN(IF(LEN(INDEX('Checklist'!$A$4:$A$503,_calc!$E$478))=0,"",INDEX('Checklist'!$A$4:$A$503,_calc!$E$478)))=0,"","Group: "&amp;IF(LEN(INDEX('Checklist'!$A$4:$A$503,_calc!$E$478))=0,"",INDEX('Checklist'!$A$4:$A$503,_calc!$E$478))&amp;". ")&amp;IF(LEN(IF(LEN(INDEX('Checklist'!$E$4:$E$503,_calc!$E$478))=0,"",INDEX('Checklist'!$E$4:$E$503,_calc!$E$478)))=0,"","Owner: "&amp;IF(LEN(INDEX('Checklist'!$E$4:$E$503,_calc!$E$478))=0,"",INDEX('Checklist'!$E$4:$E$503,_calc!$E$478))&amp;". ")&amp;IF(LEN(IF(LEN(INDEX('Checklist'!$F$4:$F$503,_calc!$E$478))=0,"",INDEX('Checklist'!$F$4:$F$503,_calc!$E$478)))=0,"","Backup: "&amp;IF(LEN(INDEX('Checklist'!$F$4:$F$503,_calc!$E$478))=0,"",INDEX('Checklist'!$F$4:$F$503,_calc!$E$478))&amp;". ")&amp;IF(LEN(IF(LEN(INDEX('Checklist'!$J$4:$J$503,_calc!$E$478))=0,"",INDEX('Checklist'!$J$4:$J$503,_calc!$E$478)))=0,"","Evidence: "&amp;IF(LEN(INDEX('Checklist'!$J$4:$J$503,_calc!$E$478))=0,"",INDEX('Checklist'!$J$4:$J$503,_calc!$E$478))&amp;". ")&amp;IF(LEN(IF(LEN(INDEX('Checklist'!$D$4:$D$503,_calc!$E$478))=0,"",INDEX('Checklist'!$D$4:$D$503,_calc!$E$478)))=0,"","Rule example: "&amp;IF(LEN(INDEX('Checklist'!$D$4:$D$503,_calc!$E$478))=0,"",INDEX('Checklist'!$D$4:$D$503,_calc!$E$478))&amp;". ")&amp;IF(LEN(IF(LEN(INDEX('Checklist'!$P$4:$P$503,_calc!$E$478))=0,"",INDEX('Checklist'!$P$4:$P$503,_calc!$E$478)))=0,"",IF(LEN(INDEX('Checklist'!$P$4:$P$503,_calc!$E$478))=0,"",INDEX('Checklist'!$P$4:$P$503,_calc!$E$478)))))</f>
        <v/>
      </c>
      <c r="K476" s="44">
        <f>IF(_calc!$E$478="","",IF(LEN(INDEX('Checklist'!$G$4:$G$503,_calc!$E$478))=0,"",INDEX('Checklist'!$G$4:$G$503,_calc!$E$478)))</f>
        <v/>
      </c>
    </row>
    <row r="477">
      <c r="A477" s="44">
        <f>IF(_calc!$E$479="","","Survey check – "&amp;IF(LEN(INDEX('Checklist'!$C$4:$C$503,_calc!$E$479))=0,"",INDEX('Checklist'!$C$4:$C$503,_calc!$E$479)))</f>
        <v/>
      </c>
      <c r="B477" s="44">
        <f>IF(_calc!$E$479="","",IF(ISNUMBER(INDEX('Checklist'!$L$4:$L$503,_calc!$E$479)),TEXT(INDEX('Checklist'!$L$4:$L$503,_calc!$E$479),"yyyy-mm-dd"),""))</f>
        <v/>
      </c>
      <c r="C477" s="44">
        <f>IF(_calc!$E$479="","","Survey readiness")</f>
        <v/>
      </c>
      <c r="D477" s="44">
        <f>IF(_calc!$E$479="","",IF(ISNUMBER(INDEX('Checklist'!$H$4:$H$503,_calc!$E$479)),TEXT(INDEX('Checklist'!$H$4:$H$503,_calc!$E$479),"yyyy-mm-dd"),""))</f>
        <v/>
      </c>
      <c r="F477" s="44">
        <f>IF(_calc!$E$479="","",TRIM(IF(LEN(IF(LEN(INDEX('Checklist'!$A$4:$A$503,_calc!$E$479))=0,"",INDEX('Checklist'!$A$4:$A$503,_calc!$E$479)))=0,"","Group: "&amp;IF(LEN(INDEX('Checklist'!$A$4:$A$503,_calc!$E$479))=0,"",INDEX('Checklist'!$A$4:$A$503,_calc!$E$479))&amp;". ")&amp;IF(LEN(IF(LEN(INDEX('Checklist'!$E$4:$E$503,_calc!$E$479))=0,"",INDEX('Checklist'!$E$4:$E$503,_calc!$E$479)))=0,"","Owner: "&amp;IF(LEN(INDEX('Checklist'!$E$4:$E$503,_calc!$E$479))=0,"",INDEX('Checklist'!$E$4:$E$503,_calc!$E$479))&amp;". ")&amp;IF(LEN(IF(LEN(INDEX('Checklist'!$F$4:$F$503,_calc!$E$479))=0,"",INDEX('Checklist'!$F$4:$F$503,_calc!$E$479)))=0,"","Backup: "&amp;IF(LEN(INDEX('Checklist'!$F$4:$F$503,_calc!$E$479))=0,"",INDEX('Checklist'!$F$4:$F$503,_calc!$E$479))&amp;". ")&amp;IF(LEN(IF(LEN(INDEX('Checklist'!$J$4:$J$503,_calc!$E$479))=0,"",INDEX('Checklist'!$J$4:$J$503,_calc!$E$479)))=0,"","Evidence: "&amp;IF(LEN(INDEX('Checklist'!$J$4:$J$503,_calc!$E$479))=0,"",INDEX('Checklist'!$J$4:$J$503,_calc!$E$479))&amp;". ")&amp;IF(LEN(IF(LEN(INDEX('Checklist'!$D$4:$D$503,_calc!$E$479))=0,"",INDEX('Checklist'!$D$4:$D$503,_calc!$E$479)))=0,"","Rule example: "&amp;IF(LEN(INDEX('Checklist'!$D$4:$D$503,_calc!$E$479))=0,"",INDEX('Checklist'!$D$4:$D$503,_calc!$E$479))&amp;". ")&amp;IF(LEN(IF(LEN(INDEX('Checklist'!$P$4:$P$503,_calc!$E$479))=0,"",INDEX('Checklist'!$P$4:$P$503,_calc!$E$479)))=0,"",IF(LEN(INDEX('Checklist'!$P$4:$P$503,_calc!$E$479))=0,"",INDEX('Checklist'!$P$4:$P$503,_calc!$E$479)))))</f>
        <v/>
      </c>
      <c r="K477" s="44">
        <f>IF(_calc!$E$479="","",IF(LEN(INDEX('Checklist'!$G$4:$G$503,_calc!$E$479))=0,"",INDEX('Checklist'!$G$4:$G$503,_calc!$E$479)))</f>
        <v/>
      </c>
    </row>
    <row r="478">
      <c r="A478" s="44">
        <f>IF(_calc!$E$480="","","Survey check – "&amp;IF(LEN(INDEX('Checklist'!$C$4:$C$503,_calc!$E$480))=0,"",INDEX('Checklist'!$C$4:$C$503,_calc!$E$480)))</f>
        <v/>
      </c>
      <c r="B478" s="44">
        <f>IF(_calc!$E$480="","",IF(ISNUMBER(INDEX('Checklist'!$L$4:$L$503,_calc!$E$480)),TEXT(INDEX('Checklist'!$L$4:$L$503,_calc!$E$480),"yyyy-mm-dd"),""))</f>
        <v/>
      </c>
      <c r="C478" s="44">
        <f>IF(_calc!$E$480="","","Survey readiness")</f>
        <v/>
      </c>
      <c r="D478" s="44">
        <f>IF(_calc!$E$480="","",IF(ISNUMBER(INDEX('Checklist'!$H$4:$H$503,_calc!$E$480)),TEXT(INDEX('Checklist'!$H$4:$H$503,_calc!$E$480),"yyyy-mm-dd"),""))</f>
        <v/>
      </c>
      <c r="F478" s="44">
        <f>IF(_calc!$E$480="","",TRIM(IF(LEN(IF(LEN(INDEX('Checklist'!$A$4:$A$503,_calc!$E$480))=0,"",INDEX('Checklist'!$A$4:$A$503,_calc!$E$480)))=0,"","Group: "&amp;IF(LEN(INDEX('Checklist'!$A$4:$A$503,_calc!$E$480))=0,"",INDEX('Checklist'!$A$4:$A$503,_calc!$E$480))&amp;". ")&amp;IF(LEN(IF(LEN(INDEX('Checklist'!$E$4:$E$503,_calc!$E$480))=0,"",INDEX('Checklist'!$E$4:$E$503,_calc!$E$480)))=0,"","Owner: "&amp;IF(LEN(INDEX('Checklist'!$E$4:$E$503,_calc!$E$480))=0,"",INDEX('Checklist'!$E$4:$E$503,_calc!$E$480))&amp;". ")&amp;IF(LEN(IF(LEN(INDEX('Checklist'!$F$4:$F$503,_calc!$E$480))=0,"",INDEX('Checklist'!$F$4:$F$503,_calc!$E$480)))=0,"","Backup: "&amp;IF(LEN(INDEX('Checklist'!$F$4:$F$503,_calc!$E$480))=0,"",INDEX('Checklist'!$F$4:$F$503,_calc!$E$480))&amp;". ")&amp;IF(LEN(IF(LEN(INDEX('Checklist'!$J$4:$J$503,_calc!$E$480))=0,"",INDEX('Checklist'!$J$4:$J$503,_calc!$E$480)))=0,"","Evidence: "&amp;IF(LEN(INDEX('Checklist'!$J$4:$J$503,_calc!$E$480))=0,"",INDEX('Checklist'!$J$4:$J$503,_calc!$E$480))&amp;". ")&amp;IF(LEN(IF(LEN(INDEX('Checklist'!$D$4:$D$503,_calc!$E$480))=0,"",INDEX('Checklist'!$D$4:$D$503,_calc!$E$480)))=0,"","Rule example: "&amp;IF(LEN(INDEX('Checklist'!$D$4:$D$503,_calc!$E$480))=0,"",INDEX('Checklist'!$D$4:$D$503,_calc!$E$480))&amp;". ")&amp;IF(LEN(IF(LEN(INDEX('Checklist'!$P$4:$P$503,_calc!$E$480))=0,"",INDEX('Checklist'!$P$4:$P$503,_calc!$E$480)))=0,"",IF(LEN(INDEX('Checklist'!$P$4:$P$503,_calc!$E$480))=0,"",INDEX('Checklist'!$P$4:$P$503,_calc!$E$480)))))</f>
        <v/>
      </c>
      <c r="K478" s="44">
        <f>IF(_calc!$E$480="","",IF(LEN(INDEX('Checklist'!$G$4:$G$503,_calc!$E$480))=0,"",INDEX('Checklist'!$G$4:$G$503,_calc!$E$480)))</f>
        <v/>
      </c>
    </row>
    <row r="479">
      <c r="A479" s="44">
        <f>IF(_calc!$E$481="","","Survey check – "&amp;IF(LEN(INDEX('Checklist'!$C$4:$C$503,_calc!$E$481))=0,"",INDEX('Checklist'!$C$4:$C$503,_calc!$E$481)))</f>
        <v/>
      </c>
      <c r="B479" s="44">
        <f>IF(_calc!$E$481="","",IF(ISNUMBER(INDEX('Checklist'!$L$4:$L$503,_calc!$E$481)),TEXT(INDEX('Checklist'!$L$4:$L$503,_calc!$E$481),"yyyy-mm-dd"),""))</f>
        <v/>
      </c>
      <c r="C479" s="44">
        <f>IF(_calc!$E$481="","","Survey readiness")</f>
        <v/>
      </c>
      <c r="D479" s="44">
        <f>IF(_calc!$E$481="","",IF(ISNUMBER(INDEX('Checklist'!$H$4:$H$503,_calc!$E$481)),TEXT(INDEX('Checklist'!$H$4:$H$503,_calc!$E$481),"yyyy-mm-dd"),""))</f>
        <v/>
      </c>
      <c r="F479" s="44">
        <f>IF(_calc!$E$481="","",TRIM(IF(LEN(IF(LEN(INDEX('Checklist'!$A$4:$A$503,_calc!$E$481))=0,"",INDEX('Checklist'!$A$4:$A$503,_calc!$E$481)))=0,"","Group: "&amp;IF(LEN(INDEX('Checklist'!$A$4:$A$503,_calc!$E$481))=0,"",INDEX('Checklist'!$A$4:$A$503,_calc!$E$481))&amp;". ")&amp;IF(LEN(IF(LEN(INDEX('Checklist'!$E$4:$E$503,_calc!$E$481))=0,"",INDEX('Checklist'!$E$4:$E$503,_calc!$E$481)))=0,"","Owner: "&amp;IF(LEN(INDEX('Checklist'!$E$4:$E$503,_calc!$E$481))=0,"",INDEX('Checklist'!$E$4:$E$503,_calc!$E$481))&amp;". ")&amp;IF(LEN(IF(LEN(INDEX('Checklist'!$F$4:$F$503,_calc!$E$481))=0,"",INDEX('Checklist'!$F$4:$F$503,_calc!$E$481)))=0,"","Backup: "&amp;IF(LEN(INDEX('Checklist'!$F$4:$F$503,_calc!$E$481))=0,"",INDEX('Checklist'!$F$4:$F$503,_calc!$E$481))&amp;". ")&amp;IF(LEN(IF(LEN(INDEX('Checklist'!$J$4:$J$503,_calc!$E$481))=0,"",INDEX('Checklist'!$J$4:$J$503,_calc!$E$481)))=0,"","Evidence: "&amp;IF(LEN(INDEX('Checklist'!$J$4:$J$503,_calc!$E$481))=0,"",INDEX('Checklist'!$J$4:$J$503,_calc!$E$481))&amp;". ")&amp;IF(LEN(IF(LEN(INDEX('Checklist'!$D$4:$D$503,_calc!$E$481))=0,"",INDEX('Checklist'!$D$4:$D$503,_calc!$E$481)))=0,"","Rule example: "&amp;IF(LEN(INDEX('Checklist'!$D$4:$D$503,_calc!$E$481))=0,"",INDEX('Checklist'!$D$4:$D$503,_calc!$E$481))&amp;". ")&amp;IF(LEN(IF(LEN(INDEX('Checklist'!$P$4:$P$503,_calc!$E$481))=0,"",INDEX('Checklist'!$P$4:$P$503,_calc!$E$481)))=0,"",IF(LEN(INDEX('Checklist'!$P$4:$P$503,_calc!$E$481))=0,"",INDEX('Checklist'!$P$4:$P$503,_calc!$E$481)))))</f>
        <v/>
      </c>
      <c r="K479" s="44">
        <f>IF(_calc!$E$481="","",IF(LEN(INDEX('Checklist'!$G$4:$G$503,_calc!$E$481))=0,"",INDEX('Checklist'!$G$4:$G$503,_calc!$E$481)))</f>
        <v/>
      </c>
    </row>
    <row r="480">
      <c r="A480" s="44">
        <f>IF(_calc!$E$482="","","Survey check – "&amp;IF(LEN(INDEX('Checklist'!$C$4:$C$503,_calc!$E$482))=0,"",INDEX('Checklist'!$C$4:$C$503,_calc!$E$482)))</f>
        <v/>
      </c>
      <c r="B480" s="44">
        <f>IF(_calc!$E$482="","",IF(ISNUMBER(INDEX('Checklist'!$L$4:$L$503,_calc!$E$482)),TEXT(INDEX('Checklist'!$L$4:$L$503,_calc!$E$482),"yyyy-mm-dd"),""))</f>
        <v/>
      </c>
      <c r="C480" s="44">
        <f>IF(_calc!$E$482="","","Survey readiness")</f>
        <v/>
      </c>
      <c r="D480" s="44">
        <f>IF(_calc!$E$482="","",IF(ISNUMBER(INDEX('Checklist'!$H$4:$H$503,_calc!$E$482)),TEXT(INDEX('Checklist'!$H$4:$H$503,_calc!$E$482),"yyyy-mm-dd"),""))</f>
        <v/>
      </c>
      <c r="F480" s="44">
        <f>IF(_calc!$E$482="","",TRIM(IF(LEN(IF(LEN(INDEX('Checklist'!$A$4:$A$503,_calc!$E$482))=0,"",INDEX('Checklist'!$A$4:$A$503,_calc!$E$482)))=0,"","Group: "&amp;IF(LEN(INDEX('Checklist'!$A$4:$A$503,_calc!$E$482))=0,"",INDEX('Checklist'!$A$4:$A$503,_calc!$E$482))&amp;". ")&amp;IF(LEN(IF(LEN(INDEX('Checklist'!$E$4:$E$503,_calc!$E$482))=0,"",INDEX('Checklist'!$E$4:$E$503,_calc!$E$482)))=0,"","Owner: "&amp;IF(LEN(INDEX('Checklist'!$E$4:$E$503,_calc!$E$482))=0,"",INDEX('Checklist'!$E$4:$E$503,_calc!$E$482))&amp;". ")&amp;IF(LEN(IF(LEN(INDEX('Checklist'!$F$4:$F$503,_calc!$E$482))=0,"",INDEX('Checklist'!$F$4:$F$503,_calc!$E$482)))=0,"","Backup: "&amp;IF(LEN(INDEX('Checklist'!$F$4:$F$503,_calc!$E$482))=0,"",INDEX('Checklist'!$F$4:$F$503,_calc!$E$482))&amp;". ")&amp;IF(LEN(IF(LEN(INDEX('Checklist'!$J$4:$J$503,_calc!$E$482))=0,"",INDEX('Checklist'!$J$4:$J$503,_calc!$E$482)))=0,"","Evidence: "&amp;IF(LEN(INDEX('Checklist'!$J$4:$J$503,_calc!$E$482))=0,"",INDEX('Checklist'!$J$4:$J$503,_calc!$E$482))&amp;". ")&amp;IF(LEN(IF(LEN(INDEX('Checklist'!$D$4:$D$503,_calc!$E$482))=0,"",INDEX('Checklist'!$D$4:$D$503,_calc!$E$482)))=0,"","Rule example: "&amp;IF(LEN(INDEX('Checklist'!$D$4:$D$503,_calc!$E$482))=0,"",INDEX('Checklist'!$D$4:$D$503,_calc!$E$482))&amp;". ")&amp;IF(LEN(IF(LEN(INDEX('Checklist'!$P$4:$P$503,_calc!$E$482))=0,"",INDEX('Checklist'!$P$4:$P$503,_calc!$E$482)))=0,"",IF(LEN(INDEX('Checklist'!$P$4:$P$503,_calc!$E$482))=0,"",INDEX('Checklist'!$P$4:$P$503,_calc!$E$482)))))</f>
        <v/>
      </c>
      <c r="K480" s="44">
        <f>IF(_calc!$E$482="","",IF(LEN(INDEX('Checklist'!$G$4:$G$503,_calc!$E$482))=0,"",INDEX('Checklist'!$G$4:$G$503,_calc!$E$482)))</f>
        <v/>
      </c>
    </row>
    <row r="481">
      <c r="A481" s="44">
        <f>IF(_calc!$E$483="","","Survey check – "&amp;IF(LEN(INDEX('Checklist'!$C$4:$C$503,_calc!$E$483))=0,"",INDEX('Checklist'!$C$4:$C$503,_calc!$E$483)))</f>
        <v/>
      </c>
      <c r="B481" s="44">
        <f>IF(_calc!$E$483="","",IF(ISNUMBER(INDEX('Checklist'!$L$4:$L$503,_calc!$E$483)),TEXT(INDEX('Checklist'!$L$4:$L$503,_calc!$E$483),"yyyy-mm-dd"),""))</f>
        <v/>
      </c>
      <c r="C481" s="44">
        <f>IF(_calc!$E$483="","","Survey readiness")</f>
        <v/>
      </c>
      <c r="D481" s="44">
        <f>IF(_calc!$E$483="","",IF(ISNUMBER(INDEX('Checklist'!$H$4:$H$503,_calc!$E$483)),TEXT(INDEX('Checklist'!$H$4:$H$503,_calc!$E$483),"yyyy-mm-dd"),""))</f>
        <v/>
      </c>
      <c r="F481" s="44">
        <f>IF(_calc!$E$483="","",TRIM(IF(LEN(IF(LEN(INDEX('Checklist'!$A$4:$A$503,_calc!$E$483))=0,"",INDEX('Checklist'!$A$4:$A$503,_calc!$E$483)))=0,"","Group: "&amp;IF(LEN(INDEX('Checklist'!$A$4:$A$503,_calc!$E$483))=0,"",INDEX('Checklist'!$A$4:$A$503,_calc!$E$483))&amp;". ")&amp;IF(LEN(IF(LEN(INDEX('Checklist'!$E$4:$E$503,_calc!$E$483))=0,"",INDEX('Checklist'!$E$4:$E$503,_calc!$E$483)))=0,"","Owner: "&amp;IF(LEN(INDEX('Checklist'!$E$4:$E$503,_calc!$E$483))=0,"",INDEX('Checklist'!$E$4:$E$503,_calc!$E$483))&amp;". ")&amp;IF(LEN(IF(LEN(INDEX('Checklist'!$F$4:$F$503,_calc!$E$483))=0,"",INDEX('Checklist'!$F$4:$F$503,_calc!$E$483)))=0,"","Backup: "&amp;IF(LEN(INDEX('Checklist'!$F$4:$F$503,_calc!$E$483))=0,"",INDEX('Checklist'!$F$4:$F$503,_calc!$E$483))&amp;". ")&amp;IF(LEN(IF(LEN(INDEX('Checklist'!$J$4:$J$503,_calc!$E$483))=0,"",INDEX('Checklist'!$J$4:$J$503,_calc!$E$483)))=0,"","Evidence: "&amp;IF(LEN(INDEX('Checklist'!$J$4:$J$503,_calc!$E$483))=0,"",INDEX('Checklist'!$J$4:$J$503,_calc!$E$483))&amp;". ")&amp;IF(LEN(IF(LEN(INDEX('Checklist'!$D$4:$D$503,_calc!$E$483))=0,"",INDEX('Checklist'!$D$4:$D$503,_calc!$E$483)))=0,"","Rule example: "&amp;IF(LEN(INDEX('Checklist'!$D$4:$D$503,_calc!$E$483))=0,"",INDEX('Checklist'!$D$4:$D$503,_calc!$E$483))&amp;". ")&amp;IF(LEN(IF(LEN(INDEX('Checklist'!$P$4:$P$503,_calc!$E$483))=0,"",INDEX('Checklist'!$P$4:$P$503,_calc!$E$483)))=0,"",IF(LEN(INDEX('Checklist'!$P$4:$P$503,_calc!$E$483))=0,"",INDEX('Checklist'!$P$4:$P$503,_calc!$E$483)))))</f>
        <v/>
      </c>
      <c r="K481" s="44">
        <f>IF(_calc!$E$483="","",IF(LEN(INDEX('Checklist'!$G$4:$G$503,_calc!$E$483))=0,"",INDEX('Checklist'!$G$4:$G$503,_calc!$E$483)))</f>
        <v/>
      </c>
    </row>
    <row r="482">
      <c r="A482" s="44">
        <f>IF(_calc!$E$484="","","Survey check – "&amp;IF(LEN(INDEX('Checklist'!$C$4:$C$503,_calc!$E$484))=0,"",INDEX('Checklist'!$C$4:$C$503,_calc!$E$484)))</f>
        <v/>
      </c>
      <c r="B482" s="44">
        <f>IF(_calc!$E$484="","",IF(ISNUMBER(INDEX('Checklist'!$L$4:$L$503,_calc!$E$484)),TEXT(INDEX('Checklist'!$L$4:$L$503,_calc!$E$484),"yyyy-mm-dd"),""))</f>
        <v/>
      </c>
      <c r="C482" s="44">
        <f>IF(_calc!$E$484="","","Survey readiness")</f>
        <v/>
      </c>
      <c r="D482" s="44">
        <f>IF(_calc!$E$484="","",IF(ISNUMBER(INDEX('Checklist'!$H$4:$H$503,_calc!$E$484)),TEXT(INDEX('Checklist'!$H$4:$H$503,_calc!$E$484),"yyyy-mm-dd"),""))</f>
        <v/>
      </c>
      <c r="F482" s="44">
        <f>IF(_calc!$E$484="","",TRIM(IF(LEN(IF(LEN(INDEX('Checklist'!$A$4:$A$503,_calc!$E$484))=0,"",INDEX('Checklist'!$A$4:$A$503,_calc!$E$484)))=0,"","Group: "&amp;IF(LEN(INDEX('Checklist'!$A$4:$A$503,_calc!$E$484))=0,"",INDEX('Checklist'!$A$4:$A$503,_calc!$E$484))&amp;". ")&amp;IF(LEN(IF(LEN(INDEX('Checklist'!$E$4:$E$503,_calc!$E$484))=0,"",INDEX('Checklist'!$E$4:$E$503,_calc!$E$484)))=0,"","Owner: "&amp;IF(LEN(INDEX('Checklist'!$E$4:$E$503,_calc!$E$484))=0,"",INDEX('Checklist'!$E$4:$E$503,_calc!$E$484))&amp;". ")&amp;IF(LEN(IF(LEN(INDEX('Checklist'!$F$4:$F$503,_calc!$E$484))=0,"",INDEX('Checklist'!$F$4:$F$503,_calc!$E$484)))=0,"","Backup: "&amp;IF(LEN(INDEX('Checklist'!$F$4:$F$503,_calc!$E$484))=0,"",INDEX('Checklist'!$F$4:$F$503,_calc!$E$484))&amp;". ")&amp;IF(LEN(IF(LEN(INDEX('Checklist'!$J$4:$J$503,_calc!$E$484))=0,"",INDEX('Checklist'!$J$4:$J$503,_calc!$E$484)))=0,"","Evidence: "&amp;IF(LEN(INDEX('Checklist'!$J$4:$J$503,_calc!$E$484))=0,"",INDEX('Checklist'!$J$4:$J$503,_calc!$E$484))&amp;". ")&amp;IF(LEN(IF(LEN(INDEX('Checklist'!$D$4:$D$503,_calc!$E$484))=0,"",INDEX('Checklist'!$D$4:$D$503,_calc!$E$484)))=0,"","Rule example: "&amp;IF(LEN(INDEX('Checklist'!$D$4:$D$503,_calc!$E$484))=0,"",INDEX('Checklist'!$D$4:$D$503,_calc!$E$484))&amp;". ")&amp;IF(LEN(IF(LEN(INDEX('Checklist'!$P$4:$P$503,_calc!$E$484))=0,"",INDEX('Checklist'!$P$4:$P$503,_calc!$E$484)))=0,"",IF(LEN(INDEX('Checklist'!$P$4:$P$503,_calc!$E$484))=0,"",INDEX('Checklist'!$P$4:$P$503,_calc!$E$484)))))</f>
        <v/>
      </c>
      <c r="K482" s="44">
        <f>IF(_calc!$E$484="","",IF(LEN(INDEX('Checklist'!$G$4:$G$503,_calc!$E$484))=0,"",INDEX('Checklist'!$G$4:$G$503,_calc!$E$484)))</f>
        <v/>
      </c>
    </row>
    <row r="483">
      <c r="A483" s="44">
        <f>IF(_calc!$E$485="","","Survey check – "&amp;IF(LEN(INDEX('Checklist'!$C$4:$C$503,_calc!$E$485))=0,"",INDEX('Checklist'!$C$4:$C$503,_calc!$E$485)))</f>
        <v/>
      </c>
      <c r="B483" s="44">
        <f>IF(_calc!$E$485="","",IF(ISNUMBER(INDEX('Checklist'!$L$4:$L$503,_calc!$E$485)),TEXT(INDEX('Checklist'!$L$4:$L$503,_calc!$E$485),"yyyy-mm-dd"),""))</f>
        <v/>
      </c>
      <c r="C483" s="44">
        <f>IF(_calc!$E$485="","","Survey readiness")</f>
        <v/>
      </c>
      <c r="D483" s="44">
        <f>IF(_calc!$E$485="","",IF(ISNUMBER(INDEX('Checklist'!$H$4:$H$503,_calc!$E$485)),TEXT(INDEX('Checklist'!$H$4:$H$503,_calc!$E$485),"yyyy-mm-dd"),""))</f>
        <v/>
      </c>
      <c r="F483" s="44">
        <f>IF(_calc!$E$485="","",TRIM(IF(LEN(IF(LEN(INDEX('Checklist'!$A$4:$A$503,_calc!$E$485))=0,"",INDEX('Checklist'!$A$4:$A$503,_calc!$E$485)))=0,"","Group: "&amp;IF(LEN(INDEX('Checklist'!$A$4:$A$503,_calc!$E$485))=0,"",INDEX('Checklist'!$A$4:$A$503,_calc!$E$485))&amp;". ")&amp;IF(LEN(IF(LEN(INDEX('Checklist'!$E$4:$E$503,_calc!$E$485))=0,"",INDEX('Checklist'!$E$4:$E$503,_calc!$E$485)))=0,"","Owner: "&amp;IF(LEN(INDEX('Checklist'!$E$4:$E$503,_calc!$E$485))=0,"",INDEX('Checklist'!$E$4:$E$503,_calc!$E$485))&amp;". ")&amp;IF(LEN(IF(LEN(INDEX('Checklist'!$F$4:$F$503,_calc!$E$485))=0,"",INDEX('Checklist'!$F$4:$F$503,_calc!$E$485)))=0,"","Backup: "&amp;IF(LEN(INDEX('Checklist'!$F$4:$F$503,_calc!$E$485))=0,"",INDEX('Checklist'!$F$4:$F$503,_calc!$E$485))&amp;". ")&amp;IF(LEN(IF(LEN(INDEX('Checklist'!$J$4:$J$503,_calc!$E$485))=0,"",INDEX('Checklist'!$J$4:$J$503,_calc!$E$485)))=0,"","Evidence: "&amp;IF(LEN(INDEX('Checklist'!$J$4:$J$503,_calc!$E$485))=0,"",INDEX('Checklist'!$J$4:$J$503,_calc!$E$485))&amp;". ")&amp;IF(LEN(IF(LEN(INDEX('Checklist'!$D$4:$D$503,_calc!$E$485))=0,"",INDEX('Checklist'!$D$4:$D$503,_calc!$E$485)))=0,"","Rule example: "&amp;IF(LEN(INDEX('Checklist'!$D$4:$D$503,_calc!$E$485))=0,"",INDEX('Checklist'!$D$4:$D$503,_calc!$E$485))&amp;". ")&amp;IF(LEN(IF(LEN(INDEX('Checklist'!$P$4:$P$503,_calc!$E$485))=0,"",INDEX('Checklist'!$P$4:$P$503,_calc!$E$485)))=0,"",IF(LEN(INDEX('Checklist'!$P$4:$P$503,_calc!$E$485))=0,"",INDEX('Checklist'!$P$4:$P$503,_calc!$E$485)))))</f>
        <v/>
      </c>
      <c r="K483" s="44">
        <f>IF(_calc!$E$485="","",IF(LEN(INDEX('Checklist'!$G$4:$G$503,_calc!$E$485))=0,"",INDEX('Checklist'!$G$4:$G$503,_calc!$E$485)))</f>
        <v/>
      </c>
    </row>
    <row r="484">
      <c r="A484" s="44">
        <f>IF(_calc!$E$486="","","Survey check – "&amp;IF(LEN(INDEX('Checklist'!$C$4:$C$503,_calc!$E$486))=0,"",INDEX('Checklist'!$C$4:$C$503,_calc!$E$486)))</f>
        <v/>
      </c>
      <c r="B484" s="44">
        <f>IF(_calc!$E$486="","",IF(ISNUMBER(INDEX('Checklist'!$L$4:$L$503,_calc!$E$486)),TEXT(INDEX('Checklist'!$L$4:$L$503,_calc!$E$486),"yyyy-mm-dd"),""))</f>
        <v/>
      </c>
      <c r="C484" s="44">
        <f>IF(_calc!$E$486="","","Survey readiness")</f>
        <v/>
      </c>
      <c r="D484" s="44">
        <f>IF(_calc!$E$486="","",IF(ISNUMBER(INDEX('Checklist'!$H$4:$H$503,_calc!$E$486)),TEXT(INDEX('Checklist'!$H$4:$H$503,_calc!$E$486),"yyyy-mm-dd"),""))</f>
        <v/>
      </c>
      <c r="F484" s="44">
        <f>IF(_calc!$E$486="","",TRIM(IF(LEN(IF(LEN(INDEX('Checklist'!$A$4:$A$503,_calc!$E$486))=0,"",INDEX('Checklist'!$A$4:$A$503,_calc!$E$486)))=0,"","Group: "&amp;IF(LEN(INDEX('Checklist'!$A$4:$A$503,_calc!$E$486))=0,"",INDEX('Checklist'!$A$4:$A$503,_calc!$E$486))&amp;". ")&amp;IF(LEN(IF(LEN(INDEX('Checklist'!$E$4:$E$503,_calc!$E$486))=0,"",INDEX('Checklist'!$E$4:$E$503,_calc!$E$486)))=0,"","Owner: "&amp;IF(LEN(INDEX('Checklist'!$E$4:$E$503,_calc!$E$486))=0,"",INDEX('Checklist'!$E$4:$E$503,_calc!$E$486))&amp;". ")&amp;IF(LEN(IF(LEN(INDEX('Checklist'!$F$4:$F$503,_calc!$E$486))=0,"",INDEX('Checklist'!$F$4:$F$503,_calc!$E$486)))=0,"","Backup: "&amp;IF(LEN(INDEX('Checklist'!$F$4:$F$503,_calc!$E$486))=0,"",INDEX('Checklist'!$F$4:$F$503,_calc!$E$486))&amp;". ")&amp;IF(LEN(IF(LEN(INDEX('Checklist'!$J$4:$J$503,_calc!$E$486))=0,"",INDEX('Checklist'!$J$4:$J$503,_calc!$E$486)))=0,"","Evidence: "&amp;IF(LEN(INDEX('Checklist'!$J$4:$J$503,_calc!$E$486))=0,"",INDEX('Checklist'!$J$4:$J$503,_calc!$E$486))&amp;". ")&amp;IF(LEN(IF(LEN(INDEX('Checklist'!$D$4:$D$503,_calc!$E$486))=0,"",INDEX('Checklist'!$D$4:$D$503,_calc!$E$486)))=0,"","Rule example: "&amp;IF(LEN(INDEX('Checklist'!$D$4:$D$503,_calc!$E$486))=0,"",INDEX('Checklist'!$D$4:$D$503,_calc!$E$486))&amp;". ")&amp;IF(LEN(IF(LEN(INDEX('Checklist'!$P$4:$P$503,_calc!$E$486))=0,"",INDEX('Checklist'!$P$4:$P$503,_calc!$E$486)))=0,"",IF(LEN(INDEX('Checklist'!$P$4:$P$503,_calc!$E$486))=0,"",INDEX('Checklist'!$P$4:$P$503,_calc!$E$486)))))</f>
        <v/>
      </c>
      <c r="K484" s="44">
        <f>IF(_calc!$E$486="","",IF(LEN(INDEX('Checklist'!$G$4:$G$503,_calc!$E$486))=0,"",INDEX('Checklist'!$G$4:$G$503,_calc!$E$486)))</f>
        <v/>
      </c>
    </row>
    <row r="485">
      <c r="A485" s="44">
        <f>IF(_calc!$E$487="","","Survey check – "&amp;IF(LEN(INDEX('Checklist'!$C$4:$C$503,_calc!$E$487))=0,"",INDEX('Checklist'!$C$4:$C$503,_calc!$E$487)))</f>
        <v/>
      </c>
      <c r="B485" s="44">
        <f>IF(_calc!$E$487="","",IF(ISNUMBER(INDEX('Checklist'!$L$4:$L$503,_calc!$E$487)),TEXT(INDEX('Checklist'!$L$4:$L$503,_calc!$E$487),"yyyy-mm-dd"),""))</f>
        <v/>
      </c>
      <c r="C485" s="44">
        <f>IF(_calc!$E$487="","","Survey readiness")</f>
        <v/>
      </c>
      <c r="D485" s="44">
        <f>IF(_calc!$E$487="","",IF(ISNUMBER(INDEX('Checklist'!$H$4:$H$503,_calc!$E$487)),TEXT(INDEX('Checklist'!$H$4:$H$503,_calc!$E$487),"yyyy-mm-dd"),""))</f>
        <v/>
      </c>
      <c r="F485" s="44">
        <f>IF(_calc!$E$487="","",TRIM(IF(LEN(IF(LEN(INDEX('Checklist'!$A$4:$A$503,_calc!$E$487))=0,"",INDEX('Checklist'!$A$4:$A$503,_calc!$E$487)))=0,"","Group: "&amp;IF(LEN(INDEX('Checklist'!$A$4:$A$503,_calc!$E$487))=0,"",INDEX('Checklist'!$A$4:$A$503,_calc!$E$487))&amp;". ")&amp;IF(LEN(IF(LEN(INDEX('Checklist'!$E$4:$E$503,_calc!$E$487))=0,"",INDEX('Checklist'!$E$4:$E$503,_calc!$E$487)))=0,"","Owner: "&amp;IF(LEN(INDEX('Checklist'!$E$4:$E$503,_calc!$E$487))=0,"",INDEX('Checklist'!$E$4:$E$503,_calc!$E$487))&amp;". ")&amp;IF(LEN(IF(LEN(INDEX('Checklist'!$F$4:$F$503,_calc!$E$487))=0,"",INDEX('Checklist'!$F$4:$F$503,_calc!$E$487)))=0,"","Backup: "&amp;IF(LEN(INDEX('Checklist'!$F$4:$F$503,_calc!$E$487))=0,"",INDEX('Checklist'!$F$4:$F$503,_calc!$E$487))&amp;". ")&amp;IF(LEN(IF(LEN(INDEX('Checklist'!$J$4:$J$503,_calc!$E$487))=0,"",INDEX('Checklist'!$J$4:$J$503,_calc!$E$487)))=0,"","Evidence: "&amp;IF(LEN(INDEX('Checklist'!$J$4:$J$503,_calc!$E$487))=0,"",INDEX('Checklist'!$J$4:$J$503,_calc!$E$487))&amp;". ")&amp;IF(LEN(IF(LEN(INDEX('Checklist'!$D$4:$D$503,_calc!$E$487))=0,"",INDEX('Checklist'!$D$4:$D$503,_calc!$E$487)))=0,"","Rule example: "&amp;IF(LEN(INDEX('Checklist'!$D$4:$D$503,_calc!$E$487))=0,"",INDEX('Checklist'!$D$4:$D$503,_calc!$E$487))&amp;". ")&amp;IF(LEN(IF(LEN(INDEX('Checklist'!$P$4:$P$503,_calc!$E$487))=0,"",INDEX('Checklist'!$P$4:$P$503,_calc!$E$487)))=0,"",IF(LEN(INDEX('Checklist'!$P$4:$P$503,_calc!$E$487))=0,"",INDEX('Checklist'!$P$4:$P$503,_calc!$E$487)))))</f>
        <v/>
      </c>
      <c r="K485" s="44">
        <f>IF(_calc!$E$487="","",IF(LEN(INDEX('Checklist'!$G$4:$G$503,_calc!$E$487))=0,"",INDEX('Checklist'!$G$4:$G$503,_calc!$E$487)))</f>
        <v/>
      </c>
    </row>
    <row r="486">
      <c r="A486" s="44">
        <f>IF(_calc!$E$488="","","Survey check – "&amp;IF(LEN(INDEX('Checklist'!$C$4:$C$503,_calc!$E$488))=0,"",INDEX('Checklist'!$C$4:$C$503,_calc!$E$488)))</f>
        <v/>
      </c>
      <c r="B486" s="44">
        <f>IF(_calc!$E$488="","",IF(ISNUMBER(INDEX('Checklist'!$L$4:$L$503,_calc!$E$488)),TEXT(INDEX('Checklist'!$L$4:$L$503,_calc!$E$488),"yyyy-mm-dd"),""))</f>
        <v/>
      </c>
      <c r="C486" s="44">
        <f>IF(_calc!$E$488="","","Survey readiness")</f>
        <v/>
      </c>
      <c r="D486" s="44">
        <f>IF(_calc!$E$488="","",IF(ISNUMBER(INDEX('Checklist'!$H$4:$H$503,_calc!$E$488)),TEXT(INDEX('Checklist'!$H$4:$H$503,_calc!$E$488),"yyyy-mm-dd"),""))</f>
        <v/>
      </c>
      <c r="F486" s="44">
        <f>IF(_calc!$E$488="","",TRIM(IF(LEN(IF(LEN(INDEX('Checklist'!$A$4:$A$503,_calc!$E$488))=0,"",INDEX('Checklist'!$A$4:$A$503,_calc!$E$488)))=0,"","Group: "&amp;IF(LEN(INDEX('Checklist'!$A$4:$A$503,_calc!$E$488))=0,"",INDEX('Checklist'!$A$4:$A$503,_calc!$E$488))&amp;". ")&amp;IF(LEN(IF(LEN(INDEX('Checklist'!$E$4:$E$503,_calc!$E$488))=0,"",INDEX('Checklist'!$E$4:$E$503,_calc!$E$488)))=0,"","Owner: "&amp;IF(LEN(INDEX('Checklist'!$E$4:$E$503,_calc!$E$488))=0,"",INDEX('Checklist'!$E$4:$E$503,_calc!$E$488))&amp;". ")&amp;IF(LEN(IF(LEN(INDEX('Checklist'!$F$4:$F$503,_calc!$E$488))=0,"",INDEX('Checklist'!$F$4:$F$503,_calc!$E$488)))=0,"","Backup: "&amp;IF(LEN(INDEX('Checklist'!$F$4:$F$503,_calc!$E$488))=0,"",INDEX('Checklist'!$F$4:$F$503,_calc!$E$488))&amp;". ")&amp;IF(LEN(IF(LEN(INDEX('Checklist'!$J$4:$J$503,_calc!$E$488))=0,"",INDEX('Checklist'!$J$4:$J$503,_calc!$E$488)))=0,"","Evidence: "&amp;IF(LEN(INDEX('Checklist'!$J$4:$J$503,_calc!$E$488))=0,"",INDEX('Checklist'!$J$4:$J$503,_calc!$E$488))&amp;". ")&amp;IF(LEN(IF(LEN(INDEX('Checklist'!$D$4:$D$503,_calc!$E$488))=0,"",INDEX('Checklist'!$D$4:$D$503,_calc!$E$488)))=0,"","Rule example: "&amp;IF(LEN(INDEX('Checklist'!$D$4:$D$503,_calc!$E$488))=0,"",INDEX('Checklist'!$D$4:$D$503,_calc!$E$488))&amp;". ")&amp;IF(LEN(IF(LEN(INDEX('Checklist'!$P$4:$P$503,_calc!$E$488))=0,"",INDEX('Checklist'!$P$4:$P$503,_calc!$E$488)))=0,"",IF(LEN(INDEX('Checklist'!$P$4:$P$503,_calc!$E$488))=0,"",INDEX('Checklist'!$P$4:$P$503,_calc!$E$488)))))</f>
        <v/>
      </c>
      <c r="K486" s="44">
        <f>IF(_calc!$E$488="","",IF(LEN(INDEX('Checklist'!$G$4:$G$503,_calc!$E$488))=0,"",INDEX('Checklist'!$G$4:$G$503,_calc!$E$488)))</f>
        <v/>
      </c>
    </row>
    <row r="487">
      <c r="A487" s="44">
        <f>IF(_calc!$E$489="","","Survey check – "&amp;IF(LEN(INDEX('Checklist'!$C$4:$C$503,_calc!$E$489))=0,"",INDEX('Checklist'!$C$4:$C$503,_calc!$E$489)))</f>
        <v/>
      </c>
      <c r="B487" s="44">
        <f>IF(_calc!$E$489="","",IF(ISNUMBER(INDEX('Checklist'!$L$4:$L$503,_calc!$E$489)),TEXT(INDEX('Checklist'!$L$4:$L$503,_calc!$E$489),"yyyy-mm-dd"),""))</f>
        <v/>
      </c>
      <c r="C487" s="44">
        <f>IF(_calc!$E$489="","","Survey readiness")</f>
        <v/>
      </c>
      <c r="D487" s="44">
        <f>IF(_calc!$E$489="","",IF(ISNUMBER(INDEX('Checklist'!$H$4:$H$503,_calc!$E$489)),TEXT(INDEX('Checklist'!$H$4:$H$503,_calc!$E$489),"yyyy-mm-dd"),""))</f>
        <v/>
      </c>
      <c r="F487" s="44">
        <f>IF(_calc!$E$489="","",TRIM(IF(LEN(IF(LEN(INDEX('Checklist'!$A$4:$A$503,_calc!$E$489))=0,"",INDEX('Checklist'!$A$4:$A$503,_calc!$E$489)))=0,"","Group: "&amp;IF(LEN(INDEX('Checklist'!$A$4:$A$503,_calc!$E$489))=0,"",INDEX('Checklist'!$A$4:$A$503,_calc!$E$489))&amp;". ")&amp;IF(LEN(IF(LEN(INDEX('Checklist'!$E$4:$E$503,_calc!$E$489))=0,"",INDEX('Checklist'!$E$4:$E$503,_calc!$E$489)))=0,"","Owner: "&amp;IF(LEN(INDEX('Checklist'!$E$4:$E$503,_calc!$E$489))=0,"",INDEX('Checklist'!$E$4:$E$503,_calc!$E$489))&amp;". ")&amp;IF(LEN(IF(LEN(INDEX('Checklist'!$F$4:$F$503,_calc!$E$489))=0,"",INDEX('Checklist'!$F$4:$F$503,_calc!$E$489)))=0,"","Backup: "&amp;IF(LEN(INDEX('Checklist'!$F$4:$F$503,_calc!$E$489))=0,"",INDEX('Checklist'!$F$4:$F$503,_calc!$E$489))&amp;". ")&amp;IF(LEN(IF(LEN(INDEX('Checklist'!$J$4:$J$503,_calc!$E$489))=0,"",INDEX('Checklist'!$J$4:$J$503,_calc!$E$489)))=0,"","Evidence: "&amp;IF(LEN(INDEX('Checklist'!$J$4:$J$503,_calc!$E$489))=0,"",INDEX('Checklist'!$J$4:$J$503,_calc!$E$489))&amp;". ")&amp;IF(LEN(IF(LEN(INDEX('Checklist'!$D$4:$D$503,_calc!$E$489))=0,"",INDEX('Checklist'!$D$4:$D$503,_calc!$E$489)))=0,"","Rule example: "&amp;IF(LEN(INDEX('Checklist'!$D$4:$D$503,_calc!$E$489))=0,"",INDEX('Checklist'!$D$4:$D$503,_calc!$E$489))&amp;". ")&amp;IF(LEN(IF(LEN(INDEX('Checklist'!$P$4:$P$503,_calc!$E$489))=0,"",INDEX('Checklist'!$P$4:$P$503,_calc!$E$489)))=0,"",IF(LEN(INDEX('Checklist'!$P$4:$P$503,_calc!$E$489))=0,"",INDEX('Checklist'!$P$4:$P$503,_calc!$E$489)))))</f>
        <v/>
      </c>
      <c r="K487" s="44">
        <f>IF(_calc!$E$489="","",IF(LEN(INDEX('Checklist'!$G$4:$G$503,_calc!$E$489))=0,"",INDEX('Checklist'!$G$4:$G$503,_calc!$E$489)))</f>
        <v/>
      </c>
    </row>
    <row r="488">
      <c r="A488" s="44">
        <f>IF(_calc!$E$490="","","Survey check – "&amp;IF(LEN(INDEX('Checklist'!$C$4:$C$503,_calc!$E$490))=0,"",INDEX('Checklist'!$C$4:$C$503,_calc!$E$490)))</f>
        <v/>
      </c>
      <c r="B488" s="44">
        <f>IF(_calc!$E$490="","",IF(ISNUMBER(INDEX('Checklist'!$L$4:$L$503,_calc!$E$490)),TEXT(INDEX('Checklist'!$L$4:$L$503,_calc!$E$490),"yyyy-mm-dd"),""))</f>
        <v/>
      </c>
      <c r="C488" s="44">
        <f>IF(_calc!$E$490="","","Survey readiness")</f>
        <v/>
      </c>
      <c r="D488" s="44">
        <f>IF(_calc!$E$490="","",IF(ISNUMBER(INDEX('Checklist'!$H$4:$H$503,_calc!$E$490)),TEXT(INDEX('Checklist'!$H$4:$H$503,_calc!$E$490),"yyyy-mm-dd"),""))</f>
        <v/>
      </c>
      <c r="F488" s="44">
        <f>IF(_calc!$E$490="","",TRIM(IF(LEN(IF(LEN(INDEX('Checklist'!$A$4:$A$503,_calc!$E$490))=0,"",INDEX('Checklist'!$A$4:$A$503,_calc!$E$490)))=0,"","Group: "&amp;IF(LEN(INDEX('Checklist'!$A$4:$A$503,_calc!$E$490))=0,"",INDEX('Checklist'!$A$4:$A$503,_calc!$E$490))&amp;". ")&amp;IF(LEN(IF(LEN(INDEX('Checklist'!$E$4:$E$503,_calc!$E$490))=0,"",INDEX('Checklist'!$E$4:$E$503,_calc!$E$490)))=0,"","Owner: "&amp;IF(LEN(INDEX('Checklist'!$E$4:$E$503,_calc!$E$490))=0,"",INDEX('Checklist'!$E$4:$E$503,_calc!$E$490))&amp;". ")&amp;IF(LEN(IF(LEN(INDEX('Checklist'!$F$4:$F$503,_calc!$E$490))=0,"",INDEX('Checklist'!$F$4:$F$503,_calc!$E$490)))=0,"","Backup: "&amp;IF(LEN(INDEX('Checklist'!$F$4:$F$503,_calc!$E$490))=0,"",INDEX('Checklist'!$F$4:$F$503,_calc!$E$490))&amp;". ")&amp;IF(LEN(IF(LEN(INDEX('Checklist'!$J$4:$J$503,_calc!$E$490))=0,"",INDEX('Checklist'!$J$4:$J$503,_calc!$E$490)))=0,"","Evidence: "&amp;IF(LEN(INDEX('Checklist'!$J$4:$J$503,_calc!$E$490))=0,"",INDEX('Checklist'!$J$4:$J$503,_calc!$E$490))&amp;". ")&amp;IF(LEN(IF(LEN(INDEX('Checklist'!$D$4:$D$503,_calc!$E$490))=0,"",INDEX('Checklist'!$D$4:$D$503,_calc!$E$490)))=0,"","Rule example: "&amp;IF(LEN(INDEX('Checklist'!$D$4:$D$503,_calc!$E$490))=0,"",INDEX('Checklist'!$D$4:$D$503,_calc!$E$490))&amp;". ")&amp;IF(LEN(IF(LEN(INDEX('Checklist'!$P$4:$P$503,_calc!$E$490))=0,"",INDEX('Checklist'!$P$4:$P$503,_calc!$E$490)))=0,"",IF(LEN(INDEX('Checklist'!$P$4:$P$503,_calc!$E$490))=0,"",INDEX('Checklist'!$P$4:$P$503,_calc!$E$490)))))</f>
        <v/>
      </c>
      <c r="K488" s="44">
        <f>IF(_calc!$E$490="","",IF(LEN(INDEX('Checklist'!$G$4:$G$503,_calc!$E$490))=0,"",INDEX('Checklist'!$G$4:$G$503,_calc!$E$490)))</f>
        <v/>
      </c>
    </row>
    <row r="489">
      <c r="A489" s="44">
        <f>IF(_calc!$E$491="","","Survey check – "&amp;IF(LEN(INDEX('Checklist'!$C$4:$C$503,_calc!$E$491))=0,"",INDEX('Checklist'!$C$4:$C$503,_calc!$E$491)))</f>
        <v/>
      </c>
      <c r="B489" s="44">
        <f>IF(_calc!$E$491="","",IF(ISNUMBER(INDEX('Checklist'!$L$4:$L$503,_calc!$E$491)),TEXT(INDEX('Checklist'!$L$4:$L$503,_calc!$E$491),"yyyy-mm-dd"),""))</f>
        <v/>
      </c>
      <c r="C489" s="44">
        <f>IF(_calc!$E$491="","","Survey readiness")</f>
        <v/>
      </c>
      <c r="D489" s="44">
        <f>IF(_calc!$E$491="","",IF(ISNUMBER(INDEX('Checklist'!$H$4:$H$503,_calc!$E$491)),TEXT(INDEX('Checklist'!$H$4:$H$503,_calc!$E$491),"yyyy-mm-dd"),""))</f>
        <v/>
      </c>
      <c r="F489" s="44">
        <f>IF(_calc!$E$491="","",TRIM(IF(LEN(IF(LEN(INDEX('Checklist'!$A$4:$A$503,_calc!$E$491))=0,"",INDEX('Checklist'!$A$4:$A$503,_calc!$E$491)))=0,"","Group: "&amp;IF(LEN(INDEX('Checklist'!$A$4:$A$503,_calc!$E$491))=0,"",INDEX('Checklist'!$A$4:$A$503,_calc!$E$491))&amp;". ")&amp;IF(LEN(IF(LEN(INDEX('Checklist'!$E$4:$E$503,_calc!$E$491))=0,"",INDEX('Checklist'!$E$4:$E$503,_calc!$E$491)))=0,"","Owner: "&amp;IF(LEN(INDEX('Checklist'!$E$4:$E$503,_calc!$E$491))=0,"",INDEX('Checklist'!$E$4:$E$503,_calc!$E$491))&amp;". ")&amp;IF(LEN(IF(LEN(INDEX('Checklist'!$F$4:$F$503,_calc!$E$491))=0,"",INDEX('Checklist'!$F$4:$F$503,_calc!$E$491)))=0,"","Backup: "&amp;IF(LEN(INDEX('Checklist'!$F$4:$F$503,_calc!$E$491))=0,"",INDEX('Checklist'!$F$4:$F$503,_calc!$E$491))&amp;". ")&amp;IF(LEN(IF(LEN(INDEX('Checklist'!$J$4:$J$503,_calc!$E$491))=0,"",INDEX('Checklist'!$J$4:$J$503,_calc!$E$491)))=0,"","Evidence: "&amp;IF(LEN(INDEX('Checklist'!$J$4:$J$503,_calc!$E$491))=0,"",INDEX('Checklist'!$J$4:$J$503,_calc!$E$491))&amp;". ")&amp;IF(LEN(IF(LEN(INDEX('Checklist'!$D$4:$D$503,_calc!$E$491))=0,"",INDEX('Checklist'!$D$4:$D$503,_calc!$E$491)))=0,"","Rule example: "&amp;IF(LEN(INDEX('Checklist'!$D$4:$D$503,_calc!$E$491))=0,"",INDEX('Checklist'!$D$4:$D$503,_calc!$E$491))&amp;". ")&amp;IF(LEN(IF(LEN(INDEX('Checklist'!$P$4:$P$503,_calc!$E$491))=0,"",INDEX('Checklist'!$P$4:$P$503,_calc!$E$491)))=0,"",IF(LEN(INDEX('Checklist'!$P$4:$P$503,_calc!$E$491))=0,"",INDEX('Checklist'!$P$4:$P$503,_calc!$E$491)))))</f>
        <v/>
      </c>
      <c r="K489" s="44">
        <f>IF(_calc!$E$491="","",IF(LEN(INDEX('Checklist'!$G$4:$G$503,_calc!$E$491))=0,"",INDEX('Checklist'!$G$4:$G$503,_calc!$E$491)))</f>
        <v/>
      </c>
    </row>
    <row r="490">
      <c r="A490" s="44">
        <f>IF(_calc!$E$492="","","Survey check – "&amp;IF(LEN(INDEX('Checklist'!$C$4:$C$503,_calc!$E$492))=0,"",INDEX('Checklist'!$C$4:$C$503,_calc!$E$492)))</f>
        <v/>
      </c>
      <c r="B490" s="44">
        <f>IF(_calc!$E$492="","",IF(ISNUMBER(INDEX('Checklist'!$L$4:$L$503,_calc!$E$492)),TEXT(INDEX('Checklist'!$L$4:$L$503,_calc!$E$492),"yyyy-mm-dd"),""))</f>
        <v/>
      </c>
      <c r="C490" s="44">
        <f>IF(_calc!$E$492="","","Survey readiness")</f>
        <v/>
      </c>
      <c r="D490" s="44">
        <f>IF(_calc!$E$492="","",IF(ISNUMBER(INDEX('Checklist'!$H$4:$H$503,_calc!$E$492)),TEXT(INDEX('Checklist'!$H$4:$H$503,_calc!$E$492),"yyyy-mm-dd"),""))</f>
        <v/>
      </c>
      <c r="F490" s="44">
        <f>IF(_calc!$E$492="","",TRIM(IF(LEN(IF(LEN(INDEX('Checklist'!$A$4:$A$503,_calc!$E$492))=0,"",INDEX('Checklist'!$A$4:$A$503,_calc!$E$492)))=0,"","Group: "&amp;IF(LEN(INDEX('Checklist'!$A$4:$A$503,_calc!$E$492))=0,"",INDEX('Checklist'!$A$4:$A$503,_calc!$E$492))&amp;". ")&amp;IF(LEN(IF(LEN(INDEX('Checklist'!$E$4:$E$503,_calc!$E$492))=0,"",INDEX('Checklist'!$E$4:$E$503,_calc!$E$492)))=0,"","Owner: "&amp;IF(LEN(INDEX('Checklist'!$E$4:$E$503,_calc!$E$492))=0,"",INDEX('Checklist'!$E$4:$E$503,_calc!$E$492))&amp;". ")&amp;IF(LEN(IF(LEN(INDEX('Checklist'!$F$4:$F$503,_calc!$E$492))=0,"",INDEX('Checklist'!$F$4:$F$503,_calc!$E$492)))=0,"","Backup: "&amp;IF(LEN(INDEX('Checklist'!$F$4:$F$503,_calc!$E$492))=0,"",INDEX('Checklist'!$F$4:$F$503,_calc!$E$492))&amp;". ")&amp;IF(LEN(IF(LEN(INDEX('Checklist'!$J$4:$J$503,_calc!$E$492))=0,"",INDEX('Checklist'!$J$4:$J$503,_calc!$E$492)))=0,"","Evidence: "&amp;IF(LEN(INDEX('Checklist'!$J$4:$J$503,_calc!$E$492))=0,"",INDEX('Checklist'!$J$4:$J$503,_calc!$E$492))&amp;". ")&amp;IF(LEN(IF(LEN(INDEX('Checklist'!$D$4:$D$503,_calc!$E$492))=0,"",INDEX('Checklist'!$D$4:$D$503,_calc!$E$492)))=0,"","Rule example: "&amp;IF(LEN(INDEX('Checklist'!$D$4:$D$503,_calc!$E$492))=0,"",INDEX('Checklist'!$D$4:$D$503,_calc!$E$492))&amp;". ")&amp;IF(LEN(IF(LEN(INDEX('Checklist'!$P$4:$P$503,_calc!$E$492))=0,"",INDEX('Checklist'!$P$4:$P$503,_calc!$E$492)))=0,"",IF(LEN(INDEX('Checklist'!$P$4:$P$503,_calc!$E$492))=0,"",INDEX('Checklist'!$P$4:$P$503,_calc!$E$492)))))</f>
        <v/>
      </c>
      <c r="K490" s="44">
        <f>IF(_calc!$E$492="","",IF(LEN(INDEX('Checklist'!$G$4:$G$503,_calc!$E$492))=0,"",INDEX('Checklist'!$G$4:$G$503,_calc!$E$492)))</f>
        <v/>
      </c>
    </row>
    <row r="491">
      <c r="A491" s="44">
        <f>IF(_calc!$E$493="","","Survey check – "&amp;IF(LEN(INDEX('Checklist'!$C$4:$C$503,_calc!$E$493))=0,"",INDEX('Checklist'!$C$4:$C$503,_calc!$E$493)))</f>
        <v/>
      </c>
      <c r="B491" s="44">
        <f>IF(_calc!$E$493="","",IF(ISNUMBER(INDEX('Checklist'!$L$4:$L$503,_calc!$E$493)),TEXT(INDEX('Checklist'!$L$4:$L$503,_calc!$E$493),"yyyy-mm-dd"),""))</f>
        <v/>
      </c>
      <c r="C491" s="44">
        <f>IF(_calc!$E$493="","","Survey readiness")</f>
        <v/>
      </c>
      <c r="D491" s="44">
        <f>IF(_calc!$E$493="","",IF(ISNUMBER(INDEX('Checklist'!$H$4:$H$503,_calc!$E$493)),TEXT(INDEX('Checklist'!$H$4:$H$503,_calc!$E$493),"yyyy-mm-dd"),""))</f>
        <v/>
      </c>
      <c r="F491" s="44">
        <f>IF(_calc!$E$493="","",TRIM(IF(LEN(IF(LEN(INDEX('Checklist'!$A$4:$A$503,_calc!$E$493))=0,"",INDEX('Checklist'!$A$4:$A$503,_calc!$E$493)))=0,"","Group: "&amp;IF(LEN(INDEX('Checklist'!$A$4:$A$503,_calc!$E$493))=0,"",INDEX('Checklist'!$A$4:$A$503,_calc!$E$493))&amp;". ")&amp;IF(LEN(IF(LEN(INDEX('Checklist'!$E$4:$E$503,_calc!$E$493))=0,"",INDEX('Checklist'!$E$4:$E$503,_calc!$E$493)))=0,"","Owner: "&amp;IF(LEN(INDEX('Checklist'!$E$4:$E$503,_calc!$E$493))=0,"",INDEX('Checklist'!$E$4:$E$503,_calc!$E$493))&amp;". ")&amp;IF(LEN(IF(LEN(INDEX('Checklist'!$F$4:$F$503,_calc!$E$493))=0,"",INDEX('Checklist'!$F$4:$F$503,_calc!$E$493)))=0,"","Backup: "&amp;IF(LEN(INDEX('Checklist'!$F$4:$F$503,_calc!$E$493))=0,"",INDEX('Checklist'!$F$4:$F$503,_calc!$E$493))&amp;". ")&amp;IF(LEN(IF(LEN(INDEX('Checklist'!$J$4:$J$503,_calc!$E$493))=0,"",INDEX('Checklist'!$J$4:$J$503,_calc!$E$493)))=0,"","Evidence: "&amp;IF(LEN(INDEX('Checklist'!$J$4:$J$503,_calc!$E$493))=0,"",INDEX('Checklist'!$J$4:$J$503,_calc!$E$493))&amp;". ")&amp;IF(LEN(IF(LEN(INDEX('Checklist'!$D$4:$D$503,_calc!$E$493))=0,"",INDEX('Checklist'!$D$4:$D$503,_calc!$E$493)))=0,"","Rule example: "&amp;IF(LEN(INDEX('Checklist'!$D$4:$D$503,_calc!$E$493))=0,"",INDEX('Checklist'!$D$4:$D$503,_calc!$E$493))&amp;". ")&amp;IF(LEN(IF(LEN(INDEX('Checklist'!$P$4:$P$503,_calc!$E$493))=0,"",INDEX('Checklist'!$P$4:$P$503,_calc!$E$493)))=0,"",IF(LEN(INDEX('Checklist'!$P$4:$P$503,_calc!$E$493))=0,"",INDEX('Checklist'!$P$4:$P$503,_calc!$E$493)))))</f>
        <v/>
      </c>
      <c r="K491" s="44">
        <f>IF(_calc!$E$493="","",IF(LEN(INDEX('Checklist'!$G$4:$G$503,_calc!$E$493))=0,"",INDEX('Checklist'!$G$4:$G$503,_calc!$E$493)))</f>
        <v/>
      </c>
    </row>
    <row r="492">
      <c r="A492" s="44">
        <f>IF(_calc!$E$494="","","Survey check – "&amp;IF(LEN(INDEX('Checklist'!$C$4:$C$503,_calc!$E$494))=0,"",INDEX('Checklist'!$C$4:$C$503,_calc!$E$494)))</f>
        <v/>
      </c>
      <c r="B492" s="44">
        <f>IF(_calc!$E$494="","",IF(ISNUMBER(INDEX('Checklist'!$L$4:$L$503,_calc!$E$494)),TEXT(INDEX('Checklist'!$L$4:$L$503,_calc!$E$494),"yyyy-mm-dd"),""))</f>
        <v/>
      </c>
      <c r="C492" s="44">
        <f>IF(_calc!$E$494="","","Survey readiness")</f>
        <v/>
      </c>
      <c r="D492" s="44">
        <f>IF(_calc!$E$494="","",IF(ISNUMBER(INDEX('Checklist'!$H$4:$H$503,_calc!$E$494)),TEXT(INDEX('Checklist'!$H$4:$H$503,_calc!$E$494),"yyyy-mm-dd"),""))</f>
        <v/>
      </c>
      <c r="F492" s="44">
        <f>IF(_calc!$E$494="","",TRIM(IF(LEN(IF(LEN(INDEX('Checklist'!$A$4:$A$503,_calc!$E$494))=0,"",INDEX('Checklist'!$A$4:$A$503,_calc!$E$494)))=0,"","Group: "&amp;IF(LEN(INDEX('Checklist'!$A$4:$A$503,_calc!$E$494))=0,"",INDEX('Checklist'!$A$4:$A$503,_calc!$E$494))&amp;". ")&amp;IF(LEN(IF(LEN(INDEX('Checklist'!$E$4:$E$503,_calc!$E$494))=0,"",INDEX('Checklist'!$E$4:$E$503,_calc!$E$494)))=0,"","Owner: "&amp;IF(LEN(INDEX('Checklist'!$E$4:$E$503,_calc!$E$494))=0,"",INDEX('Checklist'!$E$4:$E$503,_calc!$E$494))&amp;". ")&amp;IF(LEN(IF(LEN(INDEX('Checklist'!$F$4:$F$503,_calc!$E$494))=0,"",INDEX('Checklist'!$F$4:$F$503,_calc!$E$494)))=0,"","Backup: "&amp;IF(LEN(INDEX('Checklist'!$F$4:$F$503,_calc!$E$494))=0,"",INDEX('Checklist'!$F$4:$F$503,_calc!$E$494))&amp;". ")&amp;IF(LEN(IF(LEN(INDEX('Checklist'!$J$4:$J$503,_calc!$E$494))=0,"",INDEX('Checklist'!$J$4:$J$503,_calc!$E$494)))=0,"","Evidence: "&amp;IF(LEN(INDEX('Checklist'!$J$4:$J$503,_calc!$E$494))=0,"",INDEX('Checklist'!$J$4:$J$503,_calc!$E$494))&amp;". ")&amp;IF(LEN(IF(LEN(INDEX('Checklist'!$D$4:$D$503,_calc!$E$494))=0,"",INDEX('Checklist'!$D$4:$D$503,_calc!$E$494)))=0,"","Rule example: "&amp;IF(LEN(INDEX('Checklist'!$D$4:$D$503,_calc!$E$494))=0,"",INDEX('Checklist'!$D$4:$D$503,_calc!$E$494))&amp;". ")&amp;IF(LEN(IF(LEN(INDEX('Checklist'!$P$4:$P$503,_calc!$E$494))=0,"",INDEX('Checklist'!$P$4:$P$503,_calc!$E$494)))=0,"",IF(LEN(INDEX('Checklist'!$P$4:$P$503,_calc!$E$494))=0,"",INDEX('Checklist'!$P$4:$P$503,_calc!$E$494)))))</f>
        <v/>
      </c>
      <c r="K492" s="44">
        <f>IF(_calc!$E$494="","",IF(LEN(INDEX('Checklist'!$G$4:$G$503,_calc!$E$494))=0,"",INDEX('Checklist'!$G$4:$G$503,_calc!$E$494)))</f>
        <v/>
      </c>
    </row>
    <row r="493">
      <c r="A493" s="44">
        <f>IF(_calc!$E$495="","","Survey check – "&amp;IF(LEN(INDEX('Checklist'!$C$4:$C$503,_calc!$E$495))=0,"",INDEX('Checklist'!$C$4:$C$503,_calc!$E$495)))</f>
        <v/>
      </c>
      <c r="B493" s="44">
        <f>IF(_calc!$E$495="","",IF(ISNUMBER(INDEX('Checklist'!$L$4:$L$503,_calc!$E$495)),TEXT(INDEX('Checklist'!$L$4:$L$503,_calc!$E$495),"yyyy-mm-dd"),""))</f>
        <v/>
      </c>
      <c r="C493" s="44">
        <f>IF(_calc!$E$495="","","Survey readiness")</f>
        <v/>
      </c>
      <c r="D493" s="44">
        <f>IF(_calc!$E$495="","",IF(ISNUMBER(INDEX('Checklist'!$H$4:$H$503,_calc!$E$495)),TEXT(INDEX('Checklist'!$H$4:$H$503,_calc!$E$495),"yyyy-mm-dd"),""))</f>
        <v/>
      </c>
      <c r="F493" s="44">
        <f>IF(_calc!$E$495="","",TRIM(IF(LEN(IF(LEN(INDEX('Checklist'!$A$4:$A$503,_calc!$E$495))=0,"",INDEX('Checklist'!$A$4:$A$503,_calc!$E$495)))=0,"","Group: "&amp;IF(LEN(INDEX('Checklist'!$A$4:$A$503,_calc!$E$495))=0,"",INDEX('Checklist'!$A$4:$A$503,_calc!$E$495))&amp;". ")&amp;IF(LEN(IF(LEN(INDEX('Checklist'!$E$4:$E$503,_calc!$E$495))=0,"",INDEX('Checklist'!$E$4:$E$503,_calc!$E$495)))=0,"","Owner: "&amp;IF(LEN(INDEX('Checklist'!$E$4:$E$503,_calc!$E$495))=0,"",INDEX('Checklist'!$E$4:$E$503,_calc!$E$495))&amp;". ")&amp;IF(LEN(IF(LEN(INDEX('Checklist'!$F$4:$F$503,_calc!$E$495))=0,"",INDEX('Checklist'!$F$4:$F$503,_calc!$E$495)))=0,"","Backup: "&amp;IF(LEN(INDEX('Checklist'!$F$4:$F$503,_calc!$E$495))=0,"",INDEX('Checklist'!$F$4:$F$503,_calc!$E$495))&amp;". ")&amp;IF(LEN(IF(LEN(INDEX('Checklist'!$J$4:$J$503,_calc!$E$495))=0,"",INDEX('Checklist'!$J$4:$J$503,_calc!$E$495)))=0,"","Evidence: "&amp;IF(LEN(INDEX('Checklist'!$J$4:$J$503,_calc!$E$495))=0,"",INDEX('Checklist'!$J$4:$J$503,_calc!$E$495))&amp;". ")&amp;IF(LEN(IF(LEN(INDEX('Checklist'!$D$4:$D$503,_calc!$E$495))=0,"",INDEX('Checklist'!$D$4:$D$503,_calc!$E$495)))=0,"","Rule example: "&amp;IF(LEN(INDEX('Checklist'!$D$4:$D$503,_calc!$E$495))=0,"",INDEX('Checklist'!$D$4:$D$503,_calc!$E$495))&amp;". ")&amp;IF(LEN(IF(LEN(INDEX('Checklist'!$P$4:$P$503,_calc!$E$495))=0,"",INDEX('Checklist'!$P$4:$P$503,_calc!$E$495)))=0,"",IF(LEN(INDEX('Checklist'!$P$4:$P$503,_calc!$E$495))=0,"",INDEX('Checklist'!$P$4:$P$503,_calc!$E$495)))))</f>
        <v/>
      </c>
      <c r="K493" s="44">
        <f>IF(_calc!$E$495="","",IF(LEN(INDEX('Checklist'!$G$4:$G$503,_calc!$E$495))=0,"",INDEX('Checklist'!$G$4:$G$503,_calc!$E$495)))</f>
        <v/>
      </c>
    </row>
    <row r="494">
      <c r="A494" s="44">
        <f>IF(_calc!$E$496="","","Survey check – "&amp;IF(LEN(INDEX('Checklist'!$C$4:$C$503,_calc!$E$496))=0,"",INDEX('Checklist'!$C$4:$C$503,_calc!$E$496)))</f>
        <v/>
      </c>
      <c r="B494" s="44">
        <f>IF(_calc!$E$496="","",IF(ISNUMBER(INDEX('Checklist'!$L$4:$L$503,_calc!$E$496)),TEXT(INDEX('Checklist'!$L$4:$L$503,_calc!$E$496),"yyyy-mm-dd"),""))</f>
        <v/>
      </c>
      <c r="C494" s="44">
        <f>IF(_calc!$E$496="","","Survey readiness")</f>
        <v/>
      </c>
      <c r="D494" s="44">
        <f>IF(_calc!$E$496="","",IF(ISNUMBER(INDEX('Checklist'!$H$4:$H$503,_calc!$E$496)),TEXT(INDEX('Checklist'!$H$4:$H$503,_calc!$E$496),"yyyy-mm-dd"),""))</f>
        <v/>
      </c>
      <c r="F494" s="44">
        <f>IF(_calc!$E$496="","",TRIM(IF(LEN(IF(LEN(INDEX('Checklist'!$A$4:$A$503,_calc!$E$496))=0,"",INDEX('Checklist'!$A$4:$A$503,_calc!$E$496)))=0,"","Group: "&amp;IF(LEN(INDEX('Checklist'!$A$4:$A$503,_calc!$E$496))=0,"",INDEX('Checklist'!$A$4:$A$503,_calc!$E$496))&amp;". ")&amp;IF(LEN(IF(LEN(INDEX('Checklist'!$E$4:$E$503,_calc!$E$496))=0,"",INDEX('Checklist'!$E$4:$E$503,_calc!$E$496)))=0,"","Owner: "&amp;IF(LEN(INDEX('Checklist'!$E$4:$E$503,_calc!$E$496))=0,"",INDEX('Checklist'!$E$4:$E$503,_calc!$E$496))&amp;". ")&amp;IF(LEN(IF(LEN(INDEX('Checklist'!$F$4:$F$503,_calc!$E$496))=0,"",INDEX('Checklist'!$F$4:$F$503,_calc!$E$496)))=0,"","Backup: "&amp;IF(LEN(INDEX('Checklist'!$F$4:$F$503,_calc!$E$496))=0,"",INDEX('Checklist'!$F$4:$F$503,_calc!$E$496))&amp;". ")&amp;IF(LEN(IF(LEN(INDEX('Checklist'!$J$4:$J$503,_calc!$E$496))=0,"",INDEX('Checklist'!$J$4:$J$503,_calc!$E$496)))=0,"","Evidence: "&amp;IF(LEN(INDEX('Checklist'!$J$4:$J$503,_calc!$E$496))=0,"",INDEX('Checklist'!$J$4:$J$503,_calc!$E$496))&amp;". ")&amp;IF(LEN(IF(LEN(INDEX('Checklist'!$D$4:$D$503,_calc!$E$496))=0,"",INDEX('Checklist'!$D$4:$D$503,_calc!$E$496)))=0,"","Rule example: "&amp;IF(LEN(INDEX('Checklist'!$D$4:$D$503,_calc!$E$496))=0,"",INDEX('Checklist'!$D$4:$D$503,_calc!$E$496))&amp;". ")&amp;IF(LEN(IF(LEN(INDEX('Checklist'!$P$4:$P$503,_calc!$E$496))=0,"",INDEX('Checklist'!$P$4:$P$503,_calc!$E$496)))=0,"",IF(LEN(INDEX('Checklist'!$P$4:$P$503,_calc!$E$496))=0,"",INDEX('Checklist'!$P$4:$P$503,_calc!$E$496)))))</f>
        <v/>
      </c>
      <c r="K494" s="44">
        <f>IF(_calc!$E$496="","",IF(LEN(INDEX('Checklist'!$G$4:$G$503,_calc!$E$496))=0,"",INDEX('Checklist'!$G$4:$G$503,_calc!$E$496)))</f>
        <v/>
      </c>
    </row>
    <row r="495">
      <c r="A495" s="44">
        <f>IF(_calc!$E$497="","","Survey check – "&amp;IF(LEN(INDEX('Checklist'!$C$4:$C$503,_calc!$E$497))=0,"",INDEX('Checklist'!$C$4:$C$503,_calc!$E$497)))</f>
        <v/>
      </c>
      <c r="B495" s="44">
        <f>IF(_calc!$E$497="","",IF(ISNUMBER(INDEX('Checklist'!$L$4:$L$503,_calc!$E$497)),TEXT(INDEX('Checklist'!$L$4:$L$503,_calc!$E$497),"yyyy-mm-dd"),""))</f>
        <v/>
      </c>
      <c r="C495" s="44">
        <f>IF(_calc!$E$497="","","Survey readiness")</f>
        <v/>
      </c>
      <c r="D495" s="44">
        <f>IF(_calc!$E$497="","",IF(ISNUMBER(INDEX('Checklist'!$H$4:$H$503,_calc!$E$497)),TEXT(INDEX('Checklist'!$H$4:$H$503,_calc!$E$497),"yyyy-mm-dd"),""))</f>
        <v/>
      </c>
      <c r="F495" s="44">
        <f>IF(_calc!$E$497="","",TRIM(IF(LEN(IF(LEN(INDEX('Checklist'!$A$4:$A$503,_calc!$E$497))=0,"",INDEX('Checklist'!$A$4:$A$503,_calc!$E$497)))=0,"","Group: "&amp;IF(LEN(INDEX('Checklist'!$A$4:$A$503,_calc!$E$497))=0,"",INDEX('Checklist'!$A$4:$A$503,_calc!$E$497))&amp;". ")&amp;IF(LEN(IF(LEN(INDEX('Checklist'!$E$4:$E$503,_calc!$E$497))=0,"",INDEX('Checklist'!$E$4:$E$503,_calc!$E$497)))=0,"","Owner: "&amp;IF(LEN(INDEX('Checklist'!$E$4:$E$503,_calc!$E$497))=0,"",INDEX('Checklist'!$E$4:$E$503,_calc!$E$497))&amp;". ")&amp;IF(LEN(IF(LEN(INDEX('Checklist'!$F$4:$F$503,_calc!$E$497))=0,"",INDEX('Checklist'!$F$4:$F$503,_calc!$E$497)))=0,"","Backup: "&amp;IF(LEN(INDEX('Checklist'!$F$4:$F$503,_calc!$E$497))=0,"",INDEX('Checklist'!$F$4:$F$503,_calc!$E$497))&amp;". ")&amp;IF(LEN(IF(LEN(INDEX('Checklist'!$J$4:$J$503,_calc!$E$497))=0,"",INDEX('Checklist'!$J$4:$J$503,_calc!$E$497)))=0,"","Evidence: "&amp;IF(LEN(INDEX('Checklist'!$J$4:$J$503,_calc!$E$497))=0,"",INDEX('Checklist'!$J$4:$J$503,_calc!$E$497))&amp;". ")&amp;IF(LEN(IF(LEN(INDEX('Checklist'!$D$4:$D$503,_calc!$E$497))=0,"",INDEX('Checklist'!$D$4:$D$503,_calc!$E$497)))=0,"","Rule example: "&amp;IF(LEN(INDEX('Checklist'!$D$4:$D$503,_calc!$E$497))=0,"",INDEX('Checklist'!$D$4:$D$503,_calc!$E$497))&amp;". ")&amp;IF(LEN(IF(LEN(INDEX('Checklist'!$P$4:$P$503,_calc!$E$497))=0,"",INDEX('Checklist'!$P$4:$P$503,_calc!$E$497)))=0,"",IF(LEN(INDEX('Checklist'!$P$4:$P$503,_calc!$E$497))=0,"",INDEX('Checklist'!$P$4:$P$503,_calc!$E$497)))))</f>
        <v/>
      </c>
      <c r="K495" s="44">
        <f>IF(_calc!$E$497="","",IF(LEN(INDEX('Checklist'!$G$4:$G$503,_calc!$E$497))=0,"",INDEX('Checklist'!$G$4:$G$503,_calc!$E$497)))</f>
        <v/>
      </c>
    </row>
    <row r="496">
      <c r="A496" s="44">
        <f>IF(_calc!$E$498="","","Survey check – "&amp;IF(LEN(INDEX('Checklist'!$C$4:$C$503,_calc!$E$498))=0,"",INDEX('Checklist'!$C$4:$C$503,_calc!$E$498)))</f>
        <v/>
      </c>
      <c r="B496" s="44">
        <f>IF(_calc!$E$498="","",IF(ISNUMBER(INDEX('Checklist'!$L$4:$L$503,_calc!$E$498)),TEXT(INDEX('Checklist'!$L$4:$L$503,_calc!$E$498),"yyyy-mm-dd"),""))</f>
        <v/>
      </c>
      <c r="C496" s="44">
        <f>IF(_calc!$E$498="","","Survey readiness")</f>
        <v/>
      </c>
      <c r="D496" s="44">
        <f>IF(_calc!$E$498="","",IF(ISNUMBER(INDEX('Checklist'!$H$4:$H$503,_calc!$E$498)),TEXT(INDEX('Checklist'!$H$4:$H$503,_calc!$E$498),"yyyy-mm-dd"),""))</f>
        <v/>
      </c>
      <c r="F496" s="44">
        <f>IF(_calc!$E$498="","",TRIM(IF(LEN(IF(LEN(INDEX('Checklist'!$A$4:$A$503,_calc!$E$498))=0,"",INDEX('Checklist'!$A$4:$A$503,_calc!$E$498)))=0,"","Group: "&amp;IF(LEN(INDEX('Checklist'!$A$4:$A$503,_calc!$E$498))=0,"",INDEX('Checklist'!$A$4:$A$503,_calc!$E$498))&amp;". ")&amp;IF(LEN(IF(LEN(INDEX('Checklist'!$E$4:$E$503,_calc!$E$498))=0,"",INDEX('Checklist'!$E$4:$E$503,_calc!$E$498)))=0,"","Owner: "&amp;IF(LEN(INDEX('Checklist'!$E$4:$E$503,_calc!$E$498))=0,"",INDEX('Checklist'!$E$4:$E$503,_calc!$E$498))&amp;". ")&amp;IF(LEN(IF(LEN(INDEX('Checklist'!$F$4:$F$503,_calc!$E$498))=0,"",INDEX('Checklist'!$F$4:$F$503,_calc!$E$498)))=0,"","Backup: "&amp;IF(LEN(INDEX('Checklist'!$F$4:$F$503,_calc!$E$498))=0,"",INDEX('Checklist'!$F$4:$F$503,_calc!$E$498))&amp;". ")&amp;IF(LEN(IF(LEN(INDEX('Checklist'!$J$4:$J$503,_calc!$E$498))=0,"",INDEX('Checklist'!$J$4:$J$503,_calc!$E$498)))=0,"","Evidence: "&amp;IF(LEN(INDEX('Checklist'!$J$4:$J$503,_calc!$E$498))=0,"",INDEX('Checklist'!$J$4:$J$503,_calc!$E$498))&amp;". ")&amp;IF(LEN(IF(LEN(INDEX('Checklist'!$D$4:$D$503,_calc!$E$498))=0,"",INDEX('Checklist'!$D$4:$D$503,_calc!$E$498)))=0,"","Rule example: "&amp;IF(LEN(INDEX('Checklist'!$D$4:$D$503,_calc!$E$498))=0,"",INDEX('Checklist'!$D$4:$D$503,_calc!$E$498))&amp;". ")&amp;IF(LEN(IF(LEN(INDEX('Checklist'!$P$4:$P$503,_calc!$E$498))=0,"",INDEX('Checklist'!$P$4:$P$503,_calc!$E$498)))=0,"",IF(LEN(INDEX('Checklist'!$P$4:$P$503,_calc!$E$498))=0,"",INDEX('Checklist'!$P$4:$P$503,_calc!$E$498)))))</f>
        <v/>
      </c>
      <c r="K496" s="44">
        <f>IF(_calc!$E$498="","",IF(LEN(INDEX('Checklist'!$G$4:$G$503,_calc!$E$498))=0,"",INDEX('Checklist'!$G$4:$G$503,_calc!$E$498)))</f>
        <v/>
      </c>
    </row>
    <row r="497">
      <c r="A497" s="44">
        <f>IF(_calc!$E$499="","","Survey check – "&amp;IF(LEN(INDEX('Checklist'!$C$4:$C$503,_calc!$E$499))=0,"",INDEX('Checklist'!$C$4:$C$503,_calc!$E$499)))</f>
        <v/>
      </c>
      <c r="B497" s="44">
        <f>IF(_calc!$E$499="","",IF(ISNUMBER(INDEX('Checklist'!$L$4:$L$503,_calc!$E$499)),TEXT(INDEX('Checklist'!$L$4:$L$503,_calc!$E$499),"yyyy-mm-dd"),""))</f>
        <v/>
      </c>
      <c r="C497" s="44">
        <f>IF(_calc!$E$499="","","Survey readiness")</f>
        <v/>
      </c>
      <c r="D497" s="44">
        <f>IF(_calc!$E$499="","",IF(ISNUMBER(INDEX('Checklist'!$H$4:$H$503,_calc!$E$499)),TEXT(INDEX('Checklist'!$H$4:$H$503,_calc!$E$499),"yyyy-mm-dd"),""))</f>
        <v/>
      </c>
      <c r="F497" s="44">
        <f>IF(_calc!$E$499="","",TRIM(IF(LEN(IF(LEN(INDEX('Checklist'!$A$4:$A$503,_calc!$E$499))=0,"",INDEX('Checklist'!$A$4:$A$503,_calc!$E$499)))=0,"","Group: "&amp;IF(LEN(INDEX('Checklist'!$A$4:$A$503,_calc!$E$499))=0,"",INDEX('Checklist'!$A$4:$A$503,_calc!$E$499))&amp;". ")&amp;IF(LEN(IF(LEN(INDEX('Checklist'!$E$4:$E$503,_calc!$E$499))=0,"",INDEX('Checklist'!$E$4:$E$503,_calc!$E$499)))=0,"","Owner: "&amp;IF(LEN(INDEX('Checklist'!$E$4:$E$503,_calc!$E$499))=0,"",INDEX('Checklist'!$E$4:$E$503,_calc!$E$499))&amp;". ")&amp;IF(LEN(IF(LEN(INDEX('Checklist'!$F$4:$F$503,_calc!$E$499))=0,"",INDEX('Checklist'!$F$4:$F$503,_calc!$E$499)))=0,"","Backup: "&amp;IF(LEN(INDEX('Checklist'!$F$4:$F$503,_calc!$E$499))=0,"",INDEX('Checklist'!$F$4:$F$503,_calc!$E$499))&amp;". ")&amp;IF(LEN(IF(LEN(INDEX('Checklist'!$J$4:$J$503,_calc!$E$499))=0,"",INDEX('Checklist'!$J$4:$J$503,_calc!$E$499)))=0,"","Evidence: "&amp;IF(LEN(INDEX('Checklist'!$J$4:$J$503,_calc!$E$499))=0,"",INDEX('Checklist'!$J$4:$J$503,_calc!$E$499))&amp;". ")&amp;IF(LEN(IF(LEN(INDEX('Checklist'!$D$4:$D$503,_calc!$E$499))=0,"",INDEX('Checklist'!$D$4:$D$503,_calc!$E$499)))=0,"","Rule example: "&amp;IF(LEN(INDEX('Checklist'!$D$4:$D$503,_calc!$E$499))=0,"",INDEX('Checklist'!$D$4:$D$503,_calc!$E$499))&amp;". ")&amp;IF(LEN(IF(LEN(INDEX('Checklist'!$P$4:$P$503,_calc!$E$499))=0,"",INDEX('Checklist'!$P$4:$P$503,_calc!$E$499)))=0,"",IF(LEN(INDEX('Checklist'!$P$4:$P$503,_calc!$E$499))=0,"",INDEX('Checklist'!$P$4:$P$503,_calc!$E$499)))))</f>
        <v/>
      </c>
      <c r="K497" s="44">
        <f>IF(_calc!$E$499="","",IF(LEN(INDEX('Checklist'!$G$4:$G$503,_calc!$E$499))=0,"",INDEX('Checklist'!$G$4:$G$503,_calc!$E$499)))</f>
        <v/>
      </c>
    </row>
    <row r="498">
      <c r="A498" s="44">
        <f>IF(_calc!$E$500="","","Survey check – "&amp;IF(LEN(INDEX('Checklist'!$C$4:$C$503,_calc!$E$500))=0,"",INDEX('Checklist'!$C$4:$C$503,_calc!$E$500)))</f>
        <v/>
      </c>
      <c r="B498" s="44">
        <f>IF(_calc!$E$500="","",IF(ISNUMBER(INDEX('Checklist'!$L$4:$L$503,_calc!$E$500)),TEXT(INDEX('Checklist'!$L$4:$L$503,_calc!$E$500),"yyyy-mm-dd"),""))</f>
        <v/>
      </c>
      <c r="C498" s="44">
        <f>IF(_calc!$E$500="","","Survey readiness")</f>
        <v/>
      </c>
      <c r="D498" s="44">
        <f>IF(_calc!$E$500="","",IF(ISNUMBER(INDEX('Checklist'!$H$4:$H$503,_calc!$E$500)),TEXT(INDEX('Checklist'!$H$4:$H$503,_calc!$E$500),"yyyy-mm-dd"),""))</f>
        <v/>
      </c>
      <c r="F498" s="44">
        <f>IF(_calc!$E$500="","",TRIM(IF(LEN(IF(LEN(INDEX('Checklist'!$A$4:$A$503,_calc!$E$500))=0,"",INDEX('Checklist'!$A$4:$A$503,_calc!$E$500)))=0,"","Group: "&amp;IF(LEN(INDEX('Checklist'!$A$4:$A$503,_calc!$E$500))=0,"",INDEX('Checklist'!$A$4:$A$503,_calc!$E$500))&amp;". ")&amp;IF(LEN(IF(LEN(INDEX('Checklist'!$E$4:$E$503,_calc!$E$500))=0,"",INDEX('Checklist'!$E$4:$E$503,_calc!$E$500)))=0,"","Owner: "&amp;IF(LEN(INDEX('Checklist'!$E$4:$E$503,_calc!$E$500))=0,"",INDEX('Checklist'!$E$4:$E$503,_calc!$E$500))&amp;". ")&amp;IF(LEN(IF(LEN(INDEX('Checklist'!$F$4:$F$503,_calc!$E$500))=0,"",INDEX('Checklist'!$F$4:$F$503,_calc!$E$500)))=0,"","Backup: "&amp;IF(LEN(INDEX('Checklist'!$F$4:$F$503,_calc!$E$500))=0,"",INDEX('Checklist'!$F$4:$F$503,_calc!$E$500))&amp;". ")&amp;IF(LEN(IF(LEN(INDEX('Checklist'!$J$4:$J$503,_calc!$E$500))=0,"",INDEX('Checklist'!$J$4:$J$503,_calc!$E$500)))=0,"","Evidence: "&amp;IF(LEN(INDEX('Checklist'!$J$4:$J$503,_calc!$E$500))=0,"",INDEX('Checklist'!$J$4:$J$503,_calc!$E$500))&amp;". ")&amp;IF(LEN(IF(LEN(INDEX('Checklist'!$D$4:$D$503,_calc!$E$500))=0,"",INDEX('Checklist'!$D$4:$D$503,_calc!$E$500)))=0,"","Rule example: "&amp;IF(LEN(INDEX('Checklist'!$D$4:$D$503,_calc!$E$500))=0,"",INDEX('Checklist'!$D$4:$D$503,_calc!$E$500))&amp;". ")&amp;IF(LEN(IF(LEN(INDEX('Checklist'!$P$4:$P$503,_calc!$E$500))=0,"",INDEX('Checklist'!$P$4:$P$503,_calc!$E$500)))=0,"",IF(LEN(INDEX('Checklist'!$P$4:$P$503,_calc!$E$500))=0,"",INDEX('Checklist'!$P$4:$P$503,_calc!$E$500)))))</f>
        <v/>
      </c>
      <c r="K498" s="44">
        <f>IF(_calc!$E$500="","",IF(LEN(INDEX('Checklist'!$G$4:$G$503,_calc!$E$500))=0,"",INDEX('Checklist'!$G$4:$G$503,_calc!$E$500)))</f>
        <v/>
      </c>
    </row>
    <row r="499">
      <c r="A499" s="44">
        <f>IF(_calc!$E$501="","","Survey check – "&amp;IF(LEN(INDEX('Checklist'!$C$4:$C$503,_calc!$E$501))=0,"",INDEX('Checklist'!$C$4:$C$503,_calc!$E$501)))</f>
        <v/>
      </c>
      <c r="B499" s="44">
        <f>IF(_calc!$E$501="","",IF(ISNUMBER(INDEX('Checklist'!$L$4:$L$503,_calc!$E$501)),TEXT(INDEX('Checklist'!$L$4:$L$503,_calc!$E$501),"yyyy-mm-dd"),""))</f>
        <v/>
      </c>
      <c r="C499" s="44">
        <f>IF(_calc!$E$501="","","Survey readiness")</f>
        <v/>
      </c>
      <c r="D499" s="44">
        <f>IF(_calc!$E$501="","",IF(ISNUMBER(INDEX('Checklist'!$H$4:$H$503,_calc!$E$501)),TEXT(INDEX('Checklist'!$H$4:$H$503,_calc!$E$501),"yyyy-mm-dd"),""))</f>
        <v/>
      </c>
      <c r="F499" s="44">
        <f>IF(_calc!$E$501="","",TRIM(IF(LEN(IF(LEN(INDEX('Checklist'!$A$4:$A$503,_calc!$E$501))=0,"",INDEX('Checklist'!$A$4:$A$503,_calc!$E$501)))=0,"","Group: "&amp;IF(LEN(INDEX('Checklist'!$A$4:$A$503,_calc!$E$501))=0,"",INDEX('Checklist'!$A$4:$A$503,_calc!$E$501))&amp;". ")&amp;IF(LEN(IF(LEN(INDEX('Checklist'!$E$4:$E$503,_calc!$E$501))=0,"",INDEX('Checklist'!$E$4:$E$503,_calc!$E$501)))=0,"","Owner: "&amp;IF(LEN(INDEX('Checklist'!$E$4:$E$503,_calc!$E$501))=0,"",INDEX('Checklist'!$E$4:$E$503,_calc!$E$501))&amp;". ")&amp;IF(LEN(IF(LEN(INDEX('Checklist'!$F$4:$F$503,_calc!$E$501))=0,"",INDEX('Checklist'!$F$4:$F$503,_calc!$E$501)))=0,"","Backup: "&amp;IF(LEN(INDEX('Checklist'!$F$4:$F$503,_calc!$E$501))=0,"",INDEX('Checklist'!$F$4:$F$503,_calc!$E$501))&amp;". ")&amp;IF(LEN(IF(LEN(INDEX('Checklist'!$J$4:$J$503,_calc!$E$501))=0,"",INDEX('Checklist'!$J$4:$J$503,_calc!$E$501)))=0,"","Evidence: "&amp;IF(LEN(INDEX('Checklist'!$J$4:$J$503,_calc!$E$501))=0,"",INDEX('Checklist'!$J$4:$J$503,_calc!$E$501))&amp;". ")&amp;IF(LEN(IF(LEN(INDEX('Checklist'!$D$4:$D$503,_calc!$E$501))=0,"",INDEX('Checklist'!$D$4:$D$503,_calc!$E$501)))=0,"","Rule example: "&amp;IF(LEN(INDEX('Checklist'!$D$4:$D$503,_calc!$E$501))=0,"",INDEX('Checklist'!$D$4:$D$503,_calc!$E$501))&amp;". ")&amp;IF(LEN(IF(LEN(INDEX('Checklist'!$P$4:$P$503,_calc!$E$501))=0,"",INDEX('Checklist'!$P$4:$P$503,_calc!$E$501)))=0,"",IF(LEN(INDEX('Checklist'!$P$4:$P$503,_calc!$E$501))=0,"",INDEX('Checklist'!$P$4:$P$503,_calc!$E$501)))))</f>
        <v/>
      </c>
      <c r="K499" s="44">
        <f>IF(_calc!$E$501="","",IF(LEN(INDEX('Checklist'!$G$4:$G$503,_calc!$E$501))=0,"",INDEX('Checklist'!$G$4:$G$503,_calc!$E$501)))</f>
        <v/>
      </c>
    </row>
    <row r="500">
      <c r="A500" s="44">
        <f>IF(_calc!$E$502="","","Survey check – "&amp;IF(LEN(INDEX('Checklist'!$C$4:$C$503,_calc!$E$502))=0,"",INDEX('Checklist'!$C$4:$C$503,_calc!$E$502)))</f>
        <v/>
      </c>
      <c r="B500" s="44">
        <f>IF(_calc!$E$502="","",IF(ISNUMBER(INDEX('Checklist'!$L$4:$L$503,_calc!$E$502)),TEXT(INDEX('Checklist'!$L$4:$L$503,_calc!$E$502),"yyyy-mm-dd"),""))</f>
        <v/>
      </c>
      <c r="C500" s="44">
        <f>IF(_calc!$E$502="","","Survey readiness")</f>
        <v/>
      </c>
      <c r="D500" s="44">
        <f>IF(_calc!$E$502="","",IF(ISNUMBER(INDEX('Checklist'!$H$4:$H$503,_calc!$E$502)),TEXT(INDEX('Checklist'!$H$4:$H$503,_calc!$E$502),"yyyy-mm-dd"),""))</f>
        <v/>
      </c>
      <c r="F500" s="44">
        <f>IF(_calc!$E$502="","",TRIM(IF(LEN(IF(LEN(INDEX('Checklist'!$A$4:$A$503,_calc!$E$502))=0,"",INDEX('Checklist'!$A$4:$A$503,_calc!$E$502)))=0,"","Group: "&amp;IF(LEN(INDEX('Checklist'!$A$4:$A$503,_calc!$E$502))=0,"",INDEX('Checklist'!$A$4:$A$503,_calc!$E$502))&amp;". ")&amp;IF(LEN(IF(LEN(INDEX('Checklist'!$E$4:$E$503,_calc!$E$502))=0,"",INDEX('Checklist'!$E$4:$E$503,_calc!$E$502)))=0,"","Owner: "&amp;IF(LEN(INDEX('Checklist'!$E$4:$E$503,_calc!$E$502))=0,"",INDEX('Checklist'!$E$4:$E$503,_calc!$E$502))&amp;". ")&amp;IF(LEN(IF(LEN(INDEX('Checklist'!$F$4:$F$503,_calc!$E$502))=0,"",INDEX('Checklist'!$F$4:$F$503,_calc!$E$502)))=0,"","Backup: "&amp;IF(LEN(INDEX('Checklist'!$F$4:$F$503,_calc!$E$502))=0,"",INDEX('Checklist'!$F$4:$F$503,_calc!$E$502))&amp;". ")&amp;IF(LEN(IF(LEN(INDEX('Checklist'!$J$4:$J$503,_calc!$E$502))=0,"",INDEX('Checklist'!$J$4:$J$503,_calc!$E$502)))=0,"","Evidence: "&amp;IF(LEN(INDEX('Checklist'!$J$4:$J$503,_calc!$E$502))=0,"",INDEX('Checklist'!$J$4:$J$503,_calc!$E$502))&amp;". ")&amp;IF(LEN(IF(LEN(INDEX('Checklist'!$D$4:$D$503,_calc!$E$502))=0,"",INDEX('Checklist'!$D$4:$D$503,_calc!$E$502)))=0,"","Rule example: "&amp;IF(LEN(INDEX('Checklist'!$D$4:$D$503,_calc!$E$502))=0,"",INDEX('Checklist'!$D$4:$D$503,_calc!$E$502))&amp;". ")&amp;IF(LEN(IF(LEN(INDEX('Checklist'!$P$4:$P$503,_calc!$E$502))=0,"",INDEX('Checklist'!$P$4:$P$503,_calc!$E$502)))=0,"",IF(LEN(INDEX('Checklist'!$P$4:$P$503,_calc!$E$502))=0,"",INDEX('Checklist'!$P$4:$P$503,_calc!$E$502)))))</f>
        <v/>
      </c>
      <c r="K500" s="44">
        <f>IF(_calc!$E$502="","",IF(LEN(INDEX('Checklist'!$G$4:$G$503,_calc!$E$502))=0,"",INDEX('Checklist'!$G$4:$G$503,_calc!$E$502)))</f>
        <v/>
      </c>
    </row>
    <row r="501">
      <c r="A501" s="44">
        <f>IF(_calc!$E$503="","","Survey check – "&amp;IF(LEN(INDEX('Checklist'!$C$4:$C$503,_calc!$E$503))=0,"",INDEX('Checklist'!$C$4:$C$503,_calc!$E$503)))</f>
        <v/>
      </c>
      <c r="B501" s="44">
        <f>IF(_calc!$E$503="","",IF(ISNUMBER(INDEX('Checklist'!$L$4:$L$503,_calc!$E$503)),TEXT(INDEX('Checklist'!$L$4:$L$503,_calc!$E$503),"yyyy-mm-dd"),""))</f>
        <v/>
      </c>
      <c r="C501" s="44">
        <f>IF(_calc!$E$503="","","Survey readiness")</f>
        <v/>
      </c>
      <c r="D501" s="44">
        <f>IF(_calc!$E$503="","",IF(ISNUMBER(INDEX('Checklist'!$H$4:$H$503,_calc!$E$503)),TEXT(INDEX('Checklist'!$H$4:$H$503,_calc!$E$503),"yyyy-mm-dd"),""))</f>
        <v/>
      </c>
      <c r="F501" s="44">
        <f>IF(_calc!$E$503="","",TRIM(IF(LEN(IF(LEN(INDEX('Checklist'!$A$4:$A$503,_calc!$E$503))=0,"",INDEX('Checklist'!$A$4:$A$503,_calc!$E$503)))=0,"","Group: "&amp;IF(LEN(INDEX('Checklist'!$A$4:$A$503,_calc!$E$503))=0,"",INDEX('Checklist'!$A$4:$A$503,_calc!$E$503))&amp;". ")&amp;IF(LEN(IF(LEN(INDEX('Checklist'!$E$4:$E$503,_calc!$E$503))=0,"",INDEX('Checklist'!$E$4:$E$503,_calc!$E$503)))=0,"","Owner: "&amp;IF(LEN(INDEX('Checklist'!$E$4:$E$503,_calc!$E$503))=0,"",INDEX('Checklist'!$E$4:$E$503,_calc!$E$503))&amp;". ")&amp;IF(LEN(IF(LEN(INDEX('Checklist'!$F$4:$F$503,_calc!$E$503))=0,"",INDEX('Checklist'!$F$4:$F$503,_calc!$E$503)))=0,"","Backup: "&amp;IF(LEN(INDEX('Checklist'!$F$4:$F$503,_calc!$E$503))=0,"",INDEX('Checklist'!$F$4:$F$503,_calc!$E$503))&amp;". ")&amp;IF(LEN(IF(LEN(INDEX('Checklist'!$J$4:$J$503,_calc!$E$503))=0,"",INDEX('Checklist'!$J$4:$J$503,_calc!$E$503)))=0,"","Evidence: "&amp;IF(LEN(INDEX('Checklist'!$J$4:$J$503,_calc!$E$503))=0,"",INDEX('Checklist'!$J$4:$J$503,_calc!$E$503))&amp;". ")&amp;IF(LEN(IF(LEN(INDEX('Checklist'!$D$4:$D$503,_calc!$E$503))=0,"",INDEX('Checklist'!$D$4:$D$503,_calc!$E$503)))=0,"","Rule example: "&amp;IF(LEN(INDEX('Checklist'!$D$4:$D$503,_calc!$E$503))=0,"",INDEX('Checklist'!$D$4:$D$503,_calc!$E$503))&amp;". ")&amp;IF(LEN(IF(LEN(INDEX('Checklist'!$P$4:$P$503,_calc!$E$503))=0,"",INDEX('Checklist'!$P$4:$P$503,_calc!$E$503)))=0,"",IF(LEN(INDEX('Checklist'!$P$4:$P$503,_calc!$E$503))=0,"",INDEX('Checklist'!$P$4:$P$503,_calc!$E$503)))))</f>
        <v/>
      </c>
      <c r="K501" s="44">
        <f>IF(_calc!$E$503="","",IF(LEN(INDEX('Checklist'!$G$4:$G$503,_calc!$E$503))=0,"",INDEX('Checklist'!$G$4:$G$503,_calc!$E$503)))</f>
        <v/>
      </c>
    </row>
  </sheetData>
  <printOptions horizontalCentered="0"/>
  <pageMargins left="0.4" right="0.4" top="0.5" bottom="0.6" header="0.5" footer="0.5"/>
  <pageSetup orientation="landscape" paperSize="1" fitToHeight="0" fitToWidth="1"/>
  <headerFooter>
    <oddHeader/>
    <oddFooter>&amp;C&amp;"Arial"&amp;8 expiryedge.com · page &amp;P of &amp;N</oddFooter>
    <evenHeader/>
    <evenFooter/>
    <firstHeader/>
    <firstFooter/>
  </headerFooter>
  <legacyDrawing xmlns:r="http://schemas.openxmlformats.org/officeDocument/2006/relationships" r:id="anysvml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8"/>
  <sheetViews>
    <sheetView showGridLines="0"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16" customWidth="1" min="3" max="3"/>
    <col width="50" customWidth="1" min="5" max="5"/>
  </cols>
  <sheetData>
    <row r="1">
      <c r="A1" s="13" t="inlineStr">
        <is>
          <t>Group</t>
        </is>
      </c>
      <c r="C1" s="13" t="inlineStr">
        <is>
          <t>Priority</t>
        </is>
      </c>
      <c r="E1" s="45" t="inlineStr">
        <is>
          <t>About these lists</t>
        </is>
      </c>
    </row>
    <row r="2">
      <c r="A2" s="44" t="inlineStr">
        <is>
          <t>License and postings</t>
        </is>
      </c>
      <c r="C2" s="44" t="inlineStr">
        <is>
          <t>Low</t>
        </is>
      </c>
      <c r="E2" s="46" t="inlineStr">
        <is>
          <t>These feed the dropdowns. To add an option, insert a row inside a list (above its last item) so the dropdown range grows with it. Priority must stay Low, Medium or High: ExpiryEdge imports those three values.</t>
        </is>
      </c>
    </row>
    <row r="3">
      <c r="A3" s="44" t="inlineStr">
        <is>
          <t>Staff files</t>
        </is>
      </c>
      <c r="C3" s="44" t="inlineStr">
        <is>
          <t>Medium</t>
        </is>
      </c>
    </row>
    <row r="4">
      <c r="A4" s="44" t="inlineStr">
        <is>
          <t>Resident files</t>
        </is>
      </c>
      <c r="C4" s="44" t="inlineStr">
        <is>
          <t>High</t>
        </is>
      </c>
    </row>
    <row r="5">
      <c r="A5" s="44" t="inlineStr">
        <is>
          <t>Medication</t>
        </is>
      </c>
    </row>
    <row r="6">
      <c r="A6" s="44" t="inlineStr">
        <is>
          <t>Fire and life safety</t>
        </is>
      </c>
    </row>
    <row r="7">
      <c r="A7" s="44" t="inlineStr">
        <is>
          <t>Environment and food</t>
        </is>
      </c>
    </row>
    <row r="8">
      <c r="A8" s="44" t="inlineStr">
        <is>
          <t>Policies and incidents</t>
        </is>
      </c>
    </row>
  </sheetData>
  <printOptions horizontalCentered="0"/>
  <pageMargins left="0.4" right="0.4" top="0.5" bottom="0.6" header="0.5" footer="0.5"/>
  <pageSetup orientation="portrait" paperSize="1" fitToHeight="0" fitToWidth="1"/>
  <headerFooter>
    <oddHeader/>
    <oddFooter>&amp;C&amp;"Arial"&amp;8 expiryedge.com · 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3:G503"/>
  <sheetViews>
    <sheetView tabSelected="0" workbookViewId="0">
      <selection activeCell="A1" sqref="A1"/>
    </sheetView>
  </sheetViews>
  <sheetFormatPr baseColWidth="8" defaultRowHeight="15"/>
  <sheetData>
    <row r="3">
      <c r="A3" t="inlineStr">
        <is>
          <t>next_key</t>
        </is>
      </c>
      <c r="B3" t="inlineStr">
        <is>
          <t>import_seq</t>
        </is>
      </c>
      <c r="C3" t="inlineStr">
        <is>
          <t>kth_key</t>
        </is>
      </c>
      <c r="D3" t="inlineStr">
        <is>
          <t>kth_pos</t>
        </is>
      </c>
      <c r="E3" t="inlineStr">
        <is>
          <t>import_pos</t>
        </is>
      </c>
      <c r="G3" t="inlineStr">
        <is>
          <t>red_seq</t>
        </is>
      </c>
    </row>
    <row r="4">
      <c r="A4">
        <f>IF(AND(LEN('Checklist'!C4)&gt;0,ISNUMBER('Checklist'!L4)),'Checklist'!L4+1/100000,"")</f>
        <v/>
      </c>
      <c r="B4">
        <f>IF(AND(LEN('Checklist'!C4)&gt;0,ISNUMBER('Checklist'!L4)),MAX($B$3:B3)+1,"")</f>
        <v/>
      </c>
      <c r="C4">
        <f>IFERROR(SMALL($A$4:$A$503,1),"")</f>
        <v/>
      </c>
      <c r="D4">
        <f>IF(C4="","",MATCH(C4,$A$4:$A$503,0))</f>
        <v/>
      </c>
      <c r="E4">
        <f>IFERROR(MATCH(1,$B$4:$B$503,0),"")</f>
        <v/>
      </c>
      <c r="G4">
        <f>IF('Checklist'!N4="Red",MAX($G$3:G3)+1,"")</f>
        <v/>
      </c>
    </row>
    <row r="5">
      <c r="A5">
        <f>IF(AND(LEN('Checklist'!C5)&gt;0,ISNUMBER('Checklist'!L5)),'Checklist'!L5+2/100000,"")</f>
        <v/>
      </c>
      <c r="B5">
        <f>IF(AND(LEN('Checklist'!C5)&gt;0,ISNUMBER('Checklist'!L5)),MAX($B$3:B4)+1,"")</f>
        <v/>
      </c>
      <c r="C5">
        <f>IFERROR(SMALL($A$4:$A$503,2),"")</f>
        <v/>
      </c>
      <c r="D5">
        <f>IF(C5="","",MATCH(C5,$A$4:$A$503,0))</f>
        <v/>
      </c>
      <c r="E5">
        <f>IFERROR(MATCH(2,$B$4:$B$503,0),"")</f>
        <v/>
      </c>
      <c r="G5">
        <f>IF('Checklist'!N5="Red",MAX($G$3:G4)+1,"")</f>
        <v/>
      </c>
    </row>
    <row r="6">
      <c r="A6">
        <f>IF(AND(LEN('Checklist'!C6)&gt;0,ISNUMBER('Checklist'!L6)),'Checklist'!L6+3/100000,"")</f>
        <v/>
      </c>
      <c r="B6">
        <f>IF(AND(LEN('Checklist'!C6)&gt;0,ISNUMBER('Checklist'!L6)),MAX($B$3:B5)+1,"")</f>
        <v/>
      </c>
      <c r="C6">
        <f>IFERROR(SMALL($A$4:$A$503,3),"")</f>
        <v/>
      </c>
      <c r="D6">
        <f>IF(C6="","",MATCH(C6,$A$4:$A$503,0))</f>
        <v/>
      </c>
      <c r="E6">
        <f>IFERROR(MATCH(3,$B$4:$B$503,0),"")</f>
        <v/>
      </c>
      <c r="G6">
        <f>IF('Checklist'!N6="Red",MAX($G$3:G5)+1,"")</f>
        <v/>
      </c>
    </row>
    <row r="7">
      <c r="A7">
        <f>IF(AND(LEN('Checklist'!C7)&gt;0,ISNUMBER('Checklist'!L7)),'Checklist'!L7+4/100000,"")</f>
        <v/>
      </c>
      <c r="B7">
        <f>IF(AND(LEN('Checklist'!C7)&gt;0,ISNUMBER('Checklist'!L7)),MAX($B$3:B6)+1,"")</f>
        <v/>
      </c>
      <c r="C7">
        <f>IFERROR(SMALL($A$4:$A$503,4),"")</f>
        <v/>
      </c>
      <c r="D7">
        <f>IF(C7="","",MATCH(C7,$A$4:$A$503,0))</f>
        <v/>
      </c>
      <c r="E7">
        <f>IFERROR(MATCH(4,$B$4:$B$503,0),"")</f>
        <v/>
      </c>
      <c r="G7">
        <f>IF('Checklist'!N7="Red",MAX($G$3:G6)+1,"")</f>
        <v/>
      </c>
    </row>
    <row r="8">
      <c r="A8">
        <f>IF(AND(LEN('Checklist'!C8)&gt;0,ISNUMBER('Checklist'!L8)),'Checklist'!L8+5/100000,"")</f>
        <v/>
      </c>
      <c r="B8">
        <f>IF(AND(LEN('Checklist'!C8)&gt;0,ISNUMBER('Checklist'!L8)),MAX($B$3:B7)+1,"")</f>
        <v/>
      </c>
      <c r="C8">
        <f>IFERROR(SMALL($A$4:$A$503,5),"")</f>
        <v/>
      </c>
      <c r="D8">
        <f>IF(C8="","",MATCH(C8,$A$4:$A$503,0))</f>
        <v/>
      </c>
      <c r="E8">
        <f>IFERROR(MATCH(5,$B$4:$B$503,0),"")</f>
        <v/>
      </c>
      <c r="G8">
        <f>IF('Checklist'!N8="Red",MAX($G$3:G7)+1,"")</f>
        <v/>
      </c>
    </row>
    <row r="9">
      <c r="A9">
        <f>IF(AND(LEN('Checklist'!C9)&gt;0,ISNUMBER('Checklist'!L9)),'Checklist'!L9+6/100000,"")</f>
        <v/>
      </c>
      <c r="B9">
        <f>IF(AND(LEN('Checklist'!C9)&gt;0,ISNUMBER('Checklist'!L9)),MAX($B$3:B8)+1,"")</f>
        <v/>
      </c>
      <c r="C9">
        <f>IFERROR(SMALL($A$4:$A$503,6),"")</f>
        <v/>
      </c>
      <c r="D9">
        <f>IF(C9="","",MATCH(C9,$A$4:$A$503,0))</f>
        <v/>
      </c>
      <c r="E9">
        <f>IFERROR(MATCH(6,$B$4:$B$503,0),"")</f>
        <v/>
      </c>
      <c r="G9">
        <f>IF('Checklist'!N9="Red",MAX($G$3:G8)+1,"")</f>
        <v/>
      </c>
    </row>
    <row r="10">
      <c r="A10">
        <f>IF(AND(LEN('Checklist'!C10)&gt;0,ISNUMBER('Checklist'!L10)),'Checklist'!L10+7/100000,"")</f>
        <v/>
      </c>
      <c r="B10">
        <f>IF(AND(LEN('Checklist'!C10)&gt;0,ISNUMBER('Checklist'!L10)),MAX($B$3:B9)+1,"")</f>
        <v/>
      </c>
      <c r="C10">
        <f>IFERROR(SMALL($A$4:$A$503,7),"")</f>
        <v/>
      </c>
      <c r="D10">
        <f>IF(C10="","",MATCH(C10,$A$4:$A$503,0))</f>
        <v/>
      </c>
      <c r="E10">
        <f>IFERROR(MATCH(7,$B$4:$B$503,0),"")</f>
        <v/>
      </c>
      <c r="G10">
        <f>IF('Checklist'!N10="Red",MAX($G$3:G9)+1,"")</f>
        <v/>
      </c>
    </row>
    <row r="11">
      <c r="A11">
        <f>IF(AND(LEN('Checklist'!C11)&gt;0,ISNUMBER('Checklist'!L11)),'Checklist'!L11+8/100000,"")</f>
        <v/>
      </c>
      <c r="B11">
        <f>IF(AND(LEN('Checklist'!C11)&gt;0,ISNUMBER('Checklist'!L11)),MAX($B$3:B10)+1,"")</f>
        <v/>
      </c>
      <c r="C11">
        <f>IFERROR(SMALL($A$4:$A$503,8),"")</f>
        <v/>
      </c>
      <c r="D11">
        <f>IF(C11="","",MATCH(C11,$A$4:$A$503,0))</f>
        <v/>
      </c>
      <c r="E11">
        <f>IFERROR(MATCH(8,$B$4:$B$503,0),"")</f>
        <v/>
      </c>
      <c r="G11">
        <f>IF('Checklist'!N11="Red",MAX($G$3:G10)+1,"")</f>
        <v/>
      </c>
    </row>
    <row r="12">
      <c r="A12">
        <f>IF(AND(LEN('Checklist'!C12)&gt;0,ISNUMBER('Checklist'!L12)),'Checklist'!L12+9/100000,"")</f>
        <v/>
      </c>
      <c r="B12">
        <f>IF(AND(LEN('Checklist'!C12)&gt;0,ISNUMBER('Checklist'!L12)),MAX($B$3:B11)+1,"")</f>
        <v/>
      </c>
      <c r="C12">
        <f>IFERROR(SMALL($A$4:$A$503,9),"")</f>
        <v/>
      </c>
      <c r="D12">
        <f>IF(C12="","",MATCH(C12,$A$4:$A$503,0))</f>
        <v/>
      </c>
      <c r="E12">
        <f>IFERROR(MATCH(9,$B$4:$B$503,0),"")</f>
        <v/>
      </c>
      <c r="G12">
        <f>IF('Checklist'!N12="Red",MAX($G$3:G11)+1,"")</f>
        <v/>
      </c>
    </row>
    <row r="13">
      <c r="A13">
        <f>IF(AND(LEN('Checklist'!C13)&gt;0,ISNUMBER('Checklist'!L13)),'Checklist'!L13+10/100000,"")</f>
        <v/>
      </c>
      <c r="B13">
        <f>IF(AND(LEN('Checklist'!C13)&gt;0,ISNUMBER('Checklist'!L13)),MAX($B$3:B12)+1,"")</f>
        <v/>
      </c>
      <c r="C13">
        <f>IFERROR(SMALL($A$4:$A$503,10),"")</f>
        <v/>
      </c>
      <c r="D13">
        <f>IF(C13="","",MATCH(C13,$A$4:$A$503,0))</f>
        <v/>
      </c>
      <c r="E13">
        <f>IFERROR(MATCH(10,$B$4:$B$503,0),"")</f>
        <v/>
      </c>
      <c r="G13">
        <f>IF('Checklist'!N13="Red",MAX($G$3:G12)+1,"")</f>
        <v/>
      </c>
    </row>
    <row r="14">
      <c r="A14">
        <f>IF(AND(LEN('Checklist'!C14)&gt;0,ISNUMBER('Checklist'!L14)),'Checklist'!L14+11/100000,"")</f>
        <v/>
      </c>
      <c r="B14">
        <f>IF(AND(LEN('Checklist'!C14)&gt;0,ISNUMBER('Checklist'!L14)),MAX($B$3:B13)+1,"")</f>
        <v/>
      </c>
      <c r="E14">
        <f>IFERROR(MATCH(11,$B$4:$B$503,0),"")</f>
        <v/>
      </c>
      <c r="G14">
        <f>IF('Checklist'!N14="Red",MAX($G$3:G13)+1,"")</f>
        <v/>
      </c>
    </row>
    <row r="15">
      <c r="A15">
        <f>IF(AND(LEN('Checklist'!C15)&gt;0,ISNUMBER('Checklist'!L15)),'Checklist'!L15+12/100000,"")</f>
        <v/>
      </c>
      <c r="B15">
        <f>IF(AND(LEN('Checklist'!C15)&gt;0,ISNUMBER('Checklist'!L15)),MAX($B$3:B14)+1,"")</f>
        <v/>
      </c>
      <c r="E15">
        <f>IFERROR(MATCH(12,$B$4:$B$503,0),"")</f>
        <v/>
      </c>
      <c r="G15">
        <f>IF('Checklist'!N15="Red",MAX($G$3:G14)+1,"")</f>
        <v/>
      </c>
    </row>
    <row r="16">
      <c r="A16">
        <f>IF(AND(LEN('Checklist'!C16)&gt;0,ISNUMBER('Checklist'!L16)),'Checklist'!L16+13/100000,"")</f>
        <v/>
      </c>
      <c r="B16">
        <f>IF(AND(LEN('Checklist'!C16)&gt;0,ISNUMBER('Checklist'!L16)),MAX($B$3:B15)+1,"")</f>
        <v/>
      </c>
      <c r="E16">
        <f>IFERROR(MATCH(13,$B$4:$B$503,0),"")</f>
        <v/>
      </c>
      <c r="G16">
        <f>IF('Checklist'!N16="Red",MAX($G$3:G15)+1,"")</f>
        <v/>
      </c>
    </row>
    <row r="17">
      <c r="A17">
        <f>IF(AND(LEN('Checklist'!C17)&gt;0,ISNUMBER('Checklist'!L17)),'Checklist'!L17+14/100000,"")</f>
        <v/>
      </c>
      <c r="B17">
        <f>IF(AND(LEN('Checklist'!C17)&gt;0,ISNUMBER('Checklist'!L17)),MAX($B$3:B16)+1,"")</f>
        <v/>
      </c>
      <c r="E17">
        <f>IFERROR(MATCH(14,$B$4:$B$503,0),"")</f>
        <v/>
      </c>
      <c r="G17">
        <f>IF('Checklist'!N17="Red",MAX($G$3:G16)+1,"")</f>
        <v/>
      </c>
    </row>
    <row r="18">
      <c r="A18">
        <f>IF(AND(LEN('Checklist'!C18)&gt;0,ISNUMBER('Checklist'!L18)),'Checklist'!L18+15/100000,"")</f>
        <v/>
      </c>
      <c r="B18">
        <f>IF(AND(LEN('Checklist'!C18)&gt;0,ISNUMBER('Checklist'!L18)),MAX($B$3:B17)+1,"")</f>
        <v/>
      </c>
      <c r="E18">
        <f>IFERROR(MATCH(15,$B$4:$B$503,0),"")</f>
        <v/>
      </c>
      <c r="G18">
        <f>IF('Checklist'!N18="Red",MAX($G$3:G17)+1,"")</f>
        <v/>
      </c>
    </row>
    <row r="19">
      <c r="A19">
        <f>IF(AND(LEN('Checklist'!C19)&gt;0,ISNUMBER('Checklist'!L19)),'Checklist'!L19+16/100000,"")</f>
        <v/>
      </c>
      <c r="B19">
        <f>IF(AND(LEN('Checklist'!C19)&gt;0,ISNUMBER('Checklist'!L19)),MAX($B$3:B18)+1,"")</f>
        <v/>
      </c>
      <c r="E19">
        <f>IFERROR(MATCH(16,$B$4:$B$503,0),"")</f>
        <v/>
      </c>
      <c r="G19">
        <f>IF('Checklist'!N19="Red",MAX($G$3:G18)+1,"")</f>
        <v/>
      </c>
    </row>
    <row r="20">
      <c r="A20">
        <f>IF(AND(LEN('Checklist'!C20)&gt;0,ISNUMBER('Checklist'!L20)),'Checklist'!L20+17/100000,"")</f>
        <v/>
      </c>
      <c r="B20">
        <f>IF(AND(LEN('Checklist'!C20)&gt;0,ISNUMBER('Checklist'!L20)),MAX($B$3:B19)+1,"")</f>
        <v/>
      </c>
      <c r="E20">
        <f>IFERROR(MATCH(17,$B$4:$B$503,0),"")</f>
        <v/>
      </c>
      <c r="G20">
        <f>IF('Checklist'!N20="Red",MAX($G$3:G19)+1,"")</f>
        <v/>
      </c>
    </row>
    <row r="21">
      <c r="A21">
        <f>IF(AND(LEN('Checklist'!C21)&gt;0,ISNUMBER('Checklist'!L21)),'Checklist'!L21+18/100000,"")</f>
        <v/>
      </c>
      <c r="B21">
        <f>IF(AND(LEN('Checklist'!C21)&gt;0,ISNUMBER('Checklist'!L21)),MAX($B$3:B20)+1,"")</f>
        <v/>
      </c>
      <c r="E21">
        <f>IFERROR(MATCH(18,$B$4:$B$503,0),"")</f>
        <v/>
      </c>
      <c r="G21">
        <f>IF('Checklist'!N21="Red",MAX($G$3:G20)+1,"")</f>
        <v/>
      </c>
    </row>
    <row r="22">
      <c r="A22">
        <f>IF(AND(LEN('Checklist'!C22)&gt;0,ISNUMBER('Checklist'!L22)),'Checklist'!L22+19/100000,"")</f>
        <v/>
      </c>
      <c r="B22">
        <f>IF(AND(LEN('Checklist'!C22)&gt;0,ISNUMBER('Checklist'!L22)),MAX($B$3:B21)+1,"")</f>
        <v/>
      </c>
      <c r="E22">
        <f>IFERROR(MATCH(19,$B$4:$B$503,0),"")</f>
        <v/>
      </c>
      <c r="G22">
        <f>IF('Checklist'!N22="Red",MAX($G$3:G21)+1,"")</f>
        <v/>
      </c>
    </row>
    <row r="23">
      <c r="A23">
        <f>IF(AND(LEN('Checklist'!C23)&gt;0,ISNUMBER('Checklist'!L23)),'Checklist'!L23+20/100000,"")</f>
        <v/>
      </c>
      <c r="B23">
        <f>IF(AND(LEN('Checklist'!C23)&gt;0,ISNUMBER('Checklist'!L23)),MAX($B$3:B22)+1,"")</f>
        <v/>
      </c>
      <c r="E23">
        <f>IFERROR(MATCH(20,$B$4:$B$503,0),"")</f>
        <v/>
      </c>
      <c r="G23">
        <f>IF('Checklist'!N23="Red",MAX($G$3:G22)+1,"")</f>
        <v/>
      </c>
    </row>
    <row r="24">
      <c r="A24">
        <f>IF(AND(LEN('Checklist'!C24)&gt;0,ISNUMBER('Checklist'!L24)),'Checklist'!L24+21/100000,"")</f>
        <v/>
      </c>
      <c r="B24">
        <f>IF(AND(LEN('Checklist'!C24)&gt;0,ISNUMBER('Checklist'!L24)),MAX($B$3:B23)+1,"")</f>
        <v/>
      </c>
      <c r="E24">
        <f>IFERROR(MATCH(21,$B$4:$B$503,0),"")</f>
        <v/>
      </c>
      <c r="G24">
        <f>IF('Checklist'!N24="Red",MAX($G$3:G23)+1,"")</f>
        <v/>
      </c>
    </row>
    <row r="25">
      <c r="A25">
        <f>IF(AND(LEN('Checklist'!C25)&gt;0,ISNUMBER('Checklist'!L25)),'Checklist'!L25+22/100000,"")</f>
        <v/>
      </c>
      <c r="B25">
        <f>IF(AND(LEN('Checklist'!C25)&gt;0,ISNUMBER('Checklist'!L25)),MAX($B$3:B24)+1,"")</f>
        <v/>
      </c>
      <c r="E25">
        <f>IFERROR(MATCH(22,$B$4:$B$503,0),"")</f>
        <v/>
      </c>
      <c r="G25">
        <f>IF('Checklist'!N25="Red",MAX($G$3:G24)+1,"")</f>
        <v/>
      </c>
    </row>
    <row r="26">
      <c r="A26">
        <f>IF(AND(LEN('Checklist'!C26)&gt;0,ISNUMBER('Checklist'!L26)),'Checklist'!L26+23/100000,"")</f>
        <v/>
      </c>
      <c r="B26">
        <f>IF(AND(LEN('Checklist'!C26)&gt;0,ISNUMBER('Checklist'!L26)),MAX($B$3:B25)+1,"")</f>
        <v/>
      </c>
      <c r="E26">
        <f>IFERROR(MATCH(23,$B$4:$B$503,0),"")</f>
        <v/>
      </c>
      <c r="G26">
        <f>IF('Checklist'!N26="Red",MAX($G$3:G25)+1,"")</f>
        <v/>
      </c>
    </row>
    <row r="27">
      <c r="A27">
        <f>IF(AND(LEN('Checklist'!C27)&gt;0,ISNUMBER('Checklist'!L27)),'Checklist'!L27+24/100000,"")</f>
        <v/>
      </c>
      <c r="B27">
        <f>IF(AND(LEN('Checklist'!C27)&gt;0,ISNUMBER('Checklist'!L27)),MAX($B$3:B26)+1,"")</f>
        <v/>
      </c>
      <c r="E27">
        <f>IFERROR(MATCH(24,$B$4:$B$503,0),"")</f>
        <v/>
      </c>
      <c r="G27">
        <f>IF('Checklist'!N27="Red",MAX($G$3:G26)+1,"")</f>
        <v/>
      </c>
    </row>
    <row r="28">
      <c r="A28">
        <f>IF(AND(LEN('Checklist'!C28)&gt;0,ISNUMBER('Checklist'!L28)),'Checklist'!L28+25/100000,"")</f>
        <v/>
      </c>
      <c r="B28">
        <f>IF(AND(LEN('Checklist'!C28)&gt;0,ISNUMBER('Checklist'!L28)),MAX($B$3:B27)+1,"")</f>
        <v/>
      </c>
      <c r="E28">
        <f>IFERROR(MATCH(25,$B$4:$B$503,0),"")</f>
        <v/>
      </c>
      <c r="G28">
        <f>IF('Checklist'!N28="Red",MAX($G$3:G27)+1,"")</f>
        <v/>
      </c>
    </row>
    <row r="29">
      <c r="A29">
        <f>IF(AND(LEN('Checklist'!C29)&gt;0,ISNUMBER('Checklist'!L29)),'Checklist'!L29+26/100000,"")</f>
        <v/>
      </c>
      <c r="B29">
        <f>IF(AND(LEN('Checklist'!C29)&gt;0,ISNUMBER('Checklist'!L29)),MAX($B$3:B28)+1,"")</f>
        <v/>
      </c>
      <c r="E29">
        <f>IFERROR(MATCH(26,$B$4:$B$503,0),"")</f>
        <v/>
      </c>
      <c r="G29">
        <f>IF('Checklist'!N29="Red",MAX($G$3:G28)+1,"")</f>
        <v/>
      </c>
    </row>
    <row r="30">
      <c r="A30">
        <f>IF(AND(LEN('Checklist'!C30)&gt;0,ISNUMBER('Checklist'!L30)),'Checklist'!L30+27/100000,"")</f>
        <v/>
      </c>
      <c r="B30">
        <f>IF(AND(LEN('Checklist'!C30)&gt;0,ISNUMBER('Checklist'!L30)),MAX($B$3:B29)+1,"")</f>
        <v/>
      </c>
      <c r="E30">
        <f>IFERROR(MATCH(27,$B$4:$B$503,0),"")</f>
        <v/>
      </c>
      <c r="G30">
        <f>IF('Checklist'!N30="Red",MAX($G$3:G29)+1,"")</f>
        <v/>
      </c>
    </row>
    <row r="31">
      <c r="A31">
        <f>IF(AND(LEN('Checklist'!C31)&gt;0,ISNUMBER('Checklist'!L31)),'Checklist'!L31+28/100000,"")</f>
        <v/>
      </c>
      <c r="B31">
        <f>IF(AND(LEN('Checklist'!C31)&gt;0,ISNUMBER('Checklist'!L31)),MAX($B$3:B30)+1,"")</f>
        <v/>
      </c>
      <c r="E31">
        <f>IFERROR(MATCH(28,$B$4:$B$503,0),"")</f>
        <v/>
      </c>
      <c r="G31">
        <f>IF('Checklist'!N31="Red",MAX($G$3:G30)+1,"")</f>
        <v/>
      </c>
    </row>
    <row r="32">
      <c r="A32">
        <f>IF(AND(LEN('Checklist'!C32)&gt;0,ISNUMBER('Checklist'!L32)),'Checklist'!L32+29/100000,"")</f>
        <v/>
      </c>
      <c r="B32">
        <f>IF(AND(LEN('Checklist'!C32)&gt;0,ISNUMBER('Checklist'!L32)),MAX($B$3:B31)+1,"")</f>
        <v/>
      </c>
      <c r="E32">
        <f>IFERROR(MATCH(29,$B$4:$B$503,0),"")</f>
        <v/>
      </c>
      <c r="G32">
        <f>IF('Checklist'!N32="Red",MAX($G$3:G31)+1,"")</f>
        <v/>
      </c>
    </row>
    <row r="33">
      <c r="A33">
        <f>IF(AND(LEN('Checklist'!C33)&gt;0,ISNUMBER('Checklist'!L33)),'Checklist'!L33+30/100000,"")</f>
        <v/>
      </c>
      <c r="B33">
        <f>IF(AND(LEN('Checklist'!C33)&gt;0,ISNUMBER('Checklist'!L33)),MAX($B$3:B32)+1,"")</f>
        <v/>
      </c>
      <c r="E33">
        <f>IFERROR(MATCH(30,$B$4:$B$503,0),"")</f>
        <v/>
      </c>
      <c r="G33">
        <f>IF('Checklist'!N33="Red",MAX($G$3:G32)+1,"")</f>
        <v/>
      </c>
    </row>
    <row r="34">
      <c r="A34">
        <f>IF(AND(LEN('Checklist'!C34)&gt;0,ISNUMBER('Checklist'!L34)),'Checklist'!L34+31/100000,"")</f>
        <v/>
      </c>
      <c r="B34">
        <f>IF(AND(LEN('Checklist'!C34)&gt;0,ISNUMBER('Checklist'!L34)),MAX($B$3:B33)+1,"")</f>
        <v/>
      </c>
      <c r="E34">
        <f>IFERROR(MATCH(31,$B$4:$B$503,0),"")</f>
        <v/>
      </c>
      <c r="G34">
        <f>IF('Checklist'!N34="Red",MAX($G$3:G33)+1,"")</f>
        <v/>
      </c>
    </row>
    <row r="35">
      <c r="A35">
        <f>IF(AND(LEN('Checklist'!C35)&gt;0,ISNUMBER('Checklist'!L35)),'Checklist'!L35+32/100000,"")</f>
        <v/>
      </c>
      <c r="B35">
        <f>IF(AND(LEN('Checklist'!C35)&gt;0,ISNUMBER('Checklist'!L35)),MAX($B$3:B34)+1,"")</f>
        <v/>
      </c>
      <c r="E35">
        <f>IFERROR(MATCH(32,$B$4:$B$503,0),"")</f>
        <v/>
      </c>
      <c r="G35">
        <f>IF('Checklist'!N35="Red",MAX($G$3:G34)+1,"")</f>
        <v/>
      </c>
    </row>
    <row r="36">
      <c r="A36">
        <f>IF(AND(LEN('Checklist'!C36)&gt;0,ISNUMBER('Checklist'!L36)),'Checklist'!L36+33/100000,"")</f>
        <v/>
      </c>
      <c r="B36">
        <f>IF(AND(LEN('Checklist'!C36)&gt;0,ISNUMBER('Checklist'!L36)),MAX($B$3:B35)+1,"")</f>
        <v/>
      </c>
      <c r="E36">
        <f>IFERROR(MATCH(33,$B$4:$B$503,0),"")</f>
        <v/>
      </c>
      <c r="G36">
        <f>IF('Checklist'!N36="Red",MAX($G$3:G35)+1,"")</f>
        <v/>
      </c>
    </row>
    <row r="37">
      <c r="A37">
        <f>IF(AND(LEN('Checklist'!C37)&gt;0,ISNUMBER('Checklist'!L37)),'Checklist'!L37+34/100000,"")</f>
        <v/>
      </c>
      <c r="B37">
        <f>IF(AND(LEN('Checklist'!C37)&gt;0,ISNUMBER('Checklist'!L37)),MAX($B$3:B36)+1,"")</f>
        <v/>
      </c>
      <c r="E37">
        <f>IFERROR(MATCH(34,$B$4:$B$503,0),"")</f>
        <v/>
      </c>
      <c r="G37">
        <f>IF('Checklist'!N37="Red",MAX($G$3:G36)+1,"")</f>
        <v/>
      </c>
    </row>
    <row r="38">
      <c r="A38">
        <f>IF(AND(LEN('Checklist'!C38)&gt;0,ISNUMBER('Checklist'!L38)),'Checklist'!L38+35/100000,"")</f>
        <v/>
      </c>
      <c r="B38">
        <f>IF(AND(LEN('Checklist'!C38)&gt;0,ISNUMBER('Checklist'!L38)),MAX($B$3:B37)+1,"")</f>
        <v/>
      </c>
      <c r="E38">
        <f>IFERROR(MATCH(35,$B$4:$B$503,0),"")</f>
        <v/>
      </c>
      <c r="G38">
        <f>IF('Checklist'!N38="Red",MAX($G$3:G37)+1,"")</f>
        <v/>
      </c>
    </row>
    <row r="39">
      <c r="A39">
        <f>IF(AND(LEN('Checklist'!C39)&gt;0,ISNUMBER('Checklist'!L39)),'Checklist'!L39+36/100000,"")</f>
        <v/>
      </c>
      <c r="B39">
        <f>IF(AND(LEN('Checklist'!C39)&gt;0,ISNUMBER('Checklist'!L39)),MAX($B$3:B38)+1,"")</f>
        <v/>
      </c>
      <c r="E39">
        <f>IFERROR(MATCH(36,$B$4:$B$503,0),"")</f>
        <v/>
      </c>
      <c r="G39">
        <f>IF('Checklist'!N39="Red",MAX($G$3:G38)+1,"")</f>
        <v/>
      </c>
    </row>
    <row r="40">
      <c r="A40">
        <f>IF(AND(LEN('Checklist'!C40)&gt;0,ISNUMBER('Checklist'!L40)),'Checklist'!L40+37/100000,"")</f>
        <v/>
      </c>
      <c r="B40">
        <f>IF(AND(LEN('Checklist'!C40)&gt;0,ISNUMBER('Checklist'!L40)),MAX($B$3:B39)+1,"")</f>
        <v/>
      </c>
      <c r="E40">
        <f>IFERROR(MATCH(37,$B$4:$B$503,0),"")</f>
        <v/>
      </c>
      <c r="G40">
        <f>IF('Checklist'!N40="Red",MAX($G$3:G39)+1,"")</f>
        <v/>
      </c>
    </row>
    <row r="41">
      <c r="A41">
        <f>IF(AND(LEN('Checklist'!C41)&gt;0,ISNUMBER('Checklist'!L41)),'Checklist'!L41+38/100000,"")</f>
        <v/>
      </c>
      <c r="B41">
        <f>IF(AND(LEN('Checklist'!C41)&gt;0,ISNUMBER('Checklist'!L41)),MAX($B$3:B40)+1,"")</f>
        <v/>
      </c>
      <c r="E41">
        <f>IFERROR(MATCH(38,$B$4:$B$503,0),"")</f>
        <v/>
      </c>
      <c r="G41">
        <f>IF('Checklist'!N41="Red",MAX($G$3:G40)+1,"")</f>
        <v/>
      </c>
    </row>
    <row r="42">
      <c r="A42">
        <f>IF(AND(LEN('Checklist'!C42)&gt;0,ISNUMBER('Checklist'!L42)),'Checklist'!L42+39/100000,"")</f>
        <v/>
      </c>
      <c r="B42">
        <f>IF(AND(LEN('Checklist'!C42)&gt;0,ISNUMBER('Checklist'!L42)),MAX($B$3:B41)+1,"")</f>
        <v/>
      </c>
      <c r="E42">
        <f>IFERROR(MATCH(39,$B$4:$B$503,0),"")</f>
        <v/>
      </c>
      <c r="G42">
        <f>IF('Checklist'!N42="Red",MAX($G$3:G41)+1,"")</f>
        <v/>
      </c>
    </row>
    <row r="43">
      <c r="A43">
        <f>IF(AND(LEN('Checklist'!C43)&gt;0,ISNUMBER('Checklist'!L43)),'Checklist'!L43+40/100000,"")</f>
        <v/>
      </c>
      <c r="B43">
        <f>IF(AND(LEN('Checklist'!C43)&gt;0,ISNUMBER('Checklist'!L43)),MAX($B$3:B42)+1,"")</f>
        <v/>
      </c>
      <c r="E43">
        <f>IFERROR(MATCH(40,$B$4:$B$503,0),"")</f>
        <v/>
      </c>
      <c r="G43">
        <f>IF('Checklist'!N43="Red",MAX($G$3:G42)+1,"")</f>
        <v/>
      </c>
    </row>
    <row r="44">
      <c r="A44">
        <f>IF(AND(LEN('Checklist'!C44)&gt;0,ISNUMBER('Checklist'!L44)),'Checklist'!L44+41/100000,"")</f>
        <v/>
      </c>
      <c r="B44">
        <f>IF(AND(LEN('Checklist'!C44)&gt;0,ISNUMBER('Checklist'!L44)),MAX($B$3:B43)+1,"")</f>
        <v/>
      </c>
      <c r="E44">
        <f>IFERROR(MATCH(41,$B$4:$B$503,0),"")</f>
        <v/>
      </c>
      <c r="G44">
        <f>IF('Checklist'!N44="Red",MAX($G$3:G43)+1,"")</f>
        <v/>
      </c>
    </row>
    <row r="45">
      <c r="A45">
        <f>IF(AND(LEN('Checklist'!C45)&gt;0,ISNUMBER('Checklist'!L45)),'Checklist'!L45+42/100000,"")</f>
        <v/>
      </c>
      <c r="B45">
        <f>IF(AND(LEN('Checklist'!C45)&gt;0,ISNUMBER('Checklist'!L45)),MAX($B$3:B44)+1,"")</f>
        <v/>
      </c>
      <c r="E45">
        <f>IFERROR(MATCH(42,$B$4:$B$503,0),"")</f>
        <v/>
      </c>
      <c r="G45">
        <f>IF('Checklist'!N45="Red",MAX($G$3:G44)+1,"")</f>
        <v/>
      </c>
    </row>
    <row r="46">
      <c r="A46">
        <f>IF(AND(LEN('Checklist'!C46)&gt;0,ISNUMBER('Checklist'!L46)),'Checklist'!L46+43/100000,"")</f>
        <v/>
      </c>
      <c r="B46">
        <f>IF(AND(LEN('Checklist'!C46)&gt;0,ISNUMBER('Checklist'!L46)),MAX($B$3:B45)+1,"")</f>
        <v/>
      </c>
      <c r="E46">
        <f>IFERROR(MATCH(43,$B$4:$B$503,0),"")</f>
        <v/>
      </c>
      <c r="G46">
        <f>IF('Checklist'!N46="Red",MAX($G$3:G45)+1,"")</f>
        <v/>
      </c>
    </row>
    <row r="47">
      <c r="A47">
        <f>IF(AND(LEN('Checklist'!C47)&gt;0,ISNUMBER('Checklist'!L47)),'Checklist'!L47+44/100000,"")</f>
        <v/>
      </c>
      <c r="B47">
        <f>IF(AND(LEN('Checklist'!C47)&gt;0,ISNUMBER('Checklist'!L47)),MAX($B$3:B46)+1,"")</f>
        <v/>
      </c>
      <c r="E47">
        <f>IFERROR(MATCH(44,$B$4:$B$503,0),"")</f>
        <v/>
      </c>
      <c r="G47">
        <f>IF('Checklist'!N47="Red",MAX($G$3:G46)+1,"")</f>
        <v/>
      </c>
    </row>
    <row r="48">
      <c r="A48">
        <f>IF(AND(LEN('Checklist'!C48)&gt;0,ISNUMBER('Checklist'!L48)),'Checklist'!L48+45/100000,"")</f>
        <v/>
      </c>
      <c r="B48">
        <f>IF(AND(LEN('Checklist'!C48)&gt;0,ISNUMBER('Checklist'!L48)),MAX($B$3:B47)+1,"")</f>
        <v/>
      </c>
      <c r="E48">
        <f>IFERROR(MATCH(45,$B$4:$B$503,0),"")</f>
        <v/>
      </c>
      <c r="G48">
        <f>IF('Checklist'!N48="Red",MAX($G$3:G47)+1,"")</f>
        <v/>
      </c>
    </row>
    <row r="49">
      <c r="A49">
        <f>IF(AND(LEN('Checklist'!C49)&gt;0,ISNUMBER('Checklist'!L49)),'Checklist'!L49+46/100000,"")</f>
        <v/>
      </c>
      <c r="B49">
        <f>IF(AND(LEN('Checklist'!C49)&gt;0,ISNUMBER('Checklist'!L49)),MAX($B$3:B48)+1,"")</f>
        <v/>
      </c>
      <c r="E49">
        <f>IFERROR(MATCH(46,$B$4:$B$503,0),"")</f>
        <v/>
      </c>
      <c r="G49">
        <f>IF('Checklist'!N49="Red",MAX($G$3:G48)+1,"")</f>
        <v/>
      </c>
    </row>
    <row r="50">
      <c r="A50">
        <f>IF(AND(LEN('Checklist'!C50)&gt;0,ISNUMBER('Checklist'!L50)),'Checklist'!L50+47/100000,"")</f>
        <v/>
      </c>
      <c r="B50">
        <f>IF(AND(LEN('Checklist'!C50)&gt;0,ISNUMBER('Checklist'!L50)),MAX($B$3:B49)+1,"")</f>
        <v/>
      </c>
      <c r="E50">
        <f>IFERROR(MATCH(47,$B$4:$B$503,0),"")</f>
        <v/>
      </c>
      <c r="G50">
        <f>IF('Checklist'!N50="Red",MAX($G$3:G49)+1,"")</f>
        <v/>
      </c>
    </row>
    <row r="51">
      <c r="A51">
        <f>IF(AND(LEN('Checklist'!C51)&gt;0,ISNUMBER('Checklist'!L51)),'Checklist'!L51+48/100000,"")</f>
        <v/>
      </c>
      <c r="B51">
        <f>IF(AND(LEN('Checklist'!C51)&gt;0,ISNUMBER('Checklist'!L51)),MAX($B$3:B50)+1,"")</f>
        <v/>
      </c>
      <c r="E51">
        <f>IFERROR(MATCH(48,$B$4:$B$503,0),"")</f>
        <v/>
      </c>
      <c r="G51">
        <f>IF('Checklist'!N51="Red",MAX($G$3:G50)+1,"")</f>
        <v/>
      </c>
    </row>
    <row r="52">
      <c r="A52">
        <f>IF(AND(LEN('Checklist'!C52)&gt;0,ISNUMBER('Checklist'!L52)),'Checklist'!L52+49/100000,"")</f>
        <v/>
      </c>
      <c r="B52">
        <f>IF(AND(LEN('Checklist'!C52)&gt;0,ISNUMBER('Checklist'!L52)),MAX($B$3:B51)+1,"")</f>
        <v/>
      </c>
      <c r="E52">
        <f>IFERROR(MATCH(49,$B$4:$B$503,0),"")</f>
        <v/>
      </c>
      <c r="G52">
        <f>IF('Checklist'!N52="Red",MAX($G$3:G51)+1,"")</f>
        <v/>
      </c>
    </row>
    <row r="53">
      <c r="A53">
        <f>IF(AND(LEN('Checklist'!C53)&gt;0,ISNUMBER('Checklist'!L53)),'Checklist'!L53+50/100000,"")</f>
        <v/>
      </c>
      <c r="B53">
        <f>IF(AND(LEN('Checklist'!C53)&gt;0,ISNUMBER('Checklist'!L53)),MAX($B$3:B52)+1,"")</f>
        <v/>
      </c>
      <c r="E53">
        <f>IFERROR(MATCH(50,$B$4:$B$503,0),"")</f>
        <v/>
      </c>
      <c r="G53">
        <f>IF('Checklist'!N53="Red",MAX($G$3:G52)+1,"")</f>
        <v/>
      </c>
    </row>
    <row r="54">
      <c r="A54">
        <f>IF(AND(LEN('Checklist'!C54)&gt;0,ISNUMBER('Checklist'!L54)),'Checklist'!L54+51/100000,"")</f>
        <v/>
      </c>
      <c r="B54">
        <f>IF(AND(LEN('Checklist'!C54)&gt;0,ISNUMBER('Checklist'!L54)),MAX($B$3:B53)+1,"")</f>
        <v/>
      </c>
      <c r="E54">
        <f>IFERROR(MATCH(51,$B$4:$B$503,0),"")</f>
        <v/>
      </c>
      <c r="G54">
        <f>IF('Checklist'!N54="Red",MAX($G$3:G53)+1,"")</f>
        <v/>
      </c>
    </row>
    <row r="55">
      <c r="A55">
        <f>IF(AND(LEN('Checklist'!C55)&gt;0,ISNUMBER('Checklist'!L55)),'Checklist'!L55+52/100000,"")</f>
        <v/>
      </c>
      <c r="B55">
        <f>IF(AND(LEN('Checklist'!C55)&gt;0,ISNUMBER('Checklist'!L55)),MAX($B$3:B54)+1,"")</f>
        <v/>
      </c>
      <c r="E55">
        <f>IFERROR(MATCH(52,$B$4:$B$503,0),"")</f>
        <v/>
      </c>
      <c r="G55">
        <f>IF('Checklist'!N55="Red",MAX($G$3:G54)+1,"")</f>
        <v/>
      </c>
    </row>
    <row r="56">
      <c r="A56">
        <f>IF(AND(LEN('Checklist'!C56)&gt;0,ISNUMBER('Checklist'!L56)),'Checklist'!L56+53/100000,"")</f>
        <v/>
      </c>
      <c r="B56">
        <f>IF(AND(LEN('Checklist'!C56)&gt;0,ISNUMBER('Checklist'!L56)),MAX($B$3:B55)+1,"")</f>
        <v/>
      </c>
      <c r="E56">
        <f>IFERROR(MATCH(53,$B$4:$B$503,0),"")</f>
        <v/>
      </c>
      <c r="G56">
        <f>IF('Checklist'!N56="Red",MAX($G$3:G55)+1,"")</f>
        <v/>
      </c>
    </row>
    <row r="57">
      <c r="A57">
        <f>IF(AND(LEN('Checklist'!C57)&gt;0,ISNUMBER('Checklist'!L57)),'Checklist'!L57+54/100000,"")</f>
        <v/>
      </c>
      <c r="B57">
        <f>IF(AND(LEN('Checklist'!C57)&gt;0,ISNUMBER('Checklist'!L57)),MAX($B$3:B56)+1,"")</f>
        <v/>
      </c>
      <c r="E57">
        <f>IFERROR(MATCH(54,$B$4:$B$503,0),"")</f>
        <v/>
      </c>
      <c r="G57">
        <f>IF('Checklist'!N57="Red",MAX($G$3:G56)+1,"")</f>
        <v/>
      </c>
    </row>
    <row r="58">
      <c r="A58">
        <f>IF(AND(LEN('Checklist'!C58)&gt;0,ISNUMBER('Checklist'!L58)),'Checklist'!L58+55/100000,"")</f>
        <v/>
      </c>
      <c r="B58">
        <f>IF(AND(LEN('Checklist'!C58)&gt;0,ISNUMBER('Checklist'!L58)),MAX($B$3:B57)+1,"")</f>
        <v/>
      </c>
      <c r="E58">
        <f>IFERROR(MATCH(55,$B$4:$B$503,0),"")</f>
        <v/>
      </c>
      <c r="G58">
        <f>IF('Checklist'!N58="Red",MAX($G$3:G57)+1,"")</f>
        <v/>
      </c>
    </row>
    <row r="59">
      <c r="A59">
        <f>IF(AND(LEN('Checklist'!C59)&gt;0,ISNUMBER('Checklist'!L59)),'Checklist'!L59+56/100000,"")</f>
        <v/>
      </c>
      <c r="B59">
        <f>IF(AND(LEN('Checklist'!C59)&gt;0,ISNUMBER('Checklist'!L59)),MAX($B$3:B58)+1,"")</f>
        <v/>
      </c>
      <c r="E59">
        <f>IFERROR(MATCH(56,$B$4:$B$503,0),"")</f>
        <v/>
      </c>
      <c r="G59">
        <f>IF('Checklist'!N59="Red",MAX($G$3:G58)+1,"")</f>
        <v/>
      </c>
    </row>
    <row r="60">
      <c r="A60">
        <f>IF(AND(LEN('Checklist'!C60)&gt;0,ISNUMBER('Checklist'!L60)),'Checklist'!L60+57/100000,"")</f>
        <v/>
      </c>
      <c r="B60">
        <f>IF(AND(LEN('Checklist'!C60)&gt;0,ISNUMBER('Checklist'!L60)),MAX($B$3:B59)+1,"")</f>
        <v/>
      </c>
      <c r="E60">
        <f>IFERROR(MATCH(57,$B$4:$B$503,0),"")</f>
        <v/>
      </c>
      <c r="G60">
        <f>IF('Checklist'!N60="Red",MAX($G$3:G59)+1,"")</f>
        <v/>
      </c>
    </row>
    <row r="61">
      <c r="A61">
        <f>IF(AND(LEN('Checklist'!C61)&gt;0,ISNUMBER('Checklist'!L61)),'Checklist'!L61+58/100000,"")</f>
        <v/>
      </c>
      <c r="B61">
        <f>IF(AND(LEN('Checklist'!C61)&gt;0,ISNUMBER('Checklist'!L61)),MAX($B$3:B60)+1,"")</f>
        <v/>
      </c>
      <c r="E61">
        <f>IFERROR(MATCH(58,$B$4:$B$503,0),"")</f>
        <v/>
      </c>
      <c r="G61">
        <f>IF('Checklist'!N61="Red",MAX($G$3:G60)+1,"")</f>
        <v/>
      </c>
    </row>
    <row r="62">
      <c r="A62">
        <f>IF(AND(LEN('Checklist'!C62)&gt;0,ISNUMBER('Checklist'!L62)),'Checklist'!L62+59/100000,"")</f>
        <v/>
      </c>
      <c r="B62">
        <f>IF(AND(LEN('Checklist'!C62)&gt;0,ISNUMBER('Checklist'!L62)),MAX($B$3:B61)+1,"")</f>
        <v/>
      </c>
      <c r="E62">
        <f>IFERROR(MATCH(59,$B$4:$B$503,0),"")</f>
        <v/>
      </c>
      <c r="G62">
        <f>IF('Checklist'!N62="Red",MAX($G$3:G61)+1,"")</f>
        <v/>
      </c>
    </row>
    <row r="63">
      <c r="A63">
        <f>IF(AND(LEN('Checklist'!C63)&gt;0,ISNUMBER('Checklist'!L63)),'Checklist'!L63+60/100000,"")</f>
        <v/>
      </c>
      <c r="B63">
        <f>IF(AND(LEN('Checklist'!C63)&gt;0,ISNUMBER('Checklist'!L63)),MAX($B$3:B62)+1,"")</f>
        <v/>
      </c>
      <c r="E63">
        <f>IFERROR(MATCH(60,$B$4:$B$503,0),"")</f>
        <v/>
      </c>
      <c r="G63">
        <f>IF('Checklist'!N63="Red",MAX($G$3:G62)+1,"")</f>
        <v/>
      </c>
    </row>
    <row r="64">
      <c r="A64">
        <f>IF(AND(LEN('Checklist'!C64)&gt;0,ISNUMBER('Checklist'!L64)),'Checklist'!L64+61/100000,"")</f>
        <v/>
      </c>
      <c r="B64">
        <f>IF(AND(LEN('Checklist'!C64)&gt;0,ISNUMBER('Checklist'!L64)),MAX($B$3:B63)+1,"")</f>
        <v/>
      </c>
      <c r="E64">
        <f>IFERROR(MATCH(61,$B$4:$B$503,0),"")</f>
        <v/>
      </c>
      <c r="G64">
        <f>IF('Checklist'!N64="Red",MAX($G$3:G63)+1,"")</f>
        <v/>
      </c>
    </row>
    <row r="65">
      <c r="A65">
        <f>IF(AND(LEN('Checklist'!C65)&gt;0,ISNUMBER('Checklist'!L65)),'Checklist'!L65+62/100000,"")</f>
        <v/>
      </c>
      <c r="B65">
        <f>IF(AND(LEN('Checklist'!C65)&gt;0,ISNUMBER('Checklist'!L65)),MAX($B$3:B64)+1,"")</f>
        <v/>
      </c>
      <c r="E65">
        <f>IFERROR(MATCH(62,$B$4:$B$503,0),"")</f>
        <v/>
      </c>
      <c r="G65">
        <f>IF('Checklist'!N65="Red",MAX($G$3:G64)+1,"")</f>
        <v/>
      </c>
    </row>
    <row r="66">
      <c r="A66">
        <f>IF(AND(LEN('Checklist'!C66)&gt;0,ISNUMBER('Checklist'!L66)),'Checklist'!L66+63/100000,"")</f>
        <v/>
      </c>
      <c r="B66">
        <f>IF(AND(LEN('Checklist'!C66)&gt;0,ISNUMBER('Checklist'!L66)),MAX($B$3:B65)+1,"")</f>
        <v/>
      </c>
      <c r="E66">
        <f>IFERROR(MATCH(63,$B$4:$B$503,0),"")</f>
        <v/>
      </c>
      <c r="G66">
        <f>IF('Checklist'!N66="Red",MAX($G$3:G65)+1,"")</f>
        <v/>
      </c>
    </row>
    <row r="67">
      <c r="A67">
        <f>IF(AND(LEN('Checklist'!C67)&gt;0,ISNUMBER('Checklist'!L67)),'Checklist'!L67+64/100000,"")</f>
        <v/>
      </c>
      <c r="B67">
        <f>IF(AND(LEN('Checklist'!C67)&gt;0,ISNUMBER('Checklist'!L67)),MAX($B$3:B66)+1,"")</f>
        <v/>
      </c>
      <c r="E67">
        <f>IFERROR(MATCH(64,$B$4:$B$503,0),"")</f>
        <v/>
      </c>
      <c r="G67">
        <f>IF('Checklist'!N67="Red",MAX($G$3:G66)+1,"")</f>
        <v/>
      </c>
    </row>
    <row r="68">
      <c r="A68">
        <f>IF(AND(LEN('Checklist'!C68)&gt;0,ISNUMBER('Checklist'!L68)),'Checklist'!L68+65/100000,"")</f>
        <v/>
      </c>
      <c r="B68">
        <f>IF(AND(LEN('Checklist'!C68)&gt;0,ISNUMBER('Checklist'!L68)),MAX($B$3:B67)+1,"")</f>
        <v/>
      </c>
      <c r="E68">
        <f>IFERROR(MATCH(65,$B$4:$B$503,0),"")</f>
        <v/>
      </c>
      <c r="G68">
        <f>IF('Checklist'!N68="Red",MAX($G$3:G67)+1,"")</f>
        <v/>
      </c>
    </row>
    <row r="69">
      <c r="A69">
        <f>IF(AND(LEN('Checklist'!C69)&gt;0,ISNUMBER('Checklist'!L69)),'Checklist'!L69+66/100000,"")</f>
        <v/>
      </c>
      <c r="B69">
        <f>IF(AND(LEN('Checklist'!C69)&gt;0,ISNUMBER('Checklist'!L69)),MAX($B$3:B68)+1,"")</f>
        <v/>
      </c>
      <c r="E69">
        <f>IFERROR(MATCH(66,$B$4:$B$503,0),"")</f>
        <v/>
      </c>
      <c r="G69">
        <f>IF('Checklist'!N69="Red",MAX($G$3:G68)+1,"")</f>
        <v/>
      </c>
    </row>
    <row r="70">
      <c r="A70">
        <f>IF(AND(LEN('Checklist'!C70)&gt;0,ISNUMBER('Checklist'!L70)),'Checklist'!L70+67/100000,"")</f>
        <v/>
      </c>
      <c r="B70">
        <f>IF(AND(LEN('Checklist'!C70)&gt;0,ISNUMBER('Checklist'!L70)),MAX($B$3:B69)+1,"")</f>
        <v/>
      </c>
      <c r="E70">
        <f>IFERROR(MATCH(67,$B$4:$B$503,0),"")</f>
        <v/>
      </c>
      <c r="G70">
        <f>IF('Checklist'!N70="Red",MAX($G$3:G69)+1,"")</f>
        <v/>
      </c>
    </row>
    <row r="71">
      <c r="A71">
        <f>IF(AND(LEN('Checklist'!C71)&gt;0,ISNUMBER('Checklist'!L71)),'Checklist'!L71+68/100000,"")</f>
        <v/>
      </c>
      <c r="B71">
        <f>IF(AND(LEN('Checklist'!C71)&gt;0,ISNUMBER('Checklist'!L71)),MAX($B$3:B70)+1,"")</f>
        <v/>
      </c>
      <c r="E71">
        <f>IFERROR(MATCH(68,$B$4:$B$503,0),"")</f>
        <v/>
      </c>
      <c r="G71">
        <f>IF('Checklist'!N71="Red",MAX($G$3:G70)+1,"")</f>
        <v/>
      </c>
    </row>
    <row r="72">
      <c r="A72">
        <f>IF(AND(LEN('Checklist'!C72)&gt;0,ISNUMBER('Checklist'!L72)),'Checklist'!L72+69/100000,"")</f>
        <v/>
      </c>
      <c r="B72">
        <f>IF(AND(LEN('Checklist'!C72)&gt;0,ISNUMBER('Checklist'!L72)),MAX($B$3:B71)+1,"")</f>
        <v/>
      </c>
      <c r="E72">
        <f>IFERROR(MATCH(69,$B$4:$B$503,0),"")</f>
        <v/>
      </c>
      <c r="G72">
        <f>IF('Checklist'!N72="Red",MAX($G$3:G71)+1,"")</f>
        <v/>
      </c>
    </row>
    <row r="73">
      <c r="A73">
        <f>IF(AND(LEN('Checklist'!C73)&gt;0,ISNUMBER('Checklist'!L73)),'Checklist'!L73+70/100000,"")</f>
        <v/>
      </c>
      <c r="B73">
        <f>IF(AND(LEN('Checklist'!C73)&gt;0,ISNUMBER('Checklist'!L73)),MAX($B$3:B72)+1,"")</f>
        <v/>
      </c>
      <c r="E73">
        <f>IFERROR(MATCH(70,$B$4:$B$503,0),"")</f>
        <v/>
      </c>
      <c r="G73">
        <f>IF('Checklist'!N73="Red",MAX($G$3:G72)+1,"")</f>
        <v/>
      </c>
    </row>
    <row r="74">
      <c r="A74">
        <f>IF(AND(LEN('Checklist'!C74)&gt;0,ISNUMBER('Checklist'!L74)),'Checklist'!L74+71/100000,"")</f>
        <v/>
      </c>
      <c r="B74">
        <f>IF(AND(LEN('Checklist'!C74)&gt;0,ISNUMBER('Checklist'!L74)),MAX($B$3:B73)+1,"")</f>
        <v/>
      </c>
      <c r="E74">
        <f>IFERROR(MATCH(71,$B$4:$B$503,0),"")</f>
        <v/>
      </c>
      <c r="G74">
        <f>IF('Checklist'!N74="Red",MAX($G$3:G73)+1,"")</f>
        <v/>
      </c>
    </row>
    <row r="75">
      <c r="A75">
        <f>IF(AND(LEN('Checklist'!C75)&gt;0,ISNUMBER('Checklist'!L75)),'Checklist'!L75+72/100000,"")</f>
        <v/>
      </c>
      <c r="B75">
        <f>IF(AND(LEN('Checklist'!C75)&gt;0,ISNUMBER('Checklist'!L75)),MAX($B$3:B74)+1,"")</f>
        <v/>
      </c>
      <c r="E75">
        <f>IFERROR(MATCH(72,$B$4:$B$503,0),"")</f>
        <v/>
      </c>
      <c r="G75">
        <f>IF('Checklist'!N75="Red",MAX($G$3:G74)+1,"")</f>
        <v/>
      </c>
    </row>
    <row r="76">
      <c r="A76">
        <f>IF(AND(LEN('Checklist'!C76)&gt;0,ISNUMBER('Checklist'!L76)),'Checklist'!L76+73/100000,"")</f>
        <v/>
      </c>
      <c r="B76">
        <f>IF(AND(LEN('Checklist'!C76)&gt;0,ISNUMBER('Checklist'!L76)),MAX($B$3:B75)+1,"")</f>
        <v/>
      </c>
      <c r="E76">
        <f>IFERROR(MATCH(73,$B$4:$B$503,0),"")</f>
        <v/>
      </c>
      <c r="G76">
        <f>IF('Checklist'!N76="Red",MAX($G$3:G75)+1,"")</f>
        <v/>
      </c>
    </row>
    <row r="77">
      <c r="A77">
        <f>IF(AND(LEN('Checklist'!C77)&gt;0,ISNUMBER('Checklist'!L77)),'Checklist'!L77+74/100000,"")</f>
        <v/>
      </c>
      <c r="B77">
        <f>IF(AND(LEN('Checklist'!C77)&gt;0,ISNUMBER('Checklist'!L77)),MAX($B$3:B76)+1,"")</f>
        <v/>
      </c>
      <c r="E77">
        <f>IFERROR(MATCH(74,$B$4:$B$503,0),"")</f>
        <v/>
      </c>
      <c r="G77">
        <f>IF('Checklist'!N77="Red",MAX($G$3:G76)+1,"")</f>
        <v/>
      </c>
    </row>
    <row r="78">
      <c r="A78">
        <f>IF(AND(LEN('Checklist'!C78)&gt;0,ISNUMBER('Checklist'!L78)),'Checklist'!L78+75/100000,"")</f>
        <v/>
      </c>
      <c r="B78">
        <f>IF(AND(LEN('Checklist'!C78)&gt;0,ISNUMBER('Checklist'!L78)),MAX($B$3:B77)+1,"")</f>
        <v/>
      </c>
      <c r="E78">
        <f>IFERROR(MATCH(75,$B$4:$B$503,0),"")</f>
        <v/>
      </c>
      <c r="G78">
        <f>IF('Checklist'!N78="Red",MAX($G$3:G77)+1,"")</f>
        <v/>
      </c>
    </row>
    <row r="79">
      <c r="A79">
        <f>IF(AND(LEN('Checklist'!C79)&gt;0,ISNUMBER('Checklist'!L79)),'Checklist'!L79+76/100000,"")</f>
        <v/>
      </c>
      <c r="B79">
        <f>IF(AND(LEN('Checklist'!C79)&gt;0,ISNUMBER('Checklist'!L79)),MAX($B$3:B78)+1,"")</f>
        <v/>
      </c>
      <c r="E79">
        <f>IFERROR(MATCH(76,$B$4:$B$503,0),"")</f>
        <v/>
      </c>
      <c r="G79">
        <f>IF('Checklist'!N79="Red",MAX($G$3:G78)+1,"")</f>
        <v/>
      </c>
    </row>
    <row r="80">
      <c r="A80">
        <f>IF(AND(LEN('Checklist'!C80)&gt;0,ISNUMBER('Checklist'!L80)),'Checklist'!L80+77/100000,"")</f>
        <v/>
      </c>
      <c r="B80">
        <f>IF(AND(LEN('Checklist'!C80)&gt;0,ISNUMBER('Checklist'!L80)),MAX($B$3:B79)+1,"")</f>
        <v/>
      </c>
      <c r="E80">
        <f>IFERROR(MATCH(77,$B$4:$B$503,0),"")</f>
        <v/>
      </c>
      <c r="G80">
        <f>IF('Checklist'!N80="Red",MAX($G$3:G79)+1,"")</f>
        <v/>
      </c>
    </row>
    <row r="81">
      <c r="A81">
        <f>IF(AND(LEN('Checklist'!C81)&gt;0,ISNUMBER('Checklist'!L81)),'Checklist'!L81+78/100000,"")</f>
        <v/>
      </c>
      <c r="B81">
        <f>IF(AND(LEN('Checklist'!C81)&gt;0,ISNUMBER('Checklist'!L81)),MAX($B$3:B80)+1,"")</f>
        <v/>
      </c>
      <c r="E81">
        <f>IFERROR(MATCH(78,$B$4:$B$503,0),"")</f>
        <v/>
      </c>
      <c r="G81">
        <f>IF('Checklist'!N81="Red",MAX($G$3:G80)+1,"")</f>
        <v/>
      </c>
    </row>
    <row r="82">
      <c r="A82">
        <f>IF(AND(LEN('Checklist'!C82)&gt;0,ISNUMBER('Checklist'!L82)),'Checklist'!L82+79/100000,"")</f>
        <v/>
      </c>
      <c r="B82">
        <f>IF(AND(LEN('Checklist'!C82)&gt;0,ISNUMBER('Checklist'!L82)),MAX($B$3:B81)+1,"")</f>
        <v/>
      </c>
      <c r="E82">
        <f>IFERROR(MATCH(79,$B$4:$B$503,0),"")</f>
        <v/>
      </c>
      <c r="G82">
        <f>IF('Checklist'!N82="Red",MAX($G$3:G81)+1,"")</f>
        <v/>
      </c>
    </row>
    <row r="83">
      <c r="A83">
        <f>IF(AND(LEN('Checklist'!C83)&gt;0,ISNUMBER('Checklist'!L83)),'Checklist'!L83+80/100000,"")</f>
        <v/>
      </c>
      <c r="B83">
        <f>IF(AND(LEN('Checklist'!C83)&gt;0,ISNUMBER('Checklist'!L83)),MAX($B$3:B82)+1,"")</f>
        <v/>
      </c>
      <c r="E83">
        <f>IFERROR(MATCH(80,$B$4:$B$503,0),"")</f>
        <v/>
      </c>
      <c r="G83">
        <f>IF('Checklist'!N83="Red",MAX($G$3:G82)+1,"")</f>
        <v/>
      </c>
    </row>
    <row r="84">
      <c r="A84">
        <f>IF(AND(LEN('Checklist'!C84)&gt;0,ISNUMBER('Checklist'!L84)),'Checklist'!L84+81/100000,"")</f>
        <v/>
      </c>
      <c r="B84">
        <f>IF(AND(LEN('Checklist'!C84)&gt;0,ISNUMBER('Checklist'!L84)),MAX($B$3:B83)+1,"")</f>
        <v/>
      </c>
      <c r="E84">
        <f>IFERROR(MATCH(81,$B$4:$B$503,0),"")</f>
        <v/>
      </c>
      <c r="G84">
        <f>IF('Checklist'!N84="Red",MAX($G$3:G83)+1,"")</f>
        <v/>
      </c>
    </row>
    <row r="85">
      <c r="A85">
        <f>IF(AND(LEN('Checklist'!C85)&gt;0,ISNUMBER('Checklist'!L85)),'Checklist'!L85+82/100000,"")</f>
        <v/>
      </c>
      <c r="B85">
        <f>IF(AND(LEN('Checklist'!C85)&gt;0,ISNUMBER('Checklist'!L85)),MAX($B$3:B84)+1,"")</f>
        <v/>
      </c>
      <c r="E85">
        <f>IFERROR(MATCH(82,$B$4:$B$503,0),"")</f>
        <v/>
      </c>
      <c r="G85">
        <f>IF('Checklist'!N85="Red",MAX($G$3:G84)+1,"")</f>
        <v/>
      </c>
    </row>
    <row r="86">
      <c r="A86">
        <f>IF(AND(LEN('Checklist'!C86)&gt;0,ISNUMBER('Checklist'!L86)),'Checklist'!L86+83/100000,"")</f>
        <v/>
      </c>
      <c r="B86">
        <f>IF(AND(LEN('Checklist'!C86)&gt;0,ISNUMBER('Checklist'!L86)),MAX($B$3:B85)+1,"")</f>
        <v/>
      </c>
      <c r="E86">
        <f>IFERROR(MATCH(83,$B$4:$B$503,0),"")</f>
        <v/>
      </c>
      <c r="G86">
        <f>IF('Checklist'!N86="Red",MAX($G$3:G85)+1,"")</f>
        <v/>
      </c>
    </row>
    <row r="87">
      <c r="A87">
        <f>IF(AND(LEN('Checklist'!C87)&gt;0,ISNUMBER('Checklist'!L87)),'Checklist'!L87+84/100000,"")</f>
        <v/>
      </c>
      <c r="B87">
        <f>IF(AND(LEN('Checklist'!C87)&gt;0,ISNUMBER('Checklist'!L87)),MAX($B$3:B86)+1,"")</f>
        <v/>
      </c>
      <c r="E87">
        <f>IFERROR(MATCH(84,$B$4:$B$503,0),"")</f>
        <v/>
      </c>
      <c r="G87">
        <f>IF('Checklist'!N87="Red",MAX($G$3:G86)+1,"")</f>
        <v/>
      </c>
    </row>
    <row r="88">
      <c r="A88">
        <f>IF(AND(LEN('Checklist'!C88)&gt;0,ISNUMBER('Checklist'!L88)),'Checklist'!L88+85/100000,"")</f>
        <v/>
      </c>
      <c r="B88">
        <f>IF(AND(LEN('Checklist'!C88)&gt;0,ISNUMBER('Checklist'!L88)),MAX($B$3:B87)+1,"")</f>
        <v/>
      </c>
      <c r="E88">
        <f>IFERROR(MATCH(85,$B$4:$B$503,0),"")</f>
        <v/>
      </c>
      <c r="G88">
        <f>IF('Checklist'!N88="Red",MAX($G$3:G87)+1,"")</f>
        <v/>
      </c>
    </row>
    <row r="89">
      <c r="A89">
        <f>IF(AND(LEN('Checklist'!C89)&gt;0,ISNUMBER('Checklist'!L89)),'Checklist'!L89+86/100000,"")</f>
        <v/>
      </c>
      <c r="B89">
        <f>IF(AND(LEN('Checklist'!C89)&gt;0,ISNUMBER('Checklist'!L89)),MAX($B$3:B88)+1,"")</f>
        <v/>
      </c>
      <c r="E89">
        <f>IFERROR(MATCH(86,$B$4:$B$503,0),"")</f>
        <v/>
      </c>
      <c r="G89">
        <f>IF('Checklist'!N89="Red",MAX($G$3:G88)+1,"")</f>
        <v/>
      </c>
    </row>
    <row r="90">
      <c r="A90">
        <f>IF(AND(LEN('Checklist'!C90)&gt;0,ISNUMBER('Checklist'!L90)),'Checklist'!L90+87/100000,"")</f>
        <v/>
      </c>
      <c r="B90">
        <f>IF(AND(LEN('Checklist'!C90)&gt;0,ISNUMBER('Checklist'!L90)),MAX($B$3:B89)+1,"")</f>
        <v/>
      </c>
      <c r="E90">
        <f>IFERROR(MATCH(87,$B$4:$B$503,0),"")</f>
        <v/>
      </c>
      <c r="G90">
        <f>IF('Checklist'!N90="Red",MAX($G$3:G89)+1,"")</f>
        <v/>
      </c>
    </row>
    <row r="91">
      <c r="A91">
        <f>IF(AND(LEN('Checklist'!C91)&gt;0,ISNUMBER('Checklist'!L91)),'Checklist'!L91+88/100000,"")</f>
        <v/>
      </c>
      <c r="B91">
        <f>IF(AND(LEN('Checklist'!C91)&gt;0,ISNUMBER('Checklist'!L91)),MAX($B$3:B90)+1,"")</f>
        <v/>
      </c>
      <c r="E91">
        <f>IFERROR(MATCH(88,$B$4:$B$503,0),"")</f>
        <v/>
      </c>
      <c r="G91">
        <f>IF('Checklist'!N91="Red",MAX($G$3:G90)+1,"")</f>
        <v/>
      </c>
    </row>
    <row r="92">
      <c r="A92">
        <f>IF(AND(LEN('Checklist'!C92)&gt;0,ISNUMBER('Checklist'!L92)),'Checklist'!L92+89/100000,"")</f>
        <v/>
      </c>
      <c r="B92">
        <f>IF(AND(LEN('Checklist'!C92)&gt;0,ISNUMBER('Checklist'!L92)),MAX($B$3:B91)+1,"")</f>
        <v/>
      </c>
      <c r="E92">
        <f>IFERROR(MATCH(89,$B$4:$B$503,0),"")</f>
        <v/>
      </c>
      <c r="G92">
        <f>IF('Checklist'!N92="Red",MAX($G$3:G91)+1,"")</f>
        <v/>
      </c>
    </row>
    <row r="93">
      <c r="A93">
        <f>IF(AND(LEN('Checklist'!C93)&gt;0,ISNUMBER('Checklist'!L93)),'Checklist'!L93+90/100000,"")</f>
        <v/>
      </c>
      <c r="B93">
        <f>IF(AND(LEN('Checklist'!C93)&gt;0,ISNUMBER('Checklist'!L93)),MAX($B$3:B92)+1,"")</f>
        <v/>
      </c>
      <c r="E93">
        <f>IFERROR(MATCH(90,$B$4:$B$503,0),"")</f>
        <v/>
      </c>
      <c r="G93">
        <f>IF('Checklist'!N93="Red",MAX($G$3:G92)+1,"")</f>
        <v/>
      </c>
    </row>
    <row r="94">
      <c r="A94">
        <f>IF(AND(LEN('Checklist'!C94)&gt;0,ISNUMBER('Checklist'!L94)),'Checklist'!L94+91/100000,"")</f>
        <v/>
      </c>
      <c r="B94">
        <f>IF(AND(LEN('Checklist'!C94)&gt;0,ISNUMBER('Checklist'!L94)),MAX($B$3:B93)+1,"")</f>
        <v/>
      </c>
      <c r="E94">
        <f>IFERROR(MATCH(91,$B$4:$B$503,0),"")</f>
        <v/>
      </c>
      <c r="G94">
        <f>IF('Checklist'!N94="Red",MAX($G$3:G93)+1,"")</f>
        <v/>
      </c>
    </row>
    <row r="95">
      <c r="A95">
        <f>IF(AND(LEN('Checklist'!C95)&gt;0,ISNUMBER('Checklist'!L95)),'Checklist'!L95+92/100000,"")</f>
        <v/>
      </c>
      <c r="B95">
        <f>IF(AND(LEN('Checklist'!C95)&gt;0,ISNUMBER('Checklist'!L95)),MAX($B$3:B94)+1,"")</f>
        <v/>
      </c>
      <c r="E95">
        <f>IFERROR(MATCH(92,$B$4:$B$503,0),"")</f>
        <v/>
      </c>
      <c r="G95">
        <f>IF('Checklist'!N95="Red",MAX($G$3:G94)+1,"")</f>
        <v/>
      </c>
    </row>
    <row r="96">
      <c r="A96">
        <f>IF(AND(LEN('Checklist'!C96)&gt;0,ISNUMBER('Checklist'!L96)),'Checklist'!L96+93/100000,"")</f>
        <v/>
      </c>
      <c r="B96">
        <f>IF(AND(LEN('Checklist'!C96)&gt;0,ISNUMBER('Checklist'!L96)),MAX($B$3:B95)+1,"")</f>
        <v/>
      </c>
      <c r="E96">
        <f>IFERROR(MATCH(93,$B$4:$B$503,0),"")</f>
        <v/>
      </c>
      <c r="G96">
        <f>IF('Checklist'!N96="Red",MAX($G$3:G95)+1,"")</f>
        <v/>
      </c>
    </row>
    <row r="97">
      <c r="A97">
        <f>IF(AND(LEN('Checklist'!C97)&gt;0,ISNUMBER('Checklist'!L97)),'Checklist'!L97+94/100000,"")</f>
        <v/>
      </c>
      <c r="B97">
        <f>IF(AND(LEN('Checklist'!C97)&gt;0,ISNUMBER('Checklist'!L97)),MAX($B$3:B96)+1,"")</f>
        <v/>
      </c>
      <c r="E97">
        <f>IFERROR(MATCH(94,$B$4:$B$503,0),"")</f>
        <v/>
      </c>
      <c r="G97">
        <f>IF('Checklist'!N97="Red",MAX($G$3:G96)+1,"")</f>
        <v/>
      </c>
    </row>
    <row r="98">
      <c r="A98">
        <f>IF(AND(LEN('Checklist'!C98)&gt;0,ISNUMBER('Checklist'!L98)),'Checklist'!L98+95/100000,"")</f>
        <v/>
      </c>
      <c r="B98">
        <f>IF(AND(LEN('Checklist'!C98)&gt;0,ISNUMBER('Checklist'!L98)),MAX($B$3:B97)+1,"")</f>
        <v/>
      </c>
      <c r="E98">
        <f>IFERROR(MATCH(95,$B$4:$B$503,0),"")</f>
        <v/>
      </c>
      <c r="G98">
        <f>IF('Checklist'!N98="Red",MAX($G$3:G97)+1,"")</f>
        <v/>
      </c>
    </row>
    <row r="99">
      <c r="A99">
        <f>IF(AND(LEN('Checklist'!C99)&gt;0,ISNUMBER('Checklist'!L99)),'Checklist'!L99+96/100000,"")</f>
        <v/>
      </c>
      <c r="B99">
        <f>IF(AND(LEN('Checklist'!C99)&gt;0,ISNUMBER('Checklist'!L99)),MAX($B$3:B98)+1,"")</f>
        <v/>
      </c>
      <c r="E99">
        <f>IFERROR(MATCH(96,$B$4:$B$503,0),"")</f>
        <v/>
      </c>
      <c r="G99">
        <f>IF('Checklist'!N99="Red",MAX($G$3:G98)+1,"")</f>
        <v/>
      </c>
    </row>
    <row r="100">
      <c r="A100">
        <f>IF(AND(LEN('Checklist'!C100)&gt;0,ISNUMBER('Checklist'!L100)),'Checklist'!L100+97/100000,"")</f>
        <v/>
      </c>
      <c r="B100">
        <f>IF(AND(LEN('Checklist'!C100)&gt;0,ISNUMBER('Checklist'!L100)),MAX($B$3:B99)+1,"")</f>
        <v/>
      </c>
      <c r="E100">
        <f>IFERROR(MATCH(97,$B$4:$B$503,0),"")</f>
        <v/>
      </c>
      <c r="G100">
        <f>IF('Checklist'!N100="Red",MAX($G$3:G99)+1,"")</f>
        <v/>
      </c>
    </row>
    <row r="101">
      <c r="A101">
        <f>IF(AND(LEN('Checklist'!C101)&gt;0,ISNUMBER('Checklist'!L101)),'Checklist'!L101+98/100000,"")</f>
        <v/>
      </c>
      <c r="B101">
        <f>IF(AND(LEN('Checklist'!C101)&gt;0,ISNUMBER('Checklist'!L101)),MAX($B$3:B100)+1,"")</f>
        <v/>
      </c>
      <c r="E101">
        <f>IFERROR(MATCH(98,$B$4:$B$503,0),"")</f>
        <v/>
      </c>
      <c r="G101">
        <f>IF('Checklist'!N101="Red",MAX($G$3:G100)+1,"")</f>
        <v/>
      </c>
    </row>
    <row r="102">
      <c r="A102">
        <f>IF(AND(LEN('Checklist'!C102)&gt;0,ISNUMBER('Checklist'!L102)),'Checklist'!L102+99/100000,"")</f>
        <v/>
      </c>
      <c r="B102">
        <f>IF(AND(LEN('Checklist'!C102)&gt;0,ISNUMBER('Checklist'!L102)),MAX($B$3:B101)+1,"")</f>
        <v/>
      </c>
      <c r="E102">
        <f>IFERROR(MATCH(99,$B$4:$B$503,0),"")</f>
        <v/>
      </c>
      <c r="G102">
        <f>IF('Checklist'!N102="Red",MAX($G$3:G101)+1,"")</f>
        <v/>
      </c>
    </row>
    <row r="103">
      <c r="A103">
        <f>IF(AND(LEN('Checklist'!C103)&gt;0,ISNUMBER('Checklist'!L103)),'Checklist'!L103+100/100000,"")</f>
        <v/>
      </c>
      <c r="B103">
        <f>IF(AND(LEN('Checklist'!C103)&gt;0,ISNUMBER('Checklist'!L103)),MAX($B$3:B102)+1,"")</f>
        <v/>
      </c>
      <c r="E103">
        <f>IFERROR(MATCH(100,$B$4:$B$503,0),"")</f>
        <v/>
      </c>
      <c r="G103">
        <f>IF('Checklist'!N103="Red",MAX($G$3:G102)+1,"")</f>
        <v/>
      </c>
    </row>
    <row r="104">
      <c r="A104">
        <f>IF(AND(LEN('Checklist'!C104)&gt;0,ISNUMBER('Checklist'!L104)),'Checklist'!L104+101/100000,"")</f>
        <v/>
      </c>
      <c r="B104">
        <f>IF(AND(LEN('Checklist'!C104)&gt;0,ISNUMBER('Checklist'!L104)),MAX($B$3:B103)+1,"")</f>
        <v/>
      </c>
      <c r="E104">
        <f>IFERROR(MATCH(101,$B$4:$B$503,0),"")</f>
        <v/>
      </c>
      <c r="G104">
        <f>IF('Checklist'!N104="Red",MAX($G$3:G103)+1,"")</f>
        <v/>
      </c>
    </row>
    <row r="105">
      <c r="A105">
        <f>IF(AND(LEN('Checklist'!C105)&gt;0,ISNUMBER('Checklist'!L105)),'Checklist'!L105+102/100000,"")</f>
        <v/>
      </c>
      <c r="B105">
        <f>IF(AND(LEN('Checklist'!C105)&gt;0,ISNUMBER('Checklist'!L105)),MAX($B$3:B104)+1,"")</f>
        <v/>
      </c>
      <c r="E105">
        <f>IFERROR(MATCH(102,$B$4:$B$503,0),"")</f>
        <v/>
      </c>
      <c r="G105">
        <f>IF('Checklist'!N105="Red",MAX($G$3:G104)+1,"")</f>
        <v/>
      </c>
    </row>
    <row r="106">
      <c r="A106">
        <f>IF(AND(LEN('Checklist'!C106)&gt;0,ISNUMBER('Checklist'!L106)),'Checklist'!L106+103/100000,"")</f>
        <v/>
      </c>
      <c r="B106">
        <f>IF(AND(LEN('Checklist'!C106)&gt;0,ISNUMBER('Checklist'!L106)),MAX($B$3:B105)+1,"")</f>
        <v/>
      </c>
      <c r="E106">
        <f>IFERROR(MATCH(103,$B$4:$B$503,0),"")</f>
        <v/>
      </c>
      <c r="G106">
        <f>IF('Checklist'!N106="Red",MAX($G$3:G105)+1,"")</f>
        <v/>
      </c>
    </row>
    <row r="107">
      <c r="A107">
        <f>IF(AND(LEN('Checklist'!C107)&gt;0,ISNUMBER('Checklist'!L107)),'Checklist'!L107+104/100000,"")</f>
        <v/>
      </c>
      <c r="B107">
        <f>IF(AND(LEN('Checklist'!C107)&gt;0,ISNUMBER('Checklist'!L107)),MAX($B$3:B106)+1,"")</f>
        <v/>
      </c>
      <c r="E107">
        <f>IFERROR(MATCH(104,$B$4:$B$503,0),"")</f>
        <v/>
      </c>
      <c r="G107">
        <f>IF('Checklist'!N107="Red",MAX($G$3:G106)+1,"")</f>
        <v/>
      </c>
    </row>
    <row r="108">
      <c r="A108">
        <f>IF(AND(LEN('Checklist'!C108)&gt;0,ISNUMBER('Checklist'!L108)),'Checklist'!L108+105/100000,"")</f>
        <v/>
      </c>
      <c r="B108">
        <f>IF(AND(LEN('Checklist'!C108)&gt;0,ISNUMBER('Checklist'!L108)),MAX($B$3:B107)+1,"")</f>
        <v/>
      </c>
      <c r="E108">
        <f>IFERROR(MATCH(105,$B$4:$B$503,0),"")</f>
        <v/>
      </c>
      <c r="G108">
        <f>IF('Checklist'!N108="Red",MAX($G$3:G107)+1,"")</f>
        <v/>
      </c>
    </row>
    <row r="109">
      <c r="A109">
        <f>IF(AND(LEN('Checklist'!C109)&gt;0,ISNUMBER('Checklist'!L109)),'Checklist'!L109+106/100000,"")</f>
        <v/>
      </c>
      <c r="B109">
        <f>IF(AND(LEN('Checklist'!C109)&gt;0,ISNUMBER('Checklist'!L109)),MAX($B$3:B108)+1,"")</f>
        <v/>
      </c>
      <c r="E109">
        <f>IFERROR(MATCH(106,$B$4:$B$503,0),"")</f>
        <v/>
      </c>
      <c r="G109">
        <f>IF('Checklist'!N109="Red",MAX($G$3:G108)+1,"")</f>
        <v/>
      </c>
    </row>
    <row r="110">
      <c r="A110">
        <f>IF(AND(LEN('Checklist'!C110)&gt;0,ISNUMBER('Checklist'!L110)),'Checklist'!L110+107/100000,"")</f>
        <v/>
      </c>
      <c r="B110">
        <f>IF(AND(LEN('Checklist'!C110)&gt;0,ISNUMBER('Checklist'!L110)),MAX($B$3:B109)+1,"")</f>
        <v/>
      </c>
      <c r="E110">
        <f>IFERROR(MATCH(107,$B$4:$B$503,0),"")</f>
        <v/>
      </c>
      <c r="G110">
        <f>IF('Checklist'!N110="Red",MAX($G$3:G109)+1,"")</f>
        <v/>
      </c>
    </row>
    <row r="111">
      <c r="A111">
        <f>IF(AND(LEN('Checklist'!C111)&gt;0,ISNUMBER('Checklist'!L111)),'Checklist'!L111+108/100000,"")</f>
        <v/>
      </c>
      <c r="B111">
        <f>IF(AND(LEN('Checklist'!C111)&gt;0,ISNUMBER('Checklist'!L111)),MAX($B$3:B110)+1,"")</f>
        <v/>
      </c>
      <c r="E111">
        <f>IFERROR(MATCH(108,$B$4:$B$503,0),"")</f>
        <v/>
      </c>
      <c r="G111">
        <f>IF('Checklist'!N111="Red",MAX($G$3:G110)+1,"")</f>
        <v/>
      </c>
    </row>
    <row r="112">
      <c r="A112">
        <f>IF(AND(LEN('Checklist'!C112)&gt;0,ISNUMBER('Checklist'!L112)),'Checklist'!L112+109/100000,"")</f>
        <v/>
      </c>
      <c r="B112">
        <f>IF(AND(LEN('Checklist'!C112)&gt;0,ISNUMBER('Checklist'!L112)),MAX($B$3:B111)+1,"")</f>
        <v/>
      </c>
      <c r="E112">
        <f>IFERROR(MATCH(109,$B$4:$B$503,0),"")</f>
        <v/>
      </c>
      <c r="G112">
        <f>IF('Checklist'!N112="Red",MAX($G$3:G111)+1,"")</f>
        <v/>
      </c>
    </row>
    <row r="113">
      <c r="A113">
        <f>IF(AND(LEN('Checklist'!C113)&gt;0,ISNUMBER('Checklist'!L113)),'Checklist'!L113+110/100000,"")</f>
        <v/>
      </c>
      <c r="B113">
        <f>IF(AND(LEN('Checklist'!C113)&gt;0,ISNUMBER('Checklist'!L113)),MAX($B$3:B112)+1,"")</f>
        <v/>
      </c>
      <c r="E113">
        <f>IFERROR(MATCH(110,$B$4:$B$503,0),"")</f>
        <v/>
      </c>
      <c r="G113">
        <f>IF('Checklist'!N113="Red",MAX($G$3:G112)+1,"")</f>
        <v/>
      </c>
    </row>
    <row r="114">
      <c r="A114">
        <f>IF(AND(LEN('Checklist'!C114)&gt;0,ISNUMBER('Checklist'!L114)),'Checklist'!L114+111/100000,"")</f>
        <v/>
      </c>
      <c r="B114">
        <f>IF(AND(LEN('Checklist'!C114)&gt;0,ISNUMBER('Checklist'!L114)),MAX($B$3:B113)+1,"")</f>
        <v/>
      </c>
      <c r="E114">
        <f>IFERROR(MATCH(111,$B$4:$B$503,0),"")</f>
        <v/>
      </c>
      <c r="G114">
        <f>IF('Checklist'!N114="Red",MAX($G$3:G113)+1,"")</f>
        <v/>
      </c>
    </row>
    <row r="115">
      <c r="A115">
        <f>IF(AND(LEN('Checklist'!C115)&gt;0,ISNUMBER('Checklist'!L115)),'Checklist'!L115+112/100000,"")</f>
        <v/>
      </c>
      <c r="B115">
        <f>IF(AND(LEN('Checklist'!C115)&gt;0,ISNUMBER('Checklist'!L115)),MAX($B$3:B114)+1,"")</f>
        <v/>
      </c>
      <c r="E115">
        <f>IFERROR(MATCH(112,$B$4:$B$503,0),"")</f>
        <v/>
      </c>
      <c r="G115">
        <f>IF('Checklist'!N115="Red",MAX($G$3:G114)+1,"")</f>
        <v/>
      </c>
    </row>
    <row r="116">
      <c r="A116">
        <f>IF(AND(LEN('Checklist'!C116)&gt;0,ISNUMBER('Checklist'!L116)),'Checklist'!L116+113/100000,"")</f>
        <v/>
      </c>
      <c r="B116">
        <f>IF(AND(LEN('Checklist'!C116)&gt;0,ISNUMBER('Checklist'!L116)),MAX($B$3:B115)+1,"")</f>
        <v/>
      </c>
      <c r="E116">
        <f>IFERROR(MATCH(113,$B$4:$B$503,0),"")</f>
        <v/>
      </c>
      <c r="G116">
        <f>IF('Checklist'!N116="Red",MAX($G$3:G115)+1,"")</f>
        <v/>
      </c>
    </row>
    <row r="117">
      <c r="A117">
        <f>IF(AND(LEN('Checklist'!C117)&gt;0,ISNUMBER('Checklist'!L117)),'Checklist'!L117+114/100000,"")</f>
        <v/>
      </c>
      <c r="B117">
        <f>IF(AND(LEN('Checklist'!C117)&gt;0,ISNUMBER('Checklist'!L117)),MAX($B$3:B116)+1,"")</f>
        <v/>
      </c>
      <c r="E117">
        <f>IFERROR(MATCH(114,$B$4:$B$503,0),"")</f>
        <v/>
      </c>
      <c r="G117">
        <f>IF('Checklist'!N117="Red",MAX($G$3:G116)+1,"")</f>
        <v/>
      </c>
    </row>
    <row r="118">
      <c r="A118">
        <f>IF(AND(LEN('Checklist'!C118)&gt;0,ISNUMBER('Checklist'!L118)),'Checklist'!L118+115/100000,"")</f>
        <v/>
      </c>
      <c r="B118">
        <f>IF(AND(LEN('Checklist'!C118)&gt;0,ISNUMBER('Checklist'!L118)),MAX($B$3:B117)+1,"")</f>
        <v/>
      </c>
      <c r="E118">
        <f>IFERROR(MATCH(115,$B$4:$B$503,0),"")</f>
        <v/>
      </c>
      <c r="G118">
        <f>IF('Checklist'!N118="Red",MAX($G$3:G117)+1,"")</f>
        <v/>
      </c>
    </row>
    <row r="119">
      <c r="A119">
        <f>IF(AND(LEN('Checklist'!C119)&gt;0,ISNUMBER('Checklist'!L119)),'Checklist'!L119+116/100000,"")</f>
        <v/>
      </c>
      <c r="B119">
        <f>IF(AND(LEN('Checklist'!C119)&gt;0,ISNUMBER('Checklist'!L119)),MAX($B$3:B118)+1,"")</f>
        <v/>
      </c>
      <c r="E119">
        <f>IFERROR(MATCH(116,$B$4:$B$503,0),"")</f>
        <v/>
      </c>
      <c r="G119">
        <f>IF('Checklist'!N119="Red",MAX($G$3:G118)+1,"")</f>
        <v/>
      </c>
    </row>
    <row r="120">
      <c r="A120">
        <f>IF(AND(LEN('Checklist'!C120)&gt;0,ISNUMBER('Checklist'!L120)),'Checklist'!L120+117/100000,"")</f>
        <v/>
      </c>
      <c r="B120">
        <f>IF(AND(LEN('Checklist'!C120)&gt;0,ISNUMBER('Checklist'!L120)),MAX($B$3:B119)+1,"")</f>
        <v/>
      </c>
      <c r="E120">
        <f>IFERROR(MATCH(117,$B$4:$B$503,0),"")</f>
        <v/>
      </c>
      <c r="G120">
        <f>IF('Checklist'!N120="Red",MAX($G$3:G119)+1,"")</f>
        <v/>
      </c>
    </row>
    <row r="121">
      <c r="A121">
        <f>IF(AND(LEN('Checklist'!C121)&gt;0,ISNUMBER('Checklist'!L121)),'Checklist'!L121+118/100000,"")</f>
        <v/>
      </c>
      <c r="B121">
        <f>IF(AND(LEN('Checklist'!C121)&gt;0,ISNUMBER('Checklist'!L121)),MAX($B$3:B120)+1,"")</f>
        <v/>
      </c>
      <c r="E121">
        <f>IFERROR(MATCH(118,$B$4:$B$503,0),"")</f>
        <v/>
      </c>
      <c r="G121">
        <f>IF('Checklist'!N121="Red",MAX($G$3:G120)+1,"")</f>
        <v/>
      </c>
    </row>
    <row r="122">
      <c r="A122">
        <f>IF(AND(LEN('Checklist'!C122)&gt;0,ISNUMBER('Checklist'!L122)),'Checklist'!L122+119/100000,"")</f>
        <v/>
      </c>
      <c r="B122">
        <f>IF(AND(LEN('Checklist'!C122)&gt;0,ISNUMBER('Checklist'!L122)),MAX($B$3:B121)+1,"")</f>
        <v/>
      </c>
      <c r="E122">
        <f>IFERROR(MATCH(119,$B$4:$B$503,0),"")</f>
        <v/>
      </c>
      <c r="G122">
        <f>IF('Checklist'!N122="Red",MAX($G$3:G121)+1,"")</f>
        <v/>
      </c>
    </row>
    <row r="123">
      <c r="A123">
        <f>IF(AND(LEN('Checklist'!C123)&gt;0,ISNUMBER('Checklist'!L123)),'Checklist'!L123+120/100000,"")</f>
        <v/>
      </c>
      <c r="B123">
        <f>IF(AND(LEN('Checklist'!C123)&gt;0,ISNUMBER('Checklist'!L123)),MAX($B$3:B122)+1,"")</f>
        <v/>
      </c>
      <c r="E123">
        <f>IFERROR(MATCH(120,$B$4:$B$503,0),"")</f>
        <v/>
      </c>
      <c r="G123">
        <f>IF('Checklist'!N123="Red",MAX($G$3:G122)+1,"")</f>
        <v/>
      </c>
    </row>
    <row r="124">
      <c r="A124">
        <f>IF(AND(LEN('Checklist'!C124)&gt;0,ISNUMBER('Checklist'!L124)),'Checklist'!L124+121/100000,"")</f>
        <v/>
      </c>
      <c r="B124">
        <f>IF(AND(LEN('Checklist'!C124)&gt;0,ISNUMBER('Checklist'!L124)),MAX($B$3:B123)+1,"")</f>
        <v/>
      </c>
      <c r="E124">
        <f>IFERROR(MATCH(121,$B$4:$B$503,0),"")</f>
        <v/>
      </c>
      <c r="G124">
        <f>IF('Checklist'!N124="Red",MAX($G$3:G123)+1,"")</f>
        <v/>
      </c>
    </row>
    <row r="125">
      <c r="A125">
        <f>IF(AND(LEN('Checklist'!C125)&gt;0,ISNUMBER('Checklist'!L125)),'Checklist'!L125+122/100000,"")</f>
        <v/>
      </c>
      <c r="B125">
        <f>IF(AND(LEN('Checklist'!C125)&gt;0,ISNUMBER('Checklist'!L125)),MAX($B$3:B124)+1,"")</f>
        <v/>
      </c>
      <c r="E125">
        <f>IFERROR(MATCH(122,$B$4:$B$503,0),"")</f>
        <v/>
      </c>
      <c r="G125">
        <f>IF('Checklist'!N125="Red",MAX($G$3:G124)+1,"")</f>
        <v/>
      </c>
    </row>
    <row r="126">
      <c r="A126">
        <f>IF(AND(LEN('Checklist'!C126)&gt;0,ISNUMBER('Checklist'!L126)),'Checklist'!L126+123/100000,"")</f>
        <v/>
      </c>
      <c r="B126">
        <f>IF(AND(LEN('Checklist'!C126)&gt;0,ISNUMBER('Checklist'!L126)),MAX($B$3:B125)+1,"")</f>
        <v/>
      </c>
      <c r="E126">
        <f>IFERROR(MATCH(123,$B$4:$B$503,0),"")</f>
        <v/>
      </c>
      <c r="G126">
        <f>IF('Checklist'!N126="Red",MAX($G$3:G125)+1,"")</f>
        <v/>
      </c>
    </row>
    <row r="127">
      <c r="A127">
        <f>IF(AND(LEN('Checklist'!C127)&gt;0,ISNUMBER('Checklist'!L127)),'Checklist'!L127+124/100000,"")</f>
        <v/>
      </c>
      <c r="B127">
        <f>IF(AND(LEN('Checklist'!C127)&gt;0,ISNUMBER('Checklist'!L127)),MAX($B$3:B126)+1,"")</f>
        <v/>
      </c>
      <c r="E127">
        <f>IFERROR(MATCH(124,$B$4:$B$503,0),"")</f>
        <v/>
      </c>
      <c r="G127">
        <f>IF('Checklist'!N127="Red",MAX($G$3:G126)+1,"")</f>
        <v/>
      </c>
    </row>
    <row r="128">
      <c r="A128">
        <f>IF(AND(LEN('Checklist'!C128)&gt;0,ISNUMBER('Checklist'!L128)),'Checklist'!L128+125/100000,"")</f>
        <v/>
      </c>
      <c r="B128">
        <f>IF(AND(LEN('Checklist'!C128)&gt;0,ISNUMBER('Checklist'!L128)),MAX($B$3:B127)+1,"")</f>
        <v/>
      </c>
      <c r="E128">
        <f>IFERROR(MATCH(125,$B$4:$B$503,0),"")</f>
        <v/>
      </c>
      <c r="G128">
        <f>IF('Checklist'!N128="Red",MAX($G$3:G127)+1,"")</f>
        <v/>
      </c>
    </row>
    <row r="129">
      <c r="A129">
        <f>IF(AND(LEN('Checklist'!C129)&gt;0,ISNUMBER('Checklist'!L129)),'Checklist'!L129+126/100000,"")</f>
        <v/>
      </c>
      <c r="B129">
        <f>IF(AND(LEN('Checklist'!C129)&gt;0,ISNUMBER('Checklist'!L129)),MAX($B$3:B128)+1,"")</f>
        <v/>
      </c>
      <c r="E129">
        <f>IFERROR(MATCH(126,$B$4:$B$503,0),"")</f>
        <v/>
      </c>
      <c r="G129">
        <f>IF('Checklist'!N129="Red",MAX($G$3:G128)+1,"")</f>
        <v/>
      </c>
    </row>
    <row r="130">
      <c r="A130">
        <f>IF(AND(LEN('Checklist'!C130)&gt;0,ISNUMBER('Checklist'!L130)),'Checklist'!L130+127/100000,"")</f>
        <v/>
      </c>
      <c r="B130">
        <f>IF(AND(LEN('Checklist'!C130)&gt;0,ISNUMBER('Checklist'!L130)),MAX($B$3:B129)+1,"")</f>
        <v/>
      </c>
      <c r="E130">
        <f>IFERROR(MATCH(127,$B$4:$B$503,0),"")</f>
        <v/>
      </c>
      <c r="G130">
        <f>IF('Checklist'!N130="Red",MAX($G$3:G129)+1,"")</f>
        <v/>
      </c>
    </row>
    <row r="131">
      <c r="A131">
        <f>IF(AND(LEN('Checklist'!C131)&gt;0,ISNUMBER('Checklist'!L131)),'Checklist'!L131+128/100000,"")</f>
        <v/>
      </c>
      <c r="B131">
        <f>IF(AND(LEN('Checklist'!C131)&gt;0,ISNUMBER('Checklist'!L131)),MAX($B$3:B130)+1,"")</f>
        <v/>
      </c>
      <c r="E131">
        <f>IFERROR(MATCH(128,$B$4:$B$503,0),"")</f>
        <v/>
      </c>
      <c r="G131">
        <f>IF('Checklist'!N131="Red",MAX($G$3:G130)+1,"")</f>
        <v/>
      </c>
    </row>
    <row r="132">
      <c r="A132">
        <f>IF(AND(LEN('Checklist'!C132)&gt;0,ISNUMBER('Checklist'!L132)),'Checklist'!L132+129/100000,"")</f>
        <v/>
      </c>
      <c r="B132">
        <f>IF(AND(LEN('Checklist'!C132)&gt;0,ISNUMBER('Checklist'!L132)),MAX($B$3:B131)+1,"")</f>
        <v/>
      </c>
      <c r="E132">
        <f>IFERROR(MATCH(129,$B$4:$B$503,0),"")</f>
        <v/>
      </c>
      <c r="G132">
        <f>IF('Checklist'!N132="Red",MAX($G$3:G131)+1,"")</f>
        <v/>
      </c>
    </row>
    <row r="133">
      <c r="A133">
        <f>IF(AND(LEN('Checklist'!C133)&gt;0,ISNUMBER('Checklist'!L133)),'Checklist'!L133+130/100000,"")</f>
        <v/>
      </c>
      <c r="B133">
        <f>IF(AND(LEN('Checklist'!C133)&gt;0,ISNUMBER('Checklist'!L133)),MAX($B$3:B132)+1,"")</f>
        <v/>
      </c>
      <c r="E133">
        <f>IFERROR(MATCH(130,$B$4:$B$503,0),"")</f>
        <v/>
      </c>
      <c r="G133">
        <f>IF('Checklist'!N133="Red",MAX($G$3:G132)+1,"")</f>
        <v/>
      </c>
    </row>
    <row r="134">
      <c r="A134">
        <f>IF(AND(LEN('Checklist'!C134)&gt;0,ISNUMBER('Checklist'!L134)),'Checklist'!L134+131/100000,"")</f>
        <v/>
      </c>
      <c r="B134">
        <f>IF(AND(LEN('Checklist'!C134)&gt;0,ISNUMBER('Checklist'!L134)),MAX($B$3:B133)+1,"")</f>
        <v/>
      </c>
      <c r="E134">
        <f>IFERROR(MATCH(131,$B$4:$B$503,0),"")</f>
        <v/>
      </c>
      <c r="G134">
        <f>IF('Checklist'!N134="Red",MAX($G$3:G133)+1,"")</f>
        <v/>
      </c>
    </row>
    <row r="135">
      <c r="A135">
        <f>IF(AND(LEN('Checklist'!C135)&gt;0,ISNUMBER('Checklist'!L135)),'Checklist'!L135+132/100000,"")</f>
        <v/>
      </c>
      <c r="B135">
        <f>IF(AND(LEN('Checklist'!C135)&gt;0,ISNUMBER('Checklist'!L135)),MAX($B$3:B134)+1,"")</f>
        <v/>
      </c>
      <c r="E135">
        <f>IFERROR(MATCH(132,$B$4:$B$503,0),"")</f>
        <v/>
      </c>
      <c r="G135">
        <f>IF('Checklist'!N135="Red",MAX($G$3:G134)+1,"")</f>
        <v/>
      </c>
    </row>
    <row r="136">
      <c r="A136">
        <f>IF(AND(LEN('Checklist'!C136)&gt;0,ISNUMBER('Checklist'!L136)),'Checklist'!L136+133/100000,"")</f>
        <v/>
      </c>
      <c r="B136">
        <f>IF(AND(LEN('Checklist'!C136)&gt;0,ISNUMBER('Checklist'!L136)),MAX($B$3:B135)+1,"")</f>
        <v/>
      </c>
      <c r="E136">
        <f>IFERROR(MATCH(133,$B$4:$B$503,0),"")</f>
        <v/>
      </c>
      <c r="G136">
        <f>IF('Checklist'!N136="Red",MAX($G$3:G135)+1,"")</f>
        <v/>
      </c>
    </row>
    <row r="137">
      <c r="A137">
        <f>IF(AND(LEN('Checklist'!C137)&gt;0,ISNUMBER('Checklist'!L137)),'Checklist'!L137+134/100000,"")</f>
        <v/>
      </c>
      <c r="B137">
        <f>IF(AND(LEN('Checklist'!C137)&gt;0,ISNUMBER('Checklist'!L137)),MAX($B$3:B136)+1,"")</f>
        <v/>
      </c>
      <c r="E137">
        <f>IFERROR(MATCH(134,$B$4:$B$503,0),"")</f>
        <v/>
      </c>
      <c r="G137">
        <f>IF('Checklist'!N137="Red",MAX($G$3:G136)+1,"")</f>
        <v/>
      </c>
    </row>
    <row r="138">
      <c r="A138">
        <f>IF(AND(LEN('Checklist'!C138)&gt;0,ISNUMBER('Checklist'!L138)),'Checklist'!L138+135/100000,"")</f>
        <v/>
      </c>
      <c r="B138">
        <f>IF(AND(LEN('Checklist'!C138)&gt;0,ISNUMBER('Checklist'!L138)),MAX($B$3:B137)+1,"")</f>
        <v/>
      </c>
      <c r="E138">
        <f>IFERROR(MATCH(135,$B$4:$B$503,0),"")</f>
        <v/>
      </c>
      <c r="G138">
        <f>IF('Checklist'!N138="Red",MAX($G$3:G137)+1,"")</f>
        <v/>
      </c>
    </row>
    <row r="139">
      <c r="A139">
        <f>IF(AND(LEN('Checklist'!C139)&gt;0,ISNUMBER('Checklist'!L139)),'Checklist'!L139+136/100000,"")</f>
        <v/>
      </c>
      <c r="B139">
        <f>IF(AND(LEN('Checklist'!C139)&gt;0,ISNUMBER('Checklist'!L139)),MAX($B$3:B138)+1,"")</f>
        <v/>
      </c>
      <c r="E139">
        <f>IFERROR(MATCH(136,$B$4:$B$503,0),"")</f>
        <v/>
      </c>
      <c r="G139">
        <f>IF('Checklist'!N139="Red",MAX($G$3:G138)+1,"")</f>
        <v/>
      </c>
    </row>
    <row r="140">
      <c r="A140">
        <f>IF(AND(LEN('Checklist'!C140)&gt;0,ISNUMBER('Checklist'!L140)),'Checklist'!L140+137/100000,"")</f>
        <v/>
      </c>
      <c r="B140">
        <f>IF(AND(LEN('Checklist'!C140)&gt;0,ISNUMBER('Checklist'!L140)),MAX($B$3:B139)+1,"")</f>
        <v/>
      </c>
      <c r="E140">
        <f>IFERROR(MATCH(137,$B$4:$B$503,0),"")</f>
        <v/>
      </c>
      <c r="G140">
        <f>IF('Checklist'!N140="Red",MAX($G$3:G139)+1,"")</f>
        <v/>
      </c>
    </row>
    <row r="141">
      <c r="A141">
        <f>IF(AND(LEN('Checklist'!C141)&gt;0,ISNUMBER('Checklist'!L141)),'Checklist'!L141+138/100000,"")</f>
        <v/>
      </c>
      <c r="B141">
        <f>IF(AND(LEN('Checklist'!C141)&gt;0,ISNUMBER('Checklist'!L141)),MAX($B$3:B140)+1,"")</f>
        <v/>
      </c>
      <c r="E141">
        <f>IFERROR(MATCH(138,$B$4:$B$503,0),"")</f>
        <v/>
      </c>
      <c r="G141">
        <f>IF('Checklist'!N141="Red",MAX($G$3:G140)+1,"")</f>
        <v/>
      </c>
    </row>
    <row r="142">
      <c r="A142">
        <f>IF(AND(LEN('Checklist'!C142)&gt;0,ISNUMBER('Checklist'!L142)),'Checklist'!L142+139/100000,"")</f>
        <v/>
      </c>
      <c r="B142">
        <f>IF(AND(LEN('Checklist'!C142)&gt;0,ISNUMBER('Checklist'!L142)),MAX($B$3:B141)+1,"")</f>
        <v/>
      </c>
      <c r="E142">
        <f>IFERROR(MATCH(139,$B$4:$B$503,0),"")</f>
        <v/>
      </c>
      <c r="G142">
        <f>IF('Checklist'!N142="Red",MAX($G$3:G141)+1,"")</f>
        <v/>
      </c>
    </row>
    <row r="143">
      <c r="A143">
        <f>IF(AND(LEN('Checklist'!C143)&gt;0,ISNUMBER('Checklist'!L143)),'Checklist'!L143+140/100000,"")</f>
        <v/>
      </c>
      <c r="B143">
        <f>IF(AND(LEN('Checklist'!C143)&gt;0,ISNUMBER('Checklist'!L143)),MAX($B$3:B142)+1,"")</f>
        <v/>
      </c>
      <c r="E143">
        <f>IFERROR(MATCH(140,$B$4:$B$503,0),"")</f>
        <v/>
      </c>
      <c r="G143">
        <f>IF('Checklist'!N143="Red",MAX($G$3:G142)+1,"")</f>
        <v/>
      </c>
    </row>
    <row r="144">
      <c r="A144">
        <f>IF(AND(LEN('Checklist'!C144)&gt;0,ISNUMBER('Checklist'!L144)),'Checklist'!L144+141/100000,"")</f>
        <v/>
      </c>
      <c r="B144">
        <f>IF(AND(LEN('Checklist'!C144)&gt;0,ISNUMBER('Checklist'!L144)),MAX($B$3:B143)+1,"")</f>
        <v/>
      </c>
      <c r="E144">
        <f>IFERROR(MATCH(141,$B$4:$B$503,0),"")</f>
        <v/>
      </c>
      <c r="G144">
        <f>IF('Checklist'!N144="Red",MAX($G$3:G143)+1,"")</f>
        <v/>
      </c>
    </row>
    <row r="145">
      <c r="A145">
        <f>IF(AND(LEN('Checklist'!C145)&gt;0,ISNUMBER('Checklist'!L145)),'Checklist'!L145+142/100000,"")</f>
        <v/>
      </c>
      <c r="B145">
        <f>IF(AND(LEN('Checklist'!C145)&gt;0,ISNUMBER('Checklist'!L145)),MAX($B$3:B144)+1,"")</f>
        <v/>
      </c>
      <c r="E145">
        <f>IFERROR(MATCH(142,$B$4:$B$503,0),"")</f>
        <v/>
      </c>
      <c r="G145">
        <f>IF('Checklist'!N145="Red",MAX($G$3:G144)+1,"")</f>
        <v/>
      </c>
    </row>
    <row r="146">
      <c r="A146">
        <f>IF(AND(LEN('Checklist'!C146)&gt;0,ISNUMBER('Checklist'!L146)),'Checklist'!L146+143/100000,"")</f>
        <v/>
      </c>
      <c r="B146">
        <f>IF(AND(LEN('Checklist'!C146)&gt;0,ISNUMBER('Checklist'!L146)),MAX($B$3:B145)+1,"")</f>
        <v/>
      </c>
      <c r="E146">
        <f>IFERROR(MATCH(143,$B$4:$B$503,0),"")</f>
        <v/>
      </c>
      <c r="G146">
        <f>IF('Checklist'!N146="Red",MAX($G$3:G145)+1,"")</f>
        <v/>
      </c>
    </row>
    <row r="147">
      <c r="A147">
        <f>IF(AND(LEN('Checklist'!C147)&gt;0,ISNUMBER('Checklist'!L147)),'Checklist'!L147+144/100000,"")</f>
        <v/>
      </c>
      <c r="B147">
        <f>IF(AND(LEN('Checklist'!C147)&gt;0,ISNUMBER('Checklist'!L147)),MAX($B$3:B146)+1,"")</f>
        <v/>
      </c>
      <c r="E147">
        <f>IFERROR(MATCH(144,$B$4:$B$503,0),"")</f>
        <v/>
      </c>
      <c r="G147">
        <f>IF('Checklist'!N147="Red",MAX($G$3:G146)+1,"")</f>
        <v/>
      </c>
    </row>
    <row r="148">
      <c r="A148">
        <f>IF(AND(LEN('Checklist'!C148)&gt;0,ISNUMBER('Checklist'!L148)),'Checklist'!L148+145/100000,"")</f>
        <v/>
      </c>
      <c r="B148">
        <f>IF(AND(LEN('Checklist'!C148)&gt;0,ISNUMBER('Checklist'!L148)),MAX($B$3:B147)+1,"")</f>
        <v/>
      </c>
      <c r="E148">
        <f>IFERROR(MATCH(145,$B$4:$B$503,0),"")</f>
        <v/>
      </c>
      <c r="G148">
        <f>IF('Checklist'!N148="Red",MAX($G$3:G147)+1,"")</f>
        <v/>
      </c>
    </row>
    <row r="149">
      <c r="A149">
        <f>IF(AND(LEN('Checklist'!C149)&gt;0,ISNUMBER('Checklist'!L149)),'Checklist'!L149+146/100000,"")</f>
        <v/>
      </c>
      <c r="B149">
        <f>IF(AND(LEN('Checklist'!C149)&gt;0,ISNUMBER('Checklist'!L149)),MAX($B$3:B148)+1,"")</f>
        <v/>
      </c>
      <c r="E149">
        <f>IFERROR(MATCH(146,$B$4:$B$503,0),"")</f>
        <v/>
      </c>
      <c r="G149">
        <f>IF('Checklist'!N149="Red",MAX($G$3:G148)+1,"")</f>
        <v/>
      </c>
    </row>
    <row r="150">
      <c r="A150">
        <f>IF(AND(LEN('Checklist'!C150)&gt;0,ISNUMBER('Checklist'!L150)),'Checklist'!L150+147/100000,"")</f>
        <v/>
      </c>
      <c r="B150">
        <f>IF(AND(LEN('Checklist'!C150)&gt;0,ISNUMBER('Checklist'!L150)),MAX($B$3:B149)+1,"")</f>
        <v/>
      </c>
      <c r="E150">
        <f>IFERROR(MATCH(147,$B$4:$B$503,0),"")</f>
        <v/>
      </c>
      <c r="G150">
        <f>IF('Checklist'!N150="Red",MAX($G$3:G149)+1,"")</f>
        <v/>
      </c>
    </row>
    <row r="151">
      <c r="A151">
        <f>IF(AND(LEN('Checklist'!C151)&gt;0,ISNUMBER('Checklist'!L151)),'Checklist'!L151+148/100000,"")</f>
        <v/>
      </c>
      <c r="B151">
        <f>IF(AND(LEN('Checklist'!C151)&gt;0,ISNUMBER('Checklist'!L151)),MAX($B$3:B150)+1,"")</f>
        <v/>
      </c>
      <c r="E151">
        <f>IFERROR(MATCH(148,$B$4:$B$503,0),"")</f>
        <v/>
      </c>
      <c r="G151">
        <f>IF('Checklist'!N151="Red",MAX($G$3:G150)+1,"")</f>
        <v/>
      </c>
    </row>
    <row r="152">
      <c r="A152">
        <f>IF(AND(LEN('Checklist'!C152)&gt;0,ISNUMBER('Checklist'!L152)),'Checklist'!L152+149/100000,"")</f>
        <v/>
      </c>
      <c r="B152">
        <f>IF(AND(LEN('Checklist'!C152)&gt;0,ISNUMBER('Checklist'!L152)),MAX($B$3:B151)+1,"")</f>
        <v/>
      </c>
      <c r="E152">
        <f>IFERROR(MATCH(149,$B$4:$B$503,0),"")</f>
        <v/>
      </c>
      <c r="G152">
        <f>IF('Checklist'!N152="Red",MAX($G$3:G151)+1,"")</f>
        <v/>
      </c>
    </row>
    <row r="153">
      <c r="A153">
        <f>IF(AND(LEN('Checklist'!C153)&gt;0,ISNUMBER('Checklist'!L153)),'Checklist'!L153+150/100000,"")</f>
        <v/>
      </c>
      <c r="B153">
        <f>IF(AND(LEN('Checklist'!C153)&gt;0,ISNUMBER('Checklist'!L153)),MAX($B$3:B152)+1,"")</f>
        <v/>
      </c>
      <c r="E153">
        <f>IFERROR(MATCH(150,$B$4:$B$503,0),"")</f>
        <v/>
      </c>
      <c r="G153">
        <f>IF('Checklist'!N153="Red",MAX($G$3:G152)+1,"")</f>
        <v/>
      </c>
    </row>
    <row r="154">
      <c r="A154">
        <f>IF(AND(LEN('Checklist'!C154)&gt;0,ISNUMBER('Checklist'!L154)),'Checklist'!L154+151/100000,"")</f>
        <v/>
      </c>
      <c r="B154">
        <f>IF(AND(LEN('Checklist'!C154)&gt;0,ISNUMBER('Checklist'!L154)),MAX($B$3:B153)+1,"")</f>
        <v/>
      </c>
      <c r="E154">
        <f>IFERROR(MATCH(151,$B$4:$B$503,0),"")</f>
        <v/>
      </c>
      <c r="G154">
        <f>IF('Checklist'!N154="Red",MAX($G$3:G153)+1,"")</f>
        <v/>
      </c>
    </row>
    <row r="155">
      <c r="A155">
        <f>IF(AND(LEN('Checklist'!C155)&gt;0,ISNUMBER('Checklist'!L155)),'Checklist'!L155+152/100000,"")</f>
        <v/>
      </c>
      <c r="B155">
        <f>IF(AND(LEN('Checklist'!C155)&gt;0,ISNUMBER('Checklist'!L155)),MAX($B$3:B154)+1,"")</f>
        <v/>
      </c>
      <c r="E155">
        <f>IFERROR(MATCH(152,$B$4:$B$503,0),"")</f>
        <v/>
      </c>
      <c r="G155">
        <f>IF('Checklist'!N155="Red",MAX($G$3:G154)+1,"")</f>
        <v/>
      </c>
    </row>
    <row r="156">
      <c r="A156">
        <f>IF(AND(LEN('Checklist'!C156)&gt;0,ISNUMBER('Checklist'!L156)),'Checklist'!L156+153/100000,"")</f>
        <v/>
      </c>
      <c r="B156">
        <f>IF(AND(LEN('Checklist'!C156)&gt;0,ISNUMBER('Checklist'!L156)),MAX($B$3:B155)+1,"")</f>
        <v/>
      </c>
      <c r="E156">
        <f>IFERROR(MATCH(153,$B$4:$B$503,0),"")</f>
        <v/>
      </c>
      <c r="G156">
        <f>IF('Checklist'!N156="Red",MAX($G$3:G155)+1,"")</f>
        <v/>
      </c>
    </row>
    <row r="157">
      <c r="A157">
        <f>IF(AND(LEN('Checklist'!C157)&gt;0,ISNUMBER('Checklist'!L157)),'Checklist'!L157+154/100000,"")</f>
        <v/>
      </c>
      <c r="B157">
        <f>IF(AND(LEN('Checklist'!C157)&gt;0,ISNUMBER('Checklist'!L157)),MAX($B$3:B156)+1,"")</f>
        <v/>
      </c>
      <c r="E157">
        <f>IFERROR(MATCH(154,$B$4:$B$503,0),"")</f>
        <v/>
      </c>
      <c r="G157">
        <f>IF('Checklist'!N157="Red",MAX($G$3:G156)+1,"")</f>
        <v/>
      </c>
    </row>
    <row r="158">
      <c r="A158">
        <f>IF(AND(LEN('Checklist'!C158)&gt;0,ISNUMBER('Checklist'!L158)),'Checklist'!L158+155/100000,"")</f>
        <v/>
      </c>
      <c r="B158">
        <f>IF(AND(LEN('Checklist'!C158)&gt;0,ISNUMBER('Checklist'!L158)),MAX($B$3:B157)+1,"")</f>
        <v/>
      </c>
      <c r="E158">
        <f>IFERROR(MATCH(155,$B$4:$B$503,0),"")</f>
        <v/>
      </c>
      <c r="G158">
        <f>IF('Checklist'!N158="Red",MAX($G$3:G157)+1,"")</f>
        <v/>
      </c>
    </row>
    <row r="159">
      <c r="A159">
        <f>IF(AND(LEN('Checklist'!C159)&gt;0,ISNUMBER('Checklist'!L159)),'Checklist'!L159+156/100000,"")</f>
        <v/>
      </c>
      <c r="B159">
        <f>IF(AND(LEN('Checklist'!C159)&gt;0,ISNUMBER('Checklist'!L159)),MAX($B$3:B158)+1,"")</f>
        <v/>
      </c>
      <c r="E159">
        <f>IFERROR(MATCH(156,$B$4:$B$503,0),"")</f>
        <v/>
      </c>
      <c r="G159">
        <f>IF('Checklist'!N159="Red",MAX($G$3:G158)+1,"")</f>
        <v/>
      </c>
    </row>
    <row r="160">
      <c r="A160">
        <f>IF(AND(LEN('Checklist'!C160)&gt;0,ISNUMBER('Checklist'!L160)),'Checklist'!L160+157/100000,"")</f>
        <v/>
      </c>
      <c r="B160">
        <f>IF(AND(LEN('Checklist'!C160)&gt;0,ISNUMBER('Checklist'!L160)),MAX($B$3:B159)+1,"")</f>
        <v/>
      </c>
      <c r="E160">
        <f>IFERROR(MATCH(157,$B$4:$B$503,0),"")</f>
        <v/>
      </c>
      <c r="G160">
        <f>IF('Checklist'!N160="Red",MAX($G$3:G159)+1,"")</f>
        <v/>
      </c>
    </row>
    <row r="161">
      <c r="A161">
        <f>IF(AND(LEN('Checklist'!C161)&gt;0,ISNUMBER('Checklist'!L161)),'Checklist'!L161+158/100000,"")</f>
        <v/>
      </c>
      <c r="B161">
        <f>IF(AND(LEN('Checklist'!C161)&gt;0,ISNUMBER('Checklist'!L161)),MAX($B$3:B160)+1,"")</f>
        <v/>
      </c>
      <c r="E161">
        <f>IFERROR(MATCH(158,$B$4:$B$503,0),"")</f>
        <v/>
      </c>
      <c r="G161">
        <f>IF('Checklist'!N161="Red",MAX($G$3:G160)+1,"")</f>
        <v/>
      </c>
    </row>
    <row r="162">
      <c r="A162">
        <f>IF(AND(LEN('Checklist'!C162)&gt;0,ISNUMBER('Checklist'!L162)),'Checklist'!L162+159/100000,"")</f>
        <v/>
      </c>
      <c r="B162">
        <f>IF(AND(LEN('Checklist'!C162)&gt;0,ISNUMBER('Checklist'!L162)),MAX($B$3:B161)+1,"")</f>
        <v/>
      </c>
      <c r="E162">
        <f>IFERROR(MATCH(159,$B$4:$B$503,0),"")</f>
        <v/>
      </c>
      <c r="G162">
        <f>IF('Checklist'!N162="Red",MAX($G$3:G161)+1,"")</f>
        <v/>
      </c>
    </row>
    <row r="163">
      <c r="A163">
        <f>IF(AND(LEN('Checklist'!C163)&gt;0,ISNUMBER('Checklist'!L163)),'Checklist'!L163+160/100000,"")</f>
        <v/>
      </c>
      <c r="B163">
        <f>IF(AND(LEN('Checklist'!C163)&gt;0,ISNUMBER('Checklist'!L163)),MAX($B$3:B162)+1,"")</f>
        <v/>
      </c>
      <c r="E163">
        <f>IFERROR(MATCH(160,$B$4:$B$503,0),"")</f>
        <v/>
      </c>
      <c r="G163">
        <f>IF('Checklist'!N163="Red",MAX($G$3:G162)+1,"")</f>
        <v/>
      </c>
    </row>
    <row r="164">
      <c r="A164">
        <f>IF(AND(LEN('Checklist'!C164)&gt;0,ISNUMBER('Checklist'!L164)),'Checklist'!L164+161/100000,"")</f>
        <v/>
      </c>
      <c r="B164">
        <f>IF(AND(LEN('Checklist'!C164)&gt;0,ISNUMBER('Checklist'!L164)),MAX($B$3:B163)+1,"")</f>
        <v/>
      </c>
      <c r="E164">
        <f>IFERROR(MATCH(161,$B$4:$B$503,0),"")</f>
        <v/>
      </c>
      <c r="G164">
        <f>IF('Checklist'!N164="Red",MAX($G$3:G163)+1,"")</f>
        <v/>
      </c>
    </row>
    <row r="165">
      <c r="A165">
        <f>IF(AND(LEN('Checklist'!C165)&gt;0,ISNUMBER('Checklist'!L165)),'Checklist'!L165+162/100000,"")</f>
        <v/>
      </c>
      <c r="B165">
        <f>IF(AND(LEN('Checklist'!C165)&gt;0,ISNUMBER('Checklist'!L165)),MAX($B$3:B164)+1,"")</f>
        <v/>
      </c>
      <c r="E165">
        <f>IFERROR(MATCH(162,$B$4:$B$503,0),"")</f>
        <v/>
      </c>
      <c r="G165">
        <f>IF('Checklist'!N165="Red",MAX($G$3:G164)+1,"")</f>
        <v/>
      </c>
    </row>
    <row r="166">
      <c r="A166">
        <f>IF(AND(LEN('Checklist'!C166)&gt;0,ISNUMBER('Checklist'!L166)),'Checklist'!L166+163/100000,"")</f>
        <v/>
      </c>
      <c r="B166">
        <f>IF(AND(LEN('Checklist'!C166)&gt;0,ISNUMBER('Checklist'!L166)),MAX($B$3:B165)+1,"")</f>
        <v/>
      </c>
      <c r="E166">
        <f>IFERROR(MATCH(163,$B$4:$B$503,0),"")</f>
        <v/>
      </c>
      <c r="G166">
        <f>IF('Checklist'!N166="Red",MAX($G$3:G165)+1,"")</f>
        <v/>
      </c>
    </row>
    <row r="167">
      <c r="A167">
        <f>IF(AND(LEN('Checklist'!C167)&gt;0,ISNUMBER('Checklist'!L167)),'Checklist'!L167+164/100000,"")</f>
        <v/>
      </c>
      <c r="B167">
        <f>IF(AND(LEN('Checklist'!C167)&gt;0,ISNUMBER('Checklist'!L167)),MAX($B$3:B166)+1,"")</f>
        <v/>
      </c>
      <c r="E167">
        <f>IFERROR(MATCH(164,$B$4:$B$503,0),"")</f>
        <v/>
      </c>
      <c r="G167">
        <f>IF('Checklist'!N167="Red",MAX($G$3:G166)+1,"")</f>
        <v/>
      </c>
    </row>
    <row r="168">
      <c r="A168">
        <f>IF(AND(LEN('Checklist'!C168)&gt;0,ISNUMBER('Checklist'!L168)),'Checklist'!L168+165/100000,"")</f>
        <v/>
      </c>
      <c r="B168">
        <f>IF(AND(LEN('Checklist'!C168)&gt;0,ISNUMBER('Checklist'!L168)),MAX($B$3:B167)+1,"")</f>
        <v/>
      </c>
      <c r="E168">
        <f>IFERROR(MATCH(165,$B$4:$B$503,0),"")</f>
        <v/>
      </c>
      <c r="G168">
        <f>IF('Checklist'!N168="Red",MAX($G$3:G167)+1,"")</f>
        <v/>
      </c>
    </row>
    <row r="169">
      <c r="A169">
        <f>IF(AND(LEN('Checklist'!C169)&gt;0,ISNUMBER('Checklist'!L169)),'Checklist'!L169+166/100000,"")</f>
        <v/>
      </c>
      <c r="B169">
        <f>IF(AND(LEN('Checklist'!C169)&gt;0,ISNUMBER('Checklist'!L169)),MAX($B$3:B168)+1,"")</f>
        <v/>
      </c>
      <c r="E169">
        <f>IFERROR(MATCH(166,$B$4:$B$503,0),"")</f>
        <v/>
      </c>
      <c r="G169">
        <f>IF('Checklist'!N169="Red",MAX($G$3:G168)+1,"")</f>
        <v/>
      </c>
    </row>
    <row r="170">
      <c r="A170">
        <f>IF(AND(LEN('Checklist'!C170)&gt;0,ISNUMBER('Checklist'!L170)),'Checklist'!L170+167/100000,"")</f>
        <v/>
      </c>
      <c r="B170">
        <f>IF(AND(LEN('Checklist'!C170)&gt;0,ISNUMBER('Checklist'!L170)),MAX($B$3:B169)+1,"")</f>
        <v/>
      </c>
      <c r="E170">
        <f>IFERROR(MATCH(167,$B$4:$B$503,0),"")</f>
        <v/>
      </c>
      <c r="G170">
        <f>IF('Checklist'!N170="Red",MAX($G$3:G169)+1,"")</f>
        <v/>
      </c>
    </row>
    <row r="171">
      <c r="A171">
        <f>IF(AND(LEN('Checklist'!C171)&gt;0,ISNUMBER('Checklist'!L171)),'Checklist'!L171+168/100000,"")</f>
        <v/>
      </c>
      <c r="B171">
        <f>IF(AND(LEN('Checklist'!C171)&gt;0,ISNUMBER('Checklist'!L171)),MAX($B$3:B170)+1,"")</f>
        <v/>
      </c>
      <c r="E171">
        <f>IFERROR(MATCH(168,$B$4:$B$503,0),"")</f>
        <v/>
      </c>
      <c r="G171">
        <f>IF('Checklist'!N171="Red",MAX($G$3:G170)+1,"")</f>
        <v/>
      </c>
    </row>
    <row r="172">
      <c r="A172">
        <f>IF(AND(LEN('Checklist'!C172)&gt;0,ISNUMBER('Checklist'!L172)),'Checklist'!L172+169/100000,"")</f>
        <v/>
      </c>
      <c r="B172">
        <f>IF(AND(LEN('Checklist'!C172)&gt;0,ISNUMBER('Checklist'!L172)),MAX($B$3:B171)+1,"")</f>
        <v/>
      </c>
      <c r="E172">
        <f>IFERROR(MATCH(169,$B$4:$B$503,0),"")</f>
        <v/>
      </c>
      <c r="G172">
        <f>IF('Checklist'!N172="Red",MAX($G$3:G171)+1,"")</f>
        <v/>
      </c>
    </row>
    <row r="173">
      <c r="A173">
        <f>IF(AND(LEN('Checklist'!C173)&gt;0,ISNUMBER('Checklist'!L173)),'Checklist'!L173+170/100000,"")</f>
        <v/>
      </c>
      <c r="B173">
        <f>IF(AND(LEN('Checklist'!C173)&gt;0,ISNUMBER('Checklist'!L173)),MAX($B$3:B172)+1,"")</f>
        <v/>
      </c>
      <c r="E173">
        <f>IFERROR(MATCH(170,$B$4:$B$503,0),"")</f>
        <v/>
      </c>
      <c r="G173">
        <f>IF('Checklist'!N173="Red",MAX($G$3:G172)+1,"")</f>
        <v/>
      </c>
    </row>
    <row r="174">
      <c r="A174">
        <f>IF(AND(LEN('Checklist'!C174)&gt;0,ISNUMBER('Checklist'!L174)),'Checklist'!L174+171/100000,"")</f>
        <v/>
      </c>
      <c r="B174">
        <f>IF(AND(LEN('Checklist'!C174)&gt;0,ISNUMBER('Checklist'!L174)),MAX($B$3:B173)+1,"")</f>
        <v/>
      </c>
      <c r="E174">
        <f>IFERROR(MATCH(171,$B$4:$B$503,0),"")</f>
        <v/>
      </c>
      <c r="G174">
        <f>IF('Checklist'!N174="Red",MAX($G$3:G173)+1,"")</f>
        <v/>
      </c>
    </row>
    <row r="175">
      <c r="A175">
        <f>IF(AND(LEN('Checklist'!C175)&gt;0,ISNUMBER('Checklist'!L175)),'Checklist'!L175+172/100000,"")</f>
        <v/>
      </c>
      <c r="B175">
        <f>IF(AND(LEN('Checklist'!C175)&gt;0,ISNUMBER('Checklist'!L175)),MAX($B$3:B174)+1,"")</f>
        <v/>
      </c>
      <c r="E175">
        <f>IFERROR(MATCH(172,$B$4:$B$503,0),"")</f>
        <v/>
      </c>
      <c r="G175">
        <f>IF('Checklist'!N175="Red",MAX($G$3:G174)+1,"")</f>
        <v/>
      </c>
    </row>
    <row r="176">
      <c r="A176">
        <f>IF(AND(LEN('Checklist'!C176)&gt;0,ISNUMBER('Checklist'!L176)),'Checklist'!L176+173/100000,"")</f>
        <v/>
      </c>
      <c r="B176">
        <f>IF(AND(LEN('Checklist'!C176)&gt;0,ISNUMBER('Checklist'!L176)),MAX($B$3:B175)+1,"")</f>
        <v/>
      </c>
      <c r="E176">
        <f>IFERROR(MATCH(173,$B$4:$B$503,0),"")</f>
        <v/>
      </c>
      <c r="G176">
        <f>IF('Checklist'!N176="Red",MAX($G$3:G175)+1,"")</f>
        <v/>
      </c>
    </row>
    <row r="177">
      <c r="A177">
        <f>IF(AND(LEN('Checklist'!C177)&gt;0,ISNUMBER('Checklist'!L177)),'Checklist'!L177+174/100000,"")</f>
        <v/>
      </c>
      <c r="B177">
        <f>IF(AND(LEN('Checklist'!C177)&gt;0,ISNUMBER('Checklist'!L177)),MAX($B$3:B176)+1,"")</f>
        <v/>
      </c>
      <c r="E177">
        <f>IFERROR(MATCH(174,$B$4:$B$503,0),"")</f>
        <v/>
      </c>
      <c r="G177">
        <f>IF('Checklist'!N177="Red",MAX($G$3:G176)+1,"")</f>
        <v/>
      </c>
    </row>
    <row r="178">
      <c r="A178">
        <f>IF(AND(LEN('Checklist'!C178)&gt;0,ISNUMBER('Checklist'!L178)),'Checklist'!L178+175/100000,"")</f>
        <v/>
      </c>
      <c r="B178">
        <f>IF(AND(LEN('Checklist'!C178)&gt;0,ISNUMBER('Checklist'!L178)),MAX($B$3:B177)+1,"")</f>
        <v/>
      </c>
      <c r="E178">
        <f>IFERROR(MATCH(175,$B$4:$B$503,0),"")</f>
        <v/>
      </c>
      <c r="G178">
        <f>IF('Checklist'!N178="Red",MAX($G$3:G177)+1,"")</f>
        <v/>
      </c>
    </row>
    <row r="179">
      <c r="A179">
        <f>IF(AND(LEN('Checklist'!C179)&gt;0,ISNUMBER('Checklist'!L179)),'Checklist'!L179+176/100000,"")</f>
        <v/>
      </c>
      <c r="B179">
        <f>IF(AND(LEN('Checklist'!C179)&gt;0,ISNUMBER('Checklist'!L179)),MAX($B$3:B178)+1,"")</f>
        <v/>
      </c>
      <c r="E179">
        <f>IFERROR(MATCH(176,$B$4:$B$503,0),"")</f>
        <v/>
      </c>
      <c r="G179">
        <f>IF('Checklist'!N179="Red",MAX($G$3:G178)+1,"")</f>
        <v/>
      </c>
    </row>
    <row r="180">
      <c r="A180">
        <f>IF(AND(LEN('Checklist'!C180)&gt;0,ISNUMBER('Checklist'!L180)),'Checklist'!L180+177/100000,"")</f>
        <v/>
      </c>
      <c r="B180">
        <f>IF(AND(LEN('Checklist'!C180)&gt;0,ISNUMBER('Checklist'!L180)),MAX($B$3:B179)+1,"")</f>
        <v/>
      </c>
      <c r="E180">
        <f>IFERROR(MATCH(177,$B$4:$B$503,0),"")</f>
        <v/>
      </c>
      <c r="G180">
        <f>IF('Checklist'!N180="Red",MAX($G$3:G179)+1,"")</f>
        <v/>
      </c>
    </row>
    <row r="181">
      <c r="A181">
        <f>IF(AND(LEN('Checklist'!C181)&gt;0,ISNUMBER('Checklist'!L181)),'Checklist'!L181+178/100000,"")</f>
        <v/>
      </c>
      <c r="B181">
        <f>IF(AND(LEN('Checklist'!C181)&gt;0,ISNUMBER('Checklist'!L181)),MAX($B$3:B180)+1,"")</f>
        <v/>
      </c>
      <c r="E181">
        <f>IFERROR(MATCH(178,$B$4:$B$503,0),"")</f>
        <v/>
      </c>
      <c r="G181">
        <f>IF('Checklist'!N181="Red",MAX($G$3:G180)+1,"")</f>
        <v/>
      </c>
    </row>
    <row r="182">
      <c r="A182">
        <f>IF(AND(LEN('Checklist'!C182)&gt;0,ISNUMBER('Checklist'!L182)),'Checklist'!L182+179/100000,"")</f>
        <v/>
      </c>
      <c r="B182">
        <f>IF(AND(LEN('Checklist'!C182)&gt;0,ISNUMBER('Checklist'!L182)),MAX($B$3:B181)+1,"")</f>
        <v/>
      </c>
      <c r="E182">
        <f>IFERROR(MATCH(179,$B$4:$B$503,0),"")</f>
        <v/>
      </c>
      <c r="G182">
        <f>IF('Checklist'!N182="Red",MAX($G$3:G181)+1,"")</f>
        <v/>
      </c>
    </row>
    <row r="183">
      <c r="A183">
        <f>IF(AND(LEN('Checklist'!C183)&gt;0,ISNUMBER('Checklist'!L183)),'Checklist'!L183+180/100000,"")</f>
        <v/>
      </c>
      <c r="B183">
        <f>IF(AND(LEN('Checklist'!C183)&gt;0,ISNUMBER('Checklist'!L183)),MAX($B$3:B182)+1,"")</f>
        <v/>
      </c>
      <c r="E183">
        <f>IFERROR(MATCH(180,$B$4:$B$503,0),"")</f>
        <v/>
      </c>
      <c r="G183">
        <f>IF('Checklist'!N183="Red",MAX($G$3:G182)+1,"")</f>
        <v/>
      </c>
    </row>
    <row r="184">
      <c r="A184">
        <f>IF(AND(LEN('Checklist'!C184)&gt;0,ISNUMBER('Checklist'!L184)),'Checklist'!L184+181/100000,"")</f>
        <v/>
      </c>
      <c r="B184">
        <f>IF(AND(LEN('Checklist'!C184)&gt;0,ISNUMBER('Checklist'!L184)),MAX($B$3:B183)+1,"")</f>
        <v/>
      </c>
      <c r="E184">
        <f>IFERROR(MATCH(181,$B$4:$B$503,0),"")</f>
        <v/>
      </c>
      <c r="G184">
        <f>IF('Checklist'!N184="Red",MAX($G$3:G183)+1,"")</f>
        <v/>
      </c>
    </row>
    <row r="185">
      <c r="A185">
        <f>IF(AND(LEN('Checklist'!C185)&gt;0,ISNUMBER('Checklist'!L185)),'Checklist'!L185+182/100000,"")</f>
        <v/>
      </c>
      <c r="B185">
        <f>IF(AND(LEN('Checklist'!C185)&gt;0,ISNUMBER('Checklist'!L185)),MAX($B$3:B184)+1,"")</f>
        <v/>
      </c>
      <c r="E185">
        <f>IFERROR(MATCH(182,$B$4:$B$503,0),"")</f>
        <v/>
      </c>
      <c r="G185">
        <f>IF('Checklist'!N185="Red",MAX($G$3:G184)+1,"")</f>
        <v/>
      </c>
    </row>
    <row r="186">
      <c r="A186">
        <f>IF(AND(LEN('Checklist'!C186)&gt;0,ISNUMBER('Checklist'!L186)),'Checklist'!L186+183/100000,"")</f>
        <v/>
      </c>
      <c r="B186">
        <f>IF(AND(LEN('Checklist'!C186)&gt;0,ISNUMBER('Checklist'!L186)),MAX($B$3:B185)+1,"")</f>
        <v/>
      </c>
      <c r="E186">
        <f>IFERROR(MATCH(183,$B$4:$B$503,0),"")</f>
        <v/>
      </c>
      <c r="G186">
        <f>IF('Checklist'!N186="Red",MAX($G$3:G185)+1,"")</f>
        <v/>
      </c>
    </row>
    <row r="187">
      <c r="A187">
        <f>IF(AND(LEN('Checklist'!C187)&gt;0,ISNUMBER('Checklist'!L187)),'Checklist'!L187+184/100000,"")</f>
        <v/>
      </c>
      <c r="B187">
        <f>IF(AND(LEN('Checklist'!C187)&gt;0,ISNUMBER('Checklist'!L187)),MAX($B$3:B186)+1,"")</f>
        <v/>
      </c>
      <c r="E187">
        <f>IFERROR(MATCH(184,$B$4:$B$503,0),"")</f>
        <v/>
      </c>
      <c r="G187">
        <f>IF('Checklist'!N187="Red",MAX($G$3:G186)+1,"")</f>
        <v/>
      </c>
    </row>
    <row r="188">
      <c r="A188">
        <f>IF(AND(LEN('Checklist'!C188)&gt;0,ISNUMBER('Checklist'!L188)),'Checklist'!L188+185/100000,"")</f>
        <v/>
      </c>
      <c r="B188">
        <f>IF(AND(LEN('Checklist'!C188)&gt;0,ISNUMBER('Checklist'!L188)),MAX($B$3:B187)+1,"")</f>
        <v/>
      </c>
      <c r="E188">
        <f>IFERROR(MATCH(185,$B$4:$B$503,0),"")</f>
        <v/>
      </c>
      <c r="G188">
        <f>IF('Checklist'!N188="Red",MAX($G$3:G187)+1,"")</f>
        <v/>
      </c>
    </row>
    <row r="189">
      <c r="A189">
        <f>IF(AND(LEN('Checklist'!C189)&gt;0,ISNUMBER('Checklist'!L189)),'Checklist'!L189+186/100000,"")</f>
        <v/>
      </c>
      <c r="B189">
        <f>IF(AND(LEN('Checklist'!C189)&gt;0,ISNUMBER('Checklist'!L189)),MAX($B$3:B188)+1,"")</f>
        <v/>
      </c>
      <c r="E189">
        <f>IFERROR(MATCH(186,$B$4:$B$503,0),"")</f>
        <v/>
      </c>
      <c r="G189">
        <f>IF('Checklist'!N189="Red",MAX($G$3:G188)+1,"")</f>
        <v/>
      </c>
    </row>
    <row r="190">
      <c r="A190">
        <f>IF(AND(LEN('Checklist'!C190)&gt;0,ISNUMBER('Checklist'!L190)),'Checklist'!L190+187/100000,"")</f>
        <v/>
      </c>
      <c r="B190">
        <f>IF(AND(LEN('Checklist'!C190)&gt;0,ISNUMBER('Checklist'!L190)),MAX($B$3:B189)+1,"")</f>
        <v/>
      </c>
      <c r="E190">
        <f>IFERROR(MATCH(187,$B$4:$B$503,0),"")</f>
        <v/>
      </c>
      <c r="G190">
        <f>IF('Checklist'!N190="Red",MAX($G$3:G189)+1,"")</f>
        <v/>
      </c>
    </row>
    <row r="191">
      <c r="A191">
        <f>IF(AND(LEN('Checklist'!C191)&gt;0,ISNUMBER('Checklist'!L191)),'Checklist'!L191+188/100000,"")</f>
        <v/>
      </c>
      <c r="B191">
        <f>IF(AND(LEN('Checklist'!C191)&gt;0,ISNUMBER('Checklist'!L191)),MAX($B$3:B190)+1,"")</f>
        <v/>
      </c>
      <c r="E191">
        <f>IFERROR(MATCH(188,$B$4:$B$503,0),"")</f>
        <v/>
      </c>
      <c r="G191">
        <f>IF('Checklist'!N191="Red",MAX($G$3:G190)+1,"")</f>
        <v/>
      </c>
    </row>
    <row r="192">
      <c r="A192">
        <f>IF(AND(LEN('Checklist'!C192)&gt;0,ISNUMBER('Checklist'!L192)),'Checklist'!L192+189/100000,"")</f>
        <v/>
      </c>
      <c r="B192">
        <f>IF(AND(LEN('Checklist'!C192)&gt;0,ISNUMBER('Checklist'!L192)),MAX($B$3:B191)+1,"")</f>
        <v/>
      </c>
      <c r="E192">
        <f>IFERROR(MATCH(189,$B$4:$B$503,0),"")</f>
        <v/>
      </c>
      <c r="G192">
        <f>IF('Checklist'!N192="Red",MAX($G$3:G191)+1,"")</f>
        <v/>
      </c>
    </row>
    <row r="193">
      <c r="A193">
        <f>IF(AND(LEN('Checklist'!C193)&gt;0,ISNUMBER('Checklist'!L193)),'Checklist'!L193+190/100000,"")</f>
        <v/>
      </c>
      <c r="B193">
        <f>IF(AND(LEN('Checklist'!C193)&gt;0,ISNUMBER('Checklist'!L193)),MAX($B$3:B192)+1,"")</f>
        <v/>
      </c>
      <c r="E193">
        <f>IFERROR(MATCH(190,$B$4:$B$503,0),"")</f>
        <v/>
      </c>
      <c r="G193">
        <f>IF('Checklist'!N193="Red",MAX($G$3:G192)+1,"")</f>
        <v/>
      </c>
    </row>
    <row r="194">
      <c r="A194">
        <f>IF(AND(LEN('Checklist'!C194)&gt;0,ISNUMBER('Checklist'!L194)),'Checklist'!L194+191/100000,"")</f>
        <v/>
      </c>
      <c r="B194">
        <f>IF(AND(LEN('Checklist'!C194)&gt;0,ISNUMBER('Checklist'!L194)),MAX($B$3:B193)+1,"")</f>
        <v/>
      </c>
      <c r="E194">
        <f>IFERROR(MATCH(191,$B$4:$B$503,0),"")</f>
        <v/>
      </c>
      <c r="G194">
        <f>IF('Checklist'!N194="Red",MAX($G$3:G193)+1,"")</f>
        <v/>
      </c>
    </row>
    <row r="195">
      <c r="A195">
        <f>IF(AND(LEN('Checklist'!C195)&gt;0,ISNUMBER('Checklist'!L195)),'Checklist'!L195+192/100000,"")</f>
        <v/>
      </c>
      <c r="B195">
        <f>IF(AND(LEN('Checklist'!C195)&gt;0,ISNUMBER('Checklist'!L195)),MAX($B$3:B194)+1,"")</f>
        <v/>
      </c>
      <c r="E195">
        <f>IFERROR(MATCH(192,$B$4:$B$503,0),"")</f>
        <v/>
      </c>
      <c r="G195">
        <f>IF('Checklist'!N195="Red",MAX($G$3:G194)+1,"")</f>
        <v/>
      </c>
    </row>
    <row r="196">
      <c r="A196">
        <f>IF(AND(LEN('Checklist'!C196)&gt;0,ISNUMBER('Checklist'!L196)),'Checklist'!L196+193/100000,"")</f>
        <v/>
      </c>
      <c r="B196">
        <f>IF(AND(LEN('Checklist'!C196)&gt;0,ISNUMBER('Checklist'!L196)),MAX($B$3:B195)+1,"")</f>
        <v/>
      </c>
      <c r="E196">
        <f>IFERROR(MATCH(193,$B$4:$B$503,0),"")</f>
        <v/>
      </c>
      <c r="G196">
        <f>IF('Checklist'!N196="Red",MAX($G$3:G195)+1,"")</f>
        <v/>
      </c>
    </row>
    <row r="197">
      <c r="A197">
        <f>IF(AND(LEN('Checklist'!C197)&gt;0,ISNUMBER('Checklist'!L197)),'Checklist'!L197+194/100000,"")</f>
        <v/>
      </c>
      <c r="B197">
        <f>IF(AND(LEN('Checklist'!C197)&gt;0,ISNUMBER('Checklist'!L197)),MAX($B$3:B196)+1,"")</f>
        <v/>
      </c>
      <c r="E197">
        <f>IFERROR(MATCH(194,$B$4:$B$503,0),"")</f>
        <v/>
      </c>
      <c r="G197">
        <f>IF('Checklist'!N197="Red",MAX($G$3:G196)+1,"")</f>
        <v/>
      </c>
    </row>
    <row r="198">
      <c r="A198">
        <f>IF(AND(LEN('Checklist'!C198)&gt;0,ISNUMBER('Checklist'!L198)),'Checklist'!L198+195/100000,"")</f>
        <v/>
      </c>
      <c r="B198">
        <f>IF(AND(LEN('Checklist'!C198)&gt;0,ISNUMBER('Checklist'!L198)),MAX($B$3:B197)+1,"")</f>
        <v/>
      </c>
      <c r="E198">
        <f>IFERROR(MATCH(195,$B$4:$B$503,0),"")</f>
        <v/>
      </c>
      <c r="G198">
        <f>IF('Checklist'!N198="Red",MAX($G$3:G197)+1,"")</f>
        <v/>
      </c>
    </row>
    <row r="199">
      <c r="A199">
        <f>IF(AND(LEN('Checklist'!C199)&gt;0,ISNUMBER('Checklist'!L199)),'Checklist'!L199+196/100000,"")</f>
        <v/>
      </c>
      <c r="B199">
        <f>IF(AND(LEN('Checklist'!C199)&gt;0,ISNUMBER('Checklist'!L199)),MAX($B$3:B198)+1,"")</f>
        <v/>
      </c>
      <c r="E199">
        <f>IFERROR(MATCH(196,$B$4:$B$503,0),"")</f>
        <v/>
      </c>
      <c r="G199">
        <f>IF('Checklist'!N199="Red",MAX($G$3:G198)+1,"")</f>
        <v/>
      </c>
    </row>
    <row r="200">
      <c r="A200">
        <f>IF(AND(LEN('Checklist'!C200)&gt;0,ISNUMBER('Checklist'!L200)),'Checklist'!L200+197/100000,"")</f>
        <v/>
      </c>
      <c r="B200">
        <f>IF(AND(LEN('Checklist'!C200)&gt;0,ISNUMBER('Checklist'!L200)),MAX($B$3:B199)+1,"")</f>
        <v/>
      </c>
      <c r="E200">
        <f>IFERROR(MATCH(197,$B$4:$B$503,0),"")</f>
        <v/>
      </c>
      <c r="G200">
        <f>IF('Checklist'!N200="Red",MAX($G$3:G199)+1,"")</f>
        <v/>
      </c>
    </row>
    <row r="201">
      <c r="A201">
        <f>IF(AND(LEN('Checklist'!C201)&gt;0,ISNUMBER('Checklist'!L201)),'Checklist'!L201+198/100000,"")</f>
        <v/>
      </c>
      <c r="B201">
        <f>IF(AND(LEN('Checklist'!C201)&gt;0,ISNUMBER('Checklist'!L201)),MAX($B$3:B200)+1,"")</f>
        <v/>
      </c>
      <c r="E201">
        <f>IFERROR(MATCH(198,$B$4:$B$503,0),"")</f>
        <v/>
      </c>
      <c r="G201">
        <f>IF('Checklist'!N201="Red",MAX($G$3:G200)+1,"")</f>
        <v/>
      </c>
    </row>
    <row r="202">
      <c r="A202">
        <f>IF(AND(LEN('Checklist'!C202)&gt;0,ISNUMBER('Checklist'!L202)),'Checklist'!L202+199/100000,"")</f>
        <v/>
      </c>
      <c r="B202">
        <f>IF(AND(LEN('Checklist'!C202)&gt;0,ISNUMBER('Checklist'!L202)),MAX($B$3:B201)+1,"")</f>
        <v/>
      </c>
      <c r="E202">
        <f>IFERROR(MATCH(199,$B$4:$B$503,0),"")</f>
        <v/>
      </c>
      <c r="G202">
        <f>IF('Checklist'!N202="Red",MAX($G$3:G201)+1,"")</f>
        <v/>
      </c>
    </row>
    <row r="203">
      <c r="A203">
        <f>IF(AND(LEN('Checklist'!C203)&gt;0,ISNUMBER('Checklist'!L203)),'Checklist'!L203+200/100000,"")</f>
        <v/>
      </c>
      <c r="B203">
        <f>IF(AND(LEN('Checklist'!C203)&gt;0,ISNUMBER('Checklist'!L203)),MAX($B$3:B202)+1,"")</f>
        <v/>
      </c>
      <c r="E203">
        <f>IFERROR(MATCH(200,$B$4:$B$503,0),"")</f>
        <v/>
      </c>
      <c r="G203">
        <f>IF('Checklist'!N203="Red",MAX($G$3:G202)+1,"")</f>
        <v/>
      </c>
    </row>
    <row r="204">
      <c r="A204">
        <f>IF(AND(LEN('Checklist'!C204)&gt;0,ISNUMBER('Checklist'!L204)),'Checklist'!L204+201/100000,"")</f>
        <v/>
      </c>
      <c r="B204">
        <f>IF(AND(LEN('Checklist'!C204)&gt;0,ISNUMBER('Checklist'!L204)),MAX($B$3:B203)+1,"")</f>
        <v/>
      </c>
      <c r="E204">
        <f>IFERROR(MATCH(201,$B$4:$B$503,0),"")</f>
        <v/>
      </c>
      <c r="G204">
        <f>IF('Checklist'!N204="Red",MAX($G$3:G203)+1,"")</f>
        <v/>
      </c>
    </row>
    <row r="205">
      <c r="A205">
        <f>IF(AND(LEN('Checklist'!C205)&gt;0,ISNUMBER('Checklist'!L205)),'Checklist'!L205+202/100000,"")</f>
        <v/>
      </c>
      <c r="B205">
        <f>IF(AND(LEN('Checklist'!C205)&gt;0,ISNUMBER('Checklist'!L205)),MAX($B$3:B204)+1,"")</f>
        <v/>
      </c>
      <c r="E205">
        <f>IFERROR(MATCH(202,$B$4:$B$503,0),"")</f>
        <v/>
      </c>
      <c r="G205">
        <f>IF('Checklist'!N205="Red",MAX($G$3:G204)+1,"")</f>
        <v/>
      </c>
    </row>
    <row r="206">
      <c r="A206">
        <f>IF(AND(LEN('Checklist'!C206)&gt;0,ISNUMBER('Checklist'!L206)),'Checklist'!L206+203/100000,"")</f>
        <v/>
      </c>
      <c r="B206">
        <f>IF(AND(LEN('Checklist'!C206)&gt;0,ISNUMBER('Checklist'!L206)),MAX($B$3:B205)+1,"")</f>
        <v/>
      </c>
      <c r="E206">
        <f>IFERROR(MATCH(203,$B$4:$B$503,0),"")</f>
        <v/>
      </c>
      <c r="G206">
        <f>IF('Checklist'!N206="Red",MAX($G$3:G205)+1,"")</f>
        <v/>
      </c>
    </row>
    <row r="207">
      <c r="A207">
        <f>IF(AND(LEN('Checklist'!C207)&gt;0,ISNUMBER('Checklist'!L207)),'Checklist'!L207+204/100000,"")</f>
        <v/>
      </c>
      <c r="B207">
        <f>IF(AND(LEN('Checklist'!C207)&gt;0,ISNUMBER('Checklist'!L207)),MAX($B$3:B206)+1,"")</f>
        <v/>
      </c>
      <c r="E207">
        <f>IFERROR(MATCH(204,$B$4:$B$503,0),"")</f>
        <v/>
      </c>
      <c r="G207">
        <f>IF('Checklist'!N207="Red",MAX($G$3:G206)+1,"")</f>
        <v/>
      </c>
    </row>
    <row r="208">
      <c r="A208">
        <f>IF(AND(LEN('Checklist'!C208)&gt;0,ISNUMBER('Checklist'!L208)),'Checklist'!L208+205/100000,"")</f>
        <v/>
      </c>
      <c r="B208">
        <f>IF(AND(LEN('Checklist'!C208)&gt;0,ISNUMBER('Checklist'!L208)),MAX($B$3:B207)+1,"")</f>
        <v/>
      </c>
      <c r="E208">
        <f>IFERROR(MATCH(205,$B$4:$B$503,0),"")</f>
        <v/>
      </c>
      <c r="G208">
        <f>IF('Checklist'!N208="Red",MAX($G$3:G207)+1,"")</f>
        <v/>
      </c>
    </row>
    <row r="209">
      <c r="A209">
        <f>IF(AND(LEN('Checklist'!C209)&gt;0,ISNUMBER('Checklist'!L209)),'Checklist'!L209+206/100000,"")</f>
        <v/>
      </c>
      <c r="B209">
        <f>IF(AND(LEN('Checklist'!C209)&gt;0,ISNUMBER('Checklist'!L209)),MAX($B$3:B208)+1,"")</f>
        <v/>
      </c>
      <c r="E209">
        <f>IFERROR(MATCH(206,$B$4:$B$503,0),"")</f>
        <v/>
      </c>
      <c r="G209">
        <f>IF('Checklist'!N209="Red",MAX($G$3:G208)+1,"")</f>
        <v/>
      </c>
    </row>
    <row r="210">
      <c r="A210">
        <f>IF(AND(LEN('Checklist'!C210)&gt;0,ISNUMBER('Checklist'!L210)),'Checklist'!L210+207/100000,"")</f>
        <v/>
      </c>
      <c r="B210">
        <f>IF(AND(LEN('Checklist'!C210)&gt;0,ISNUMBER('Checklist'!L210)),MAX($B$3:B209)+1,"")</f>
        <v/>
      </c>
      <c r="E210">
        <f>IFERROR(MATCH(207,$B$4:$B$503,0),"")</f>
        <v/>
      </c>
      <c r="G210">
        <f>IF('Checklist'!N210="Red",MAX($G$3:G209)+1,"")</f>
        <v/>
      </c>
    </row>
    <row r="211">
      <c r="A211">
        <f>IF(AND(LEN('Checklist'!C211)&gt;0,ISNUMBER('Checklist'!L211)),'Checklist'!L211+208/100000,"")</f>
        <v/>
      </c>
      <c r="B211">
        <f>IF(AND(LEN('Checklist'!C211)&gt;0,ISNUMBER('Checklist'!L211)),MAX($B$3:B210)+1,"")</f>
        <v/>
      </c>
      <c r="E211">
        <f>IFERROR(MATCH(208,$B$4:$B$503,0),"")</f>
        <v/>
      </c>
      <c r="G211">
        <f>IF('Checklist'!N211="Red",MAX($G$3:G210)+1,"")</f>
        <v/>
      </c>
    </row>
    <row r="212">
      <c r="A212">
        <f>IF(AND(LEN('Checklist'!C212)&gt;0,ISNUMBER('Checklist'!L212)),'Checklist'!L212+209/100000,"")</f>
        <v/>
      </c>
      <c r="B212">
        <f>IF(AND(LEN('Checklist'!C212)&gt;0,ISNUMBER('Checklist'!L212)),MAX($B$3:B211)+1,"")</f>
        <v/>
      </c>
      <c r="E212">
        <f>IFERROR(MATCH(209,$B$4:$B$503,0),"")</f>
        <v/>
      </c>
      <c r="G212">
        <f>IF('Checklist'!N212="Red",MAX($G$3:G211)+1,"")</f>
        <v/>
      </c>
    </row>
    <row r="213">
      <c r="A213">
        <f>IF(AND(LEN('Checklist'!C213)&gt;0,ISNUMBER('Checklist'!L213)),'Checklist'!L213+210/100000,"")</f>
        <v/>
      </c>
      <c r="B213">
        <f>IF(AND(LEN('Checklist'!C213)&gt;0,ISNUMBER('Checklist'!L213)),MAX($B$3:B212)+1,"")</f>
        <v/>
      </c>
      <c r="E213">
        <f>IFERROR(MATCH(210,$B$4:$B$503,0),"")</f>
        <v/>
      </c>
      <c r="G213">
        <f>IF('Checklist'!N213="Red",MAX($G$3:G212)+1,"")</f>
        <v/>
      </c>
    </row>
    <row r="214">
      <c r="A214">
        <f>IF(AND(LEN('Checklist'!C214)&gt;0,ISNUMBER('Checklist'!L214)),'Checklist'!L214+211/100000,"")</f>
        <v/>
      </c>
      <c r="B214">
        <f>IF(AND(LEN('Checklist'!C214)&gt;0,ISNUMBER('Checklist'!L214)),MAX($B$3:B213)+1,"")</f>
        <v/>
      </c>
      <c r="E214">
        <f>IFERROR(MATCH(211,$B$4:$B$503,0),"")</f>
        <v/>
      </c>
      <c r="G214">
        <f>IF('Checklist'!N214="Red",MAX($G$3:G213)+1,"")</f>
        <v/>
      </c>
    </row>
    <row r="215">
      <c r="A215">
        <f>IF(AND(LEN('Checklist'!C215)&gt;0,ISNUMBER('Checklist'!L215)),'Checklist'!L215+212/100000,"")</f>
        <v/>
      </c>
      <c r="B215">
        <f>IF(AND(LEN('Checklist'!C215)&gt;0,ISNUMBER('Checklist'!L215)),MAX($B$3:B214)+1,"")</f>
        <v/>
      </c>
      <c r="E215">
        <f>IFERROR(MATCH(212,$B$4:$B$503,0),"")</f>
        <v/>
      </c>
      <c r="G215">
        <f>IF('Checklist'!N215="Red",MAX($G$3:G214)+1,"")</f>
        <v/>
      </c>
    </row>
    <row r="216">
      <c r="A216">
        <f>IF(AND(LEN('Checklist'!C216)&gt;0,ISNUMBER('Checklist'!L216)),'Checklist'!L216+213/100000,"")</f>
        <v/>
      </c>
      <c r="B216">
        <f>IF(AND(LEN('Checklist'!C216)&gt;0,ISNUMBER('Checklist'!L216)),MAX($B$3:B215)+1,"")</f>
        <v/>
      </c>
      <c r="E216">
        <f>IFERROR(MATCH(213,$B$4:$B$503,0),"")</f>
        <v/>
      </c>
      <c r="G216">
        <f>IF('Checklist'!N216="Red",MAX($G$3:G215)+1,"")</f>
        <v/>
      </c>
    </row>
    <row r="217">
      <c r="A217">
        <f>IF(AND(LEN('Checklist'!C217)&gt;0,ISNUMBER('Checklist'!L217)),'Checklist'!L217+214/100000,"")</f>
        <v/>
      </c>
      <c r="B217">
        <f>IF(AND(LEN('Checklist'!C217)&gt;0,ISNUMBER('Checklist'!L217)),MAX($B$3:B216)+1,"")</f>
        <v/>
      </c>
      <c r="E217">
        <f>IFERROR(MATCH(214,$B$4:$B$503,0),"")</f>
        <v/>
      </c>
      <c r="G217">
        <f>IF('Checklist'!N217="Red",MAX($G$3:G216)+1,"")</f>
        <v/>
      </c>
    </row>
    <row r="218">
      <c r="A218">
        <f>IF(AND(LEN('Checklist'!C218)&gt;0,ISNUMBER('Checklist'!L218)),'Checklist'!L218+215/100000,"")</f>
        <v/>
      </c>
      <c r="B218">
        <f>IF(AND(LEN('Checklist'!C218)&gt;0,ISNUMBER('Checklist'!L218)),MAX($B$3:B217)+1,"")</f>
        <v/>
      </c>
      <c r="E218">
        <f>IFERROR(MATCH(215,$B$4:$B$503,0),"")</f>
        <v/>
      </c>
      <c r="G218">
        <f>IF('Checklist'!N218="Red",MAX($G$3:G217)+1,"")</f>
        <v/>
      </c>
    </row>
    <row r="219">
      <c r="A219">
        <f>IF(AND(LEN('Checklist'!C219)&gt;0,ISNUMBER('Checklist'!L219)),'Checklist'!L219+216/100000,"")</f>
        <v/>
      </c>
      <c r="B219">
        <f>IF(AND(LEN('Checklist'!C219)&gt;0,ISNUMBER('Checklist'!L219)),MAX($B$3:B218)+1,"")</f>
        <v/>
      </c>
      <c r="E219">
        <f>IFERROR(MATCH(216,$B$4:$B$503,0),"")</f>
        <v/>
      </c>
      <c r="G219">
        <f>IF('Checklist'!N219="Red",MAX($G$3:G218)+1,"")</f>
        <v/>
      </c>
    </row>
    <row r="220">
      <c r="A220">
        <f>IF(AND(LEN('Checklist'!C220)&gt;0,ISNUMBER('Checklist'!L220)),'Checklist'!L220+217/100000,"")</f>
        <v/>
      </c>
      <c r="B220">
        <f>IF(AND(LEN('Checklist'!C220)&gt;0,ISNUMBER('Checklist'!L220)),MAX($B$3:B219)+1,"")</f>
        <v/>
      </c>
      <c r="E220">
        <f>IFERROR(MATCH(217,$B$4:$B$503,0),"")</f>
        <v/>
      </c>
      <c r="G220">
        <f>IF('Checklist'!N220="Red",MAX($G$3:G219)+1,"")</f>
        <v/>
      </c>
    </row>
    <row r="221">
      <c r="A221">
        <f>IF(AND(LEN('Checklist'!C221)&gt;0,ISNUMBER('Checklist'!L221)),'Checklist'!L221+218/100000,"")</f>
        <v/>
      </c>
      <c r="B221">
        <f>IF(AND(LEN('Checklist'!C221)&gt;0,ISNUMBER('Checklist'!L221)),MAX($B$3:B220)+1,"")</f>
        <v/>
      </c>
      <c r="E221">
        <f>IFERROR(MATCH(218,$B$4:$B$503,0),"")</f>
        <v/>
      </c>
      <c r="G221">
        <f>IF('Checklist'!N221="Red",MAX($G$3:G220)+1,"")</f>
        <v/>
      </c>
    </row>
    <row r="222">
      <c r="A222">
        <f>IF(AND(LEN('Checklist'!C222)&gt;0,ISNUMBER('Checklist'!L222)),'Checklist'!L222+219/100000,"")</f>
        <v/>
      </c>
      <c r="B222">
        <f>IF(AND(LEN('Checklist'!C222)&gt;0,ISNUMBER('Checklist'!L222)),MAX($B$3:B221)+1,"")</f>
        <v/>
      </c>
      <c r="E222">
        <f>IFERROR(MATCH(219,$B$4:$B$503,0),"")</f>
        <v/>
      </c>
      <c r="G222">
        <f>IF('Checklist'!N222="Red",MAX($G$3:G221)+1,"")</f>
        <v/>
      </c>
    </row>
    <row r="223">
      <c r="A223">
        <f>IF(AND(LEN('Checklist'!C223)&gt;0,ISNUMBER('Checklist'!L223)),'Checklist'!L223+220/100000,"")</f>
        <v/>
      </c>
      <c r="B223">
        <f>IF(AND(LEN('Checklist'!C223)&gt;0,ISNUMBER('Checklist'!L223)),MAX($B$3:B222)+1,"")</f>
        <v/>
      </c>
      <c r="E223">
        <f>IFERROR(MATCH(220,$B$4:$B$503,0),"")</f>
        <v/>
      </c>
      <c r="G223">
        <f>IF('Checklist'!N223="Red",MAX($G$3:G222)+1,"")</f>
        <v/>
      </c>
    </row>
    <row r="224">
      <c r="A224">
        <f>IF(AND(LEN('Checklist'!C224)&gt;0,ISNUMBER('Checklist'!L224)),'Checklist'!L224+221/100000,"")</f>
        <v/>
      </c>
      <c r="B224">
        <f>IF(AND(LEN('Checklist'!C224)&gt;0,ISNUMBER('Checklist'!L224)),MAX($B$3:B223)+1,"")</f>
        <v/>
      </c>
      <c r="E224">
        <f>IFERROR(MATCH(221,$B$4:$B$503,0),"")</f>
        <v/>
      </c>
      <c r="G224">
        <f>IF('Checklist'!N224="Red",MAX($G$3:G223)+1,"")</f>
        <v/>
      </c>
    </row>
    <row r="225">
      <c r="A225">
        <f>IF(AND(LEN('Checklist'!C225)&gt;0,ISNUMBER('Checklist'!L225)),'Checklist'!L225+222/100000,"")</f>
        <v/>
      </c>
      <c r="B225">
        <f>IF(AND(LEN('Checklist'!C225)&gt;0,ISNUMBER('Checklist'!L225)),MAX($B$3:B224)+1,"")</f>
        <v/>
      </c>
      <c r="E225">
        <f>IFERROR(MATCH(222,$B$4:$B$503,0),"")</f>
        <v/>
      </c>
      <c r="G225">
        <f>IF('Checklist'!N225="Red",MAX($G$3:G224)+1,"")</f>
        <v/>
      </c>
    </row>
    <row r="226">
      <c r="A226">
        <f>IF(AND(LEN('Checklist'!C226)&gt;0,ISNUMBER('Checklist'!L226)),'Checklist'!L226+223/100000,"")</f>
        <v/>
      </c>
      <c r="B226">
        <f>IF(AND(LEN('Checklist'!C226)&gt;0,ISNUMBER('Checklist'!L226)),MAX($B$3:B225)+1,"")</f>
        <v/>
      </c>
      <c r="E226">
        <f>IFERROR(MATCH(223,$B$4:$B$503,0),"")</f>
        <v/>
      </c>
      <c r="G226">
        <f>IF('Checklist'!N226="Red",MAX($G$3:G225)+1,"")</f>
        <v/>
      </c>
    </row>
    <row r="227">
      <c r="A227">
        <f>IF(AND(LEN('Checklist'!C227)&gt;0,ISNUMBER('Checklist'!L227)),'Checklist'!L227+224/100000,"")</f>
        <v/>
      </c>
      <c r="B227">
        <f>IF(AND(LEN('Checklist'!C227)&gt;0,ISNUMBER('Checklist'!L227)),MAX($B$3:B226)+1,"")</f>
        <v/>
      </c>
      <c r="E227">
        <f>IFERROR(MATCH(224,$B$4:$B$503,0),"")</f>
        <v/>
      </c>
      <c r="G227">
        <f>IF('Checklist'!N227="Red",MAX($G$3:G226)+1,"")</f>
        <v/>
      </c>
    </row>
    <row r="228">
      <c r="A228">
        <f>IF(AND(LEN('Checklist'!C228)&gt;0,ISNUMBER('Checklist'!L228)),'Checklist'!L228+225/100000,"")</f>
        <v/>
      </c>
      <c r="B228">
        <f>IF(AND(LEN('Checklist'!C228)&gt;0,ISNUMBER('Checklist'!L228)),MAX($B$3:B227)+1,"")</f>
        <v/>
      </c>
      <c r="E228">
        <f>IFERROR(MATCH(225,$B$4:$B$503,0),"")</f>
        <v/>
      </c>
      <c r="G228">
        <f>IF('Checklist'!N228="Red",MAX($G$3:G227)+1,"")</f>
        <v/>
      </c>
    </row>
    <row r="229">
      <c r="A229">
        <f>IF(AND(LEN('Checklist'!C229)&gt;0,ISNUMBER('Checklist'!L229)),'Checklist'!L229+226/100000,"")</f>
        <v/>
      </c>
      <c r="B229">
        <f>IF(AND(LEN('Checklist'!C229)&gt;0,ISNUMBER('Checklist'!L229)),MAX($B$3:B228)+1,"")</f>
        <v/>
      </c>
      <c r="E229">
        <f>IFERROR(MATCH(226,$B$4:$B$503,0),"")</f>
        <v/>
      </c>
      <c r="G229">
        <f>IF('Checklist'!N229="Red",MAX($G$3:G228)+1,"")</f>
        <v/>
      </c>
    </row>
    <row r="230">
      <c r="A230">
        <f>IF(AND(LEN('Checklist'!C230)&gt;0,ISNUMBER('Checklist'!L230)),'Checklist'!L230+227/100000,"")</f>
        <v/>
      </c>
      <c r="B230">
        <f>IF(AND(LEN('Checklist'!C230)&gt;0,ISNUMBER('Checklist'!L230)),MAX($B$3:B229)+1,"")</f>
        <v/>
      </c>
      <c r="E230">
        <f>IFERROR(MATCH(227,$B$4:$B$503,0),"")</f>
        <v/>
      </c>
      <c r="G230">
        <f>IF('Checklist'!N230="Red",MAX($G$3:G229)+1,"")</f>
        <v/>
      </c>
    </row>
    <row r="231">
      <c r="A231">
        <f>IF(AND(LEN('Checklist'!C231)&gt;0,ISNUMBER('Checklist'!L231)),'Checklist'!L231+228/100000,"")</f>
        <v/>
      </c>
      <c r="B231">
        <f>IF(AND(LEN('Checklist'!C231)&gt;0,ISNUMBER('Checklist'!L231)),MAX($B$3:B230)+1,"")</f>
        <v/>
      </c>
      <c r="E231">
        <f>IFERROR(MATCH(228,$B$4:$B$503,0),"")</f>
        <v/>
      </c>
      <c r="G231">
        <f>IF('Checklist'!N231="Red",MAX($G$3:G230)+1,"")</f>
        <v/>
      </c>
    </row>
    <row r="232">
      <c r="A232">
        <f>IF(AND(LEN('Checklist'!C232)&gt;0,ISNUMBER('Checklist'!L232)),'Checklist'!L232+229/100000,"")</f>
        <v/>
      </c>
      <c r="B232">
        <f>IF(AND(LEN('Checklist'!C232)&gt;0,ISNUMBER('Checklist'!L232)),MAX($B$3:B231)+1,"")</f>
        <v/>
      </c>
      <c r="E232">
        <f>IFERROR(MATCH(229,$B$4:$B$503,0),"")</f>
        <v/>
      </c>
      <c r="G232">
        <f>IF('Checklist'!N232="Red",MAX($G$3:G231)+1,"")</f>
        <v/>
      </c>
    </row>
    <row r="233">
      <c r="A233">
        <f>IF(AND(LEN('Checklist'!C233)&gt;0,ISNUMBER('Checklist'!L233)),'Checklist'!L233+230/100000,"")</f>
        <v/>
      </c>
      <c r="B233">
        <f>IF(AND(LEN('Checklist'!C233)&gt;0,ISNUMBER('Checklist'!L233)),MAX($B$3:B232)+1,"")</f>
        <v/>
      </c>
      <c r="E233">
        <f>IFERROR(MATCH(230,$B$4:$B$503,0),"")</f>
        <v/>
      </c>
      <c r="G233">
        <f>IF('Checklist'!N233="Red",MAX($G$3:G232)+1,"")</f>
        <v/>
      </c>
    </row>
    <row r="234">
      <c r="A234">
        <f>IF(AND(LEN('Checklist'!C234)&gt;0,ISNUMBER('Checklist'!L234)),'Checklist'!L234+231/100000,"")</f>
        <v/>
      </c>
      <c r="B234">
        <f>IF(AND(LEN('Checklist'!C234)&gt;0,ISNUMBER('Checklist'!L234)),MAX($B$3:B233)+1,"")</f>
        <v/>
      </c>
      <c r="E234">
        <f>IFERROR(MATCH(231,$B$4:$B$503,0),"")</f>
        <v/>
      </c>
      <c r="G234">
        <f>IF('Checklist'!N234="Red",MAX($G$3:G233)+1,"")</f>
        <v/>
      </c>
    </row>
    <row r="235">
      <c r="A235">
        <f>IF(AND(LEN('Checklist'!C235)&gt;0,ISNUMBER('Checklist'!L235)),'Checklist'!L235+232/100000,"")</f>
        <v/>
      </c>
      <c r="B235">
        <f>IF(AND(LEN('Checklist'!C235)&gt;0,ISNUMBER('Checklist'!L235)),MAX($B$3:B234)+1,"")</f>
        <v/>
      </c>
      <c r="E235">
        <f>IFERROR(MATCH(232,$B$4:$B$503,0),"")</f>
        <v/>
      </c>
      <c r="G235">
        <f>IF('Checklist'!N235="Red",MAX($G$3:G234)+1,"")</f>
        <v/>
      </c>
    </row>
    <row r="236">
      <c r="A236">
        <f>IF(AND(LEN('Checklist'!C236)&gt;0,ISNUMBER('Checklist'!L236)),'Checklist'!L236+233/100000,"")</f>
        <v/>
      </c>
      <c r="B236">
        <f>IF(AND(LEN('Checklist'!C236)&gt;0,ISNUMBER('Checklist'!L236)),MAX($B$3:B235)+1,"")</f>
        <v/>
      </c>
      <c r="E236">
        <f>IFERROR(MATCH(233,$B$4:$B$503,0),"")</f>
        <v/>
      </c>
      <c r="G236">
        <f>IF('Checklist'!N236="Red",MAX($G$3:G235)+1,"")</f>
        <v/>
      </c>
    </row>
    <row r="237">
      <c r="A237">
        <f>IF(AND(LEN('Checklist'!C237)&gt;0,ISNUMBER('Checklist'!L237)),'Checklist'!L237+234/100000,"")</f>
        <v/>
      </c>
      <c r="B237">
        <f>IF(AND(LEN('Checklist'!C237)&gt;0,ISNUMBER('Checklist'!L237)),MAX($B$3:B236)+1,"")</f>
        <v/>
      </c>
      <c r="E237">
        <f>IFERROR(MATCH(234,$B$4:$B$503,0),"")</f>
        <v/>
      </c>
      <c r="G237">
        <f>IF('Checklist'!N237="Red",MAX($G$3:G236)+1,"")</f>
        <v/>
      </c>
    </row>
    <row r="238">
      <c r="A238">
        <f>IF(AND(LEN('Checklist'!C238)&gt;0,ISNUMBER('Checklist'!L238)),'Checklist'!L238+235/100000,"")</f>
        <v/>
      </c>
      <c r="B238">
        <f>IF(AND(LEN('Checklist'!C238)&gt;0,ISNUMBER('Checklist'!L238)),MAX($B$3:B237)+1,"")</f>
        <v/>
      </c>
      <c r="E238">
        <f>IFERROR(MATCH(235,$B$4:$B$503,0),"")</f>
        <v/>
      </c>
      <c r="G238">
        <f>IF('Checklist'!N238="Red",MAX($G$3:G237)+1,"")</f>
        <v/>
      </c>
    </row>
    <row r="239">
      <c r="A239">
        <f>IF(AND(LEN('Checklist'!C239)&gt;0,ISNUMBER('Checklist'!L239)),'Checklist'!L239+236/100000,"")</f>
        <v/>
      </c>
      <c r="B239">
        <f>IF(AND(LEN('Checklist'!C239)&gt;0,ISNUMBER('Checklist'!L239)),MAX($B$3:B238)+1,"")</f>
        <v/>
      </c>
      <c r="E239">
        <f>IFERROR(MATCH(236,$B$4:$B$503,0),"")</f>
        <v/>
      </c>
      <c r="G239">
        <f>IF('Checklist'!N239="Red",MAX($G$3:G238)+1,"")</f>
        <v/>
      </c>
    </row>
    <row r="240">
      <c r="A240">
        <f>IF(AND(LEN('Checklist'!C240)&gt;0,ISNUMBER('Checklist'!L240)),'Checklist'!L240+237/100000,"")</f>
        <v/>
      </c>
      <c r="B240">
        <f>IF(AND(LEN('Checklist'!C240)&gt;0,ISNUMBER('Checklist'!L240)),MAX($B$3:B239)+1,"")</f>
        <v/>
      </c>
      <c r="E240">
        <f>IFERROR(MATCH(237,$B$4:$B$503,0),"")</f>
        <v/>
      </c>
      <c r="G240">
        <f>IF('Checklist'!N240="Red",MAX($G$3:G239)+1,"")</f>
        <v/>
      </c>
    </row>
    <row r="241">
      <c r="A241">
        <f>IF(AND(LEN('Checklist'!C241)&gt;0,ISNUMBER('Checklist'!L241)),'Checklist'!L241+238/100000,"")</f>
        <v/>
      </c>
      <c r="B241">
        <f>IF(AND(LEN('Checklist'!C241)&gt;0,ISNUMBER('Checklist'!L241)),MAX($B$3:B240)+1,"")</f>
        <v/>
      </c>
      <c r="E241">
        <f>IFERROR(MATCH(238,$B$4:$B$503,0),"")</f>
        <v/>
      </c>
      <c r="G241">
        <f>IF('Checklist'!N241="Red",MAX($G$3:G240)+1,"")</f>
        <v/>
      </c>
    </row>
    <row r="242">
      <c r="A242">
        <f>IF(AND(LEN('Checklist'!C242)&gt;0,ISNUMBER('Checklist'!L242)),'Checklist'!L242+239/100000,"")</f>
        <v/>
      </c>
      <c r="B242">
        <f>IF(AND(LEN('Checklist'!C242)&gt;0,ISNUMBER('Checklist'!L242)),MAX($B$3:B241)+1,"")</f>
        <v/>
      </c>
      <c r="E242">
        <f>IFERROR(MATCH(239,$B$4:$B$503,0),"")</f>
        <v/>
      </c>
      <c r="G242">
        <f>IF('Checklist'!N242="Red",MAX($G$3:G241)+1,"")</f>
        <v/>
      </c>
    </row>
    <row r="243">
      <c r="A243">
        <f>IF(AND(LEN('Checklist'!C243)&gt;0,ISNUMBER('Checklist'!L243)),'Checklist'!L243+240/100000,"")</f>
        <v/>
      </c>
      <c r="B243">
        <f>IF(AND(LEN('Checklist'!C243)&gt;0,ISNUMBER('Checklist'!L243)),MAX($B$3:B242)+1,"")</f>
        <v/>
      </c>
      <c r="E243">
        <f>IFERROR(MATCH(240,$B$4:$B$503,0),"")</f>
        <v/>
      </c>
      <c r="G243">
        <f>IF('Checklist'!N243="Red",MAX($G$3:G242)+1,"")</f>
        <v/>
      </c>
    </row>
    <row r="244">
      <c r="A244">
        <f>IF(AND(LEN('Checklist'!C244)&gt;0,ISNUMBER('Checklist'!L244)),'Checklist'!L244+241/100000,"")</f>
        <v/>
      </c>
      <c r="B244">
        <f>IF(AND(LEN('Checklist'!C244)&gt;0,ISNUMBER('Checklist'!L244)),MAX($B$3:B243)+1,"")</f>
        <v/>
      </c>
      <c r="E244">
        <f>IFERROR(MATCH(241,$B$4:$B$503,0),"")</f>
        <v/>
      </c>
      <c r="G244">
        <f>IF('Checklist'!N244="Red",MAX($G$3:G243)+1,"")</f>
        <v/>
      </c>
    </row>
    <row r="245">
      <c r="A245">
        <f>IF(AND(LEN('Checklist'!C245)&gt;0,ISNUMBER('Checklist'!L245)),'Checklist'!L245+242/100000,"")</f>
        <v/>
      </c>
      <c r="B245">
        <f>IF(AND(LEN('Checklist'!C245)&gt;0,ISNUMBER('Checklist'!L245)),MAX($B$3:B244)+1,"")</f>
        <v/>
      </c>
      <c r="E245">
        <f>IFERROR(MATCH(242,$B$4:$B$503,0),"")</f>
        <v/>
      </c>
      <c r="G245">
        <f>IF('Checklist'!N245="Red",MAX($G$3:G244)+1,"")</f>
        <v/>
      </c>
    </row>
    <row r="246">
      <c r="A246">
        <f>IF(AND(LEN('Checklist'!C246)&gt;0,ISNUMBER('Checklist'!L246)),'Checklist'!L246+243/100000,"")</f>
        <v/>
      </c>
      <c r="B246">
        <f>IF(AND(LEN('Checklist'!C246)&gt;0,ISNUMBER('Checklist'!L246)),MAX($B$3:B245)+1,"")</f>
        <v/>
      </c>
      <c r="E246">
        <f>IFERROR(MATCH(243,$B$4:$B$503,0),"")</f>
        <v/>
      </c>
      <c r="G246">
        <f>IF('Checklist'!N246="Red",MAX($G$3:G245)+1,"")</f>
        <v/>
      </c>
    </row>
    <row r="247">
      <c r="A247">
        <f>IF(AND(LEN('Checklist'!C247)&gt;0,ISNUMBER('Checklist'!L247)),'Checklist'!L247+244/100000,"")</f>
        <v/>
      </c>
      <c r="B247">
        <f>IF(AND(LEN('Checklist'!C247)&gt;0,ISNUMBER('Checklist'!L247)),MAX($B$3:B246)+1,"")</f>
        <v/>
      </c>
      <c r="E247">
        <f>IFERROR(MATCH(244,$B$4:$B$503,0),"")</f>
        <v/>
      </c>
      <c r="G247">
        <f>IF('Checklist'!N247="Red",MAX($G$3:G246)+1,"")</f>
        <v/>
      </c>
    </row>
    <row r="248">
      <c r="A248">
        <f>IF(AND(LEN('Checklist'!C248)&gt;0,ISNUMBER('Checklist'!L248)),'Checklist'!L248+245/100000,"")</f>
        <v/>
      </c>
      <c r="B248">
        <f>IF(AND(LEN('Checklist'!C248)&gt;0,ISNUMBER('Checklist'!L248)),MAX($B$3:B247)+1,"")</f>
        <v/>
      </c>
      <c r="E248">
        <f>IFERROR(MATCH(245,$B$4:$B$503,0),"")</f>
        <v/>
      </c>
      <c r="G248">
        <f>IF('Checklist'!N248="Red",MAX($G$3:G247)+1,"")</f>
        <v/>
      </c>
    </row>
    <row r="249">
      <c r="A249">
        <f>IF(AND(LEN('Checklist'!C249)&gt;0,ISNUMBER('Checklist'!L249)),'Checklist'!L249+246/100000,"")</f>
        <v/>
      </c>
      <c r="B249">
        <f>IF(AND(LEN('Checklist'!C249)&gt;0,ISNUMBER('Checklist'!L249)),MAX($B$3:B248)+1,"")</f>
        <v/>
      </c>
      <c r="E249">
        <f>IFERROR(MATCH(246,$B$4:$B$503,0),"")</f>
        <v/>
      </c>
      <c r="G249">
        <f>IF('Checklist'!N249="Red",MAX($G$3:G248)+1,"")</f>
        <v/>
      </c>
    </row>
    <row r="250">
      <c r="A250">
        <f>IF(AND(LEN('Checklist'!C250)&gt;0,ISNUMBER('Checklist'!L250)),'Checklist'!L250+247/100000,"")</f>
        <v/>
      </c>
      <c r="B250">
        <f>IF(AND(LEN('Checklist'!C250)&gt;0,ISNUMBER('Checklist'!L250)),MAX($B$3:B249)+1,"")</f>
        <v/>
      </c>
      <c r="E250">
        <f>IFERROR(MATCH(247,$B$4:$B$503,0),"")</f>
        <v/>
      </c>
      <c r="G250">
        <f>IF('Checklist'!N250="Red",MAX($G$3:G249)+1,"")</f>
        <v/>
      </c>
    </row>
    <row r="251">
      <c r="A251">
        <f>IF(AND(LEN('Checklist'!C251)&gt;0,ISNUMBER('Checklist'!L251)),'Checklist'!L251+248/100000,"")</f>
        <v/>
      </c>
      <c r="B251">
        <f>IF(AND(LEN('Checklist'!C251)&gt;0,ISNUMBER('Checklist'!L251)),MAX($B$3:B250)+1,"")</f>
        <v/>
      </c>
      <c r="E251">
        <f>IFERROR(MATCH(248,$B$4:$B$503,0),"")</f>
        <v/>
      </c>
      <c r="G251">
        <f>IF('Checklist'!N251="Red",MAX($G$3:G250)+1,"")</f>
        <v/>
      </c>
    </row>
    <row r="252">
      <c r="A252">
        <f>IF(AND(LEN('Checklist'!C252)&gt;0,ISNUMBER('Checklist'!L252)),'Checklist'!L252+249/100000,"")</f>
        <v/>
      </c>
      <c r="B252">
        <f>IF(AND(LEN('Checklist'!C252)&gt;0,ISNUMBER('Checklist'!L252)),MAX($B$3:B251)+1,"")</f>
        <v/>
      </c>
      <c r="E252">
        <f>IFERROR(MATCH(249,$B$4:$B$503,0),"")</f>
        <v/>
      </c>
      <c r="G252">
        <f>IF('Checklist'!N252="Red",MAX($G$3:G251)+1,"")</f>
        <v/>
      </c>
    </row>
    <row r="253">
      <c r="A253">
        <f>IF(AND(LEN('Checklist'!C253)&gt;0,ISNUMBER('Checklist'!L253)),'Checklist'!L253+250/100000,"")</f>
        <v/>
      </c>
      <c r="B253">
        <f>IF(AND(LEN('Checklist'!C253)&gt;0,ISNUMBER('Checklist'!L253)),MAX($B$3:B252)+1,"")</f>
        <v/>
      </c>
      <c r="E253">
        <f>IFERROR(MATCH(250,$B$4:$B$503,0),"")</f>
        <v/>
      </c>
      <c r="G253">
        <f>IF('Checklist'!N253="Red",MAX($G$3:G252)+1,"")</f>
        <v/>
      </c>
    </row>
    <row r="254">
      <c r="A254">
        <f>IF(AND(LEN('Checklist'!C254)&gt;0,ISNUMBER('Checklist'!L254)),'Checklist'!L254+251/100000,"")</f>
        <v/>
      </c>
      <c r="B254">
        <f>IF(AND(LEN('Checklist'!C254)&gt;0,ISNUMBER('Checklist'!L254)),MAX($B$3:B253)+1,"")</f>
        <v/>
      </c>
      <c r="E254">
        <f>IFERROR(MATCH(251,$B$4:$B$503,0),"")</f>
        <v/>
      </c>
      <c r="G254">
        <f>IF('Checklist'!N254="Red",MAX($G$3:G253)+1,"")</f>
        <v/>
      </c>
    </row>
    <row r="255">
      <c r="A255">
        <f>IF(AND(LEN('Checklist'!C255)&gt;0,ISNUMBER('Checklist'!L255)),'Checklist'!L255+252/100000,"")</f>
        <v/>
      </c>
      <c r="B255">
        <f>IF(AND(LEN('Checklist'!C255)&gt;0,ISNUMBER('Checklist'!L255)),MAX($B$3:B254)+1,"")</f>
        <v/>
      </c>
      <c r="E255">
        <f>IFERROR(MATCH(252,$B$4:$B$503,0),"")</f>
        <v/>
      </c>
      <c r="G255">
        <f>IF('Checklist'!N255="Red",MAX($G$3:G254)+1,"")</f>
        <v/>
      </c>
    </row>
    <row r="256">
      <c r="A256">
        <f>IF(AND(LEN('Checklist'!C256)&gt;0,ISNUMBER('Checklist'!L256)),'Checklist'!L256+253/100000,"")</f>
        <v/>
      </c>
      <c r="B256">
        <f>IF(AND(LEN('Checklist'!C256)&gt;0,ISNUMBER('Checklist'!L256)),MAX($B$3:B255)+1,"")</f>
        <v/>
      </c>
      <c r="E256">
        <f>IFERROR(MATCH(253,$B$4:$B$503,0),"")</f>
        <v/>
      </c>
      <c r="G256">
        <f>IF('Checklist'!N256="Red",MAX($G$3:G255)+1,"")</f>
        <v/>
      </c>
    </row>
    <row r="257">
      <c r="A257">
        <f>IF(AND(LEN('Checklist'!C257)&gt;0,ISNUMBER('Checklist'!L257)),'Checklist'!L257+254/100000,"")</f>
        <v/>
      </c>
      <c r="B257">
        <f>IF(AND(LEN('Checklist'!C257)&gt;0,ISNUMBER('Checklist'!L257)),MAX($B$3:B256)+1,"")</f>
        <v/>
      </c>
      <c r="E257">
        <f>IFERROR(MATCH(254,$B$4:$B$503,0),"")</f>
        <v/>
      </c>
      <c r="G257">
        <f>IF('Checklist'!N257="Red",MAX($G$3:G256)+1,"")</f>
        <v/>
      </c>
    </row>
    <row r="258">
      <c r="A258">
        <f>IF(AND(LEN('Checklist'!C258)&gt;0,ISNUMBER('Checklist'!L258)),'Checklist'!L258+255/100000,"")</f>
        <v/>
      </c>
      <c r="B258">
        <f>IF(AND(LEN('Checklist'!C258)&gt;0,ISNUMBER('Checklist'!L258)),MAX($B$3:B257)+1,"")</f>
        <v/>
      </c>
      <c r="E258">
        <f>IFERROR(MATCH(255,$B$4:$B$503,0),"")</f>
        <v/>
      </c>
      <c r="G258">
        <f>IF('Checklist'!N258="Red",MAX($G$3:G257)+1,"")</f>
        <v/>
      </c>
    </row>
    <row r="259">
      <c r="A259">
        <f>IF(AND(LEN('Checklist'!C259)&gt;0,ISNUMBER('Checklist'!L259)),'Checklist'!L259+256/100000,"")</f>
        <v/>
      </c>
      <c r="B259">
        <f>IF(AND(LEN('Checklist'!C259)&gt;0,ISNUMBER('Checklist'!L259)),MAX($B$3:B258)+1,"")</f>
        <v/>
      </c>
      <c r="E259">
        <f>IFERROR(MATCH(256,$B$4:$B$503,0),"")</f>
        <v/>
      </c>
      <c r="G259">
        <f>IF('Checklist'!N259="Red",MAX($G$3:G258)+1,"")</f>
        <v/>
      </c>
    </row>
    <row r="260">
      <c r="A260">
        <f>IF(AND(LEN('Checklist'!C260)&gt;0,ISNUMBER('Checklist'!L260)),'Checklist'!L260+257/100000,"")</f>
        <v/>
      </c>
      <c r="B260">
        <f>IF(AND(LEN('Checklist'!C260)&gt;0,ISNUMBER('Checklist'!L260)),MAX($B$3:B259)+1,"")</f>
        <v/>
      </c>
      <c r="E260">
        <f>IFERROR(MATCH(257,$B$4:$B$503,0),"")</f>
        <v/>
      </c>
      <c r="G260">
        <f>IF('Checklist'!N260="Red",MAX($G$3:G259)+1,"")</f>
        <v/>
      </c>
    </row>
    <row r="261">
      <c r="A261">
        <f>IF(AND(LEN('Checklist'!C261)&gt;0,ISNUMBER('Checklist'!L261)),'Checklist'!L261+258/100000,"")</f>
        <v/>
      </c>
      <c r="B261">
        <f>IF(AND(LEN('Checklist'!C261)&gt;0,ISNUMBER('Checklist'!L261)),MAX($B$3:B260)+1,"")</f>
        <v/>
      </c>
      <c r="E261">
        <f>IFERROR(MATCH(258,$B$4:$B$503,0),"")</f>
        <v/>
      </c>
      <c r="G261">
        <f>IF('Checklist'!N261="Red",MAX($G$3:G260)+1,"")</f>
        <v/>
      </c>
    </row>
    <row r="262">
      <c r="A262">
        <f>IF(AND(LEN('Checklist'!C262)&gt;0,ISNUMBER('Checklist'!L262)),'Checklist'!L262+259/100000,"")</f>
        <v/>
      </c>
      <c r="B262">
        <f>IF(AND(LEN('Checklist'!C262)&gt;0,ISNUMBER('Checklist'!L262)),MAX($B$3:B261)+1,"")</f>
        <v/>
      </c>
      <c r="E262">
        <f>IFERROR(MATCH(259,$B$4:$B$503,0),"")</f>
        <v/>
      </c>
      <c r="G262">
        <f>IF('Checklist'!N262="Red",MAX($G$3:G261)+1,"")</f>
        <v/>
      </c>
    </row>
    <row r="263">
      <c r="A263">
        <f>IF(AND(LEN('Checklist'!C263)&gt;0,ISNUMBER('Checklist'!L263)),'Checklist'!L263+260/100000,"")</f>
        <v/>
      </c>
      <c r="B263">
        <f>IF(AND(LEN('Checklist'!C263)&gt;0,ISNUMBER('Checklist'!L263)),MAX($B$3:B262)+1,"")</f>
        <v/>
      </c>
      <c r="E263">
        <f>IFERROR(MATCH(260,$B$4:$B$503,0),"")</f>
        <v/>
      </c>
      <c r="G263">
        <f>IF('Checklist'!N263="Red",MAX($G$3:G262)+1,"")</f>
        <v/>
      </c>
    </row>
    <row r="264">
      <c r="A264">
        <f>IF(AND(LEN('Checklist'!C264)&gt;0,ISNUMBER('Checklist'!L264)),'Checklist'!L264+261/100000,"")</f>
        <v/>
      </c>
      <c r="B264">
        <f>IF(AND(LEN('Checklist'!C264)&gt;0,ISNUMBER('Checklist'!L264)),MAX($B$3:B263)+1,"")</f>
        <v/>
      </c>
      <c r="E264">
        <f>IFERROR(MATCH(261,$B$4:$B$503,0),"")</f>
        <v/>
      </c>
      <c r="G264">
        <f>IF('Checklist'!N264="Red",MAX($G$3:G263)+1,"")</f>
        <v/>
      </c>
    </row>
    <row r="265">
      <c r="A265">
        <f>IF(AND(LEN('Checklist'!C265)&gt;0,ISNUMBER('Checklist'!L265)),'Checklist'!L265+262/100000,"")</f>
        <v/>
      </c>
      <c r="B265">
        <f>IF(AND(LEN('Checklist'!C265)&gt;0,ISNUMBER('Checklist'!L265)),MAX($B$3:B264)+1,"")</f>
        <v/>
      </c>
      <c r="E265">
        <f>IFERROR(MATCH(262,$B$4:$B$503,0),"")</f>
        <v/>
      </c>
      <c r="G265">
        <f>IF('Checklist'!N265="Red",MAX($G$3:G264)+1,"")</f>
        <v/>
      </c>
    </row>
    <row r="266">
      <c r="A266">
        <f>IF(AND(LEN('Checklist'!C266)&gt;0,ISNUMBER('Checklist'!L266)),'Checklist'!L266+263/100000,"")</f>
        <v/>
      </c>
      <c r="B266">
        <f>IF(AND(LEN('Checklist'!C266)&gt;0,ISNUMBER('Checklist'!L266)),MAX($B$3:B265)+1,"")</f>
        <v/>
      </c>
      <c r="E266">
        <f>IFERROR(MATCH(263,$B$4:$B$503,0),"")</f>
        <v/>
      </c>
      <c r="G266">
        <f>IF('Checklist'!N266="Red",MAX($G$3:G265)+1,"")</f>
        <v/>
      </c>
    </row>
    <row r="267">
      <c r="A267">
        <f>IF(AND(LEN('Checklist'!C267)&gt;0,ISNUMBER('Checklist'!L267)),'Checklist'!L267+264/100000,"")</f>
        <v/>
      </c>
      <c r="B267">
        <f>IF(AND(LEN('Checklist'!C267)&gt;0,ISNUMBER('Checklist'!L267)),MAX($B$3:B266)+1,"")</f>
        <v/>
      </c>
      <c r="E267">
        <f>IFERROR(MATCH(264,$B$4:$B$503,0),"")</f>
        <v/>
      </c>
      <c r="G267">
        <f>IF('Checklist'!N267="Red",MAX($G$3:G266)+1,"")</f>
        <v/>
      </c>
    </row>
    <row r="268">
      <c r="A268">
        <f>IF(AND(LEN('Checklist'!C268)&gt;0,ISNUMBER('Checklist'!L268)),'Checklist'!L268+265/100000,"")</f>
        <v/>
      </c>
      <c r="B268">
        <f>IF(AND(LEN('Checklist'!C268)&gt;0,ISNUMBER('Checklist'!L268)),MAX($B$3:B267)+1,"")</f>
        <v/>
      </c>
      <c r="E268">
        <f>IFERROR(MATCH(265,$B$4:$B$503,0),"")</f>
        <v/>
      </c>
      <c r="G268">
        <f>IF('Checklist'!N268="Red",MAX($G$3:G267)+1,"")</f>
        <v/>
      </c>
    </row>
    <row r="269">
      <c r="A269">
        <f>IF(AND(LEN('Checklist'!C269)&gt;0,ISNUMBER('Checklist'!L269)),'Checklist'!L269+266/100000,"")</f>
        <v/>
      </c>
      <c r="B269">
        <f>IF(AND(LEN('Checklist'!C269)&gt;0,ISNUMBER('Checklist'!L269)),MAX($B$3:B268)+1,"")</f>
        <v/>
      </c>
      <c r="E269">
        <f>IFERROR(MATCH(266,$B$4:$B$503,0),"")</f>
        <v/>
      </c>
      <c r="G269">
        <f>IF('Checklist'!N269="Red",MAX($G$3:G268)+1,"")</f>
        <v/>
      </c>
    </row>
    <row r="270">
      <c r="A270">
        <f>IF(AND(LEN('Checklist'!C270)&gt;0,ISNUMBER('Checklist'!L270)),'Checklist'!L270+267/100000,"")</f>
        <v/>
      </c>
      <c r="B270">
        <f>IF(AND(LEN('Checklist'!C270)&gt;0,ISNUMBER('Checklist'!L270)),MAX($B$3:B269)+1,"")</f>
        <v/>
      </c>
      <c r="E270">
        <f>IFERROR(MATCH(267,$B$4:$B$503,0),"")</f>
        <v/>
      </c>
      <c r="G270">
        <f>IF('Checklist'!N270="Red",MAX($G$3:G269)+1,"")</f>
        <v/>
      </c>
    </row>
    <row r="271">
      <c r="A271">
        <f>IF(AND(LEN('Checklist'!C271)&gt;0,ISNUMBER('Checklist'!L271)),'Checklist'!L271+268/100000,"")</f>
        <v/>
      </c>
      <c r="B271">
        <f>IF(AND(LEN('Checklist'!C271)&gt;0,ISNUMBER('Checklist'!L271)),MAX($B$3:B270)+1,"")</f>
        <v/>
      </c>
      <c r="E271">
        <f>IFERROR(MATCH(268,$B$4:$B$503,0),"")</f>
        <v/>
      </c>
      <c r="G271">
        <f>IF('Checklist'!N271="Red",MAX($G$3:G270)+1,"")</f>
        <v/>
      </c>
    </row>
    <row r="272">
      <c r="A272">
        <f>IF(AND(LEN('Checklist'!C272)&gt;0,ISNUMBER('Checklist'!L272)),'Checklist'!L272+269/100000,"")</f>
        <v/>
      </c>
      <c r="B272">
        <f>IF(AND(LEN('Checklist'!C272)&gt;0,ISNUMBER('Checklist'!L272)),MAX($B$3:B271)+1,"")</f>
        <v/>
      </c>
      <c r="E272">
        <f>IFERROR(MATCH(269,$B$4:$B$503,0),"")</f>
        <v/>
      </c>
      <c r="G272">
        <f>IF('Checklist'!N272="Red",MAX($G$3:G271)+1,"")</f>
        <v/>
      </c>
    </row>
    <row r="273">
      <c r="A273">
        <f>IF(AND(LEN('Checklist'!C273)&gt;0,ISNUMBER('Checklist'!L273)),'Checklist'!L273+270/100000,"")</f>
        <v/>
      </c>
      <c r="B273">
        <f>IF(AND(LEN('Checklist'!C273)&gt;0,ISNUMBER('Checklist'!L273)),MAX($B$3:B272)+1,"")</f>
        <v/>
      </c>
      <c r="E273">
        <f>IFERROR(MATCH(270,$B$4:$B$503,0),"")</f>
        <v/>
      </c>
      <c r="G273">
        <f>IF('Checklist'!N273="Red",MAX($G$3:G272)+1,"")</f>
        <v/>
      </c>
    </row>
    <row r="274">
      <c r="A274">
        <f>IF(AND(LEN('Checklist'!C274)&gt;0,ISNUMBER('Checklist'!L274)),'Checklist'!L274+271/100000,"")</f>
        <v/>
      </c>
      <c r="B274">
        <f>IF(AND(LEN('Checklist'!C274)&gt;0,ISNUMBER('Checklist'!L274)),MAX($B$3:B273)+1,"")</f>
        <v/>
      </c>
      <c r="E274">
        <f>IFERROR(MATCH(271,$B$4:$B$503,0),"")</f>
        <v/>
      </c>
      <c r="G274">
        <f>IF('Checklist'!N274="Red",MAX($G$3:G273)+1,"")</f>
        <v/>
      </c>
    </row>
    <row r="275">
      <c r="A275">
        <f>IF(AND(LEN('Checklist'!C275)&gt;0,ISNUMBER('Checklist'!L275)),'Checklist'!L275+272/100000,"")</f>
        <v/>
      </c>
      <c r="B275">
        <f>IF(AND(LEN('Checklist'!C275)&gt;0,ISNUMBER('Checklist'!L275)),MAX($B$3:B274)+1,"")</f>
        <v/>
      </c>
      <c r="E275">
        <f>IFERROR(MATCH(272,$B$4:$B$503,0),"")</f>
        <v/>
      </c>
      <c r="G275">
        <f>IF('Checklist'!N275="Red",MAX($G$3:G274)+1,"")</f>
        <v/>
      </c>
    </row>
    <row r="276">
      <c r="A276">
        <f>IF(AND(LEN('Checklist'!C276)&gt;0,ISNUMBER('Checklist'!L276)),'Checklist'!L276+273/100000,"")</f>
        <v/>
      </c>
      <c r="B276">
        <f>IF(AND(LEN('Checklist'!C276)&gt;0,ISNUMBER('Checklist'!L276)),MAX($B$3:B275)+1,"")</f>
        <v/>
      </c>
      <c r="E276">
        <f>IFERROR(MATCH(273,$B$4:$B$503,0),"")</f>
        <v/>
      </c>
      <c r="G276">
        <f>IF('Checklist'!N276="Red",MAX($G$3:G275)+1,"")</f>
        <v/>
      </c>
    </row>
    <row r="277">
      <c r="A277">
        <f>IF(AND(LEN('Checklist'!C277)&gt;0,ISNUMBER('Checklist'!L277)),'Checklist'!L277+274/100000,"")</f>
        <v/>
      </c>
      <c r="B277">
        <f>IF(AND(LEN('Checklist'!C277)&gt;0,ISNUMBER('Checklist'!L277)),MAX($B$3:B276)+1,"")</f>
        <v/>
      </c>
      <c r="E277">
        <f>IFERROR(MATCH(274,$B$4:$B$503,0),"")</f>
        <v/>
      </c>
      <c r="G277">
        <f>IF('Checklist'!N277="Red",MAX($G$3:G276)+1,"")</f>
        <v/>
      </c>
    </row>
    <row r="278">
      <c r="A278">
        <f>IF(AND(LEN('Checklist'!C278)&gt;0,ISNUMBER('Checklist'!L278)),'Checklist'!L278+275/100000,"")</f>
        <v/>
      </c>
      <c r="B278">
        <f>IF(AND(LEN('Checklist'!C278)&gt;0,ISNUMBER('Checklist'!L278)),MAX($B$3:B277)+1,"")</f>
        <v/>
      </c>
      <c r="E278">
        <f>IFERROR(MATCH(275,$B$4:$B$503,0),"")</f>
        <v/>
      </c>
      <c r="G278">
        <f>IF('Checklist'!N278="Red",MAX($G$3:G277)+1,"")</f>
        <v/>
      </c>
    </row>
    <row r="279">
      <c r="A279">
        <f>IF(AND(LEN('Checklist'!C279)&gt;0,ISNUMBER('Checklist'!L279)),'Checklist'!L279+276/100000,"")</f>
        <v/>
      </c>
      <c r="B279">
        <f>IF(AND(LEN('Checklist'!C279)&gt;0,ISNUMBER('Checklist'!L279)),MAX($B$3:B278)+1,"")</f>
        <v/>
      </c>
      <c r="E279">
        <f>IFERROR(MATCH(276,$B$4:$B$503,0),"")</f>
        <v/>
      </c>
      <c r="G279">
        <f>IF('Checklist'!N279="Red",MAX($G$3:G278)+1,"")</f>
        <v/>
      </c>
    </row>
    <row r="280">
      <c r="A280">
        <f>IF(AND(LEN('Checklist'!C280)&gt;0,ISNUMBER('Checklist'!L280)),'Checklist'!L280+277/100000,"")</f>
        <v/>
      </c>
      <c r="B280">
        <f>IF(AND(LEN('Checklist'!C280)&gt;0,ISNUMBER('Checklist'!L280)),MAX($B$3:B279)+1,"")</f>
        <v/>
      </c>
      <c r="E280">
        <f>IFERROR(MATCH(277,$B$4:$B$503,0),"")</f>
        <v/>
      </c>
      <c r="G280">
        <f>IF('Checklist'!N280="Red",MAX($G$3:G279)+1,"")</f>
        <v/>
      </c>
    </row>
    <row r="281">
      <c r="A281">
        <f>IF(AND(LEN('Checklist'!C281)&gt;0,ISNUMBER('Checklist'!L281)),'Checklist'!L281+278/100000,"")</f>
        <v/>
      </c>
      <c r="B281">
        <f>IF(AND(LEN('Checklist'!C281)&gt;0,ISNUMBER('Checklist'!L281)),MAX($B$3:B280)+1,"")</f>
        <v/>
      </c>
      <c r="E281">
        <f>IFERROR(MATCH(278,$B$4:$B$503,0),"")</f>
        <v/>
      </c>
      <c r="G281">
        <f>IF('Checklist'!N281="Red",MAX($G$3:G280)+1,"")</f>
        <v/>
      </c>
    </row>
    <row r="282">
      <c r="A282">
        <f>IF(AND(LEN('Checklist'!C282)&gt;0,ISNUMBER('Checklist'!L282)),'Checklist'!L282+279/100000,"")</f>
        <v/>
      </c>
      <c r="B282">
        <f>IF(AND(LEN('Checklist'!C282)&gt;0,ISNUMBER('Checklist'!L282)),MAX($B$3:B281)+1,"")</f>
        <v/>
      </c>
      <c r="E282">
        <f>IFERROR(MATCH(279,$B$4:$B$503,0),"")</f>
        <v/>
      </c>
      <c r="G282">
        <f>IF('Checklist'!N282="Red",MAX($G$3:G281)+1,"")</f>
        <v/>
      </c>
    </row>
    <row r="283">
      <c r="A283">
        <f>IF(AND(LEN('Checklist'!C283)&gt;0,ISNUMBER('Checklist'!L283)),'Checklist'!L283+280/100000,"")</f>
        <v/>
      </c>
      <c r="B283">
        <f>IF(AND(LEN('Checklist'!C283)&gt;0,ISNUMBER('Checklist'!L283)),MAX($B$3:B282)+1,"")</f>
        <v/>
      </c>
      <c r="E283">
        <f>IFERROR(MATCH(280,$B$4:$B$503,0),"")</f>
        <v/>
      </c>
      <c r="G283">
        <f>IF('Checklist'!N283="Red",MAX($G$3:G282)+1,"")</f>
        <v/>
      </c>
    </row>
    <row r="284">
      <c r="A284">
        <f>IF(AND(LEN('Checklist'!C284)&gt;0,ISNUMBER('Checklist'!L284)),'Checklist'!L284+281/100000,"")</f>
        <v/>
      </c>
      <c r="B284">
        <f>IF(AND(LEN('Checklist'!C284)&gt;0,ISNUMBER('Checklist'!L284)),MAX($B$3:B283)+1,"")</f>
        <v/>
      </c>
      <c r="E284">
        <f>IFERROR(MATCH(281,$B$4:$B$503,0),"")</f>
        <v/>
      </c>
      <c r="G284">
        <f>IF('Checklist'!N284="Red",MAX($G$3:G283)+1,"")</f>
        <v/>
      </c>
    </row>
    <row r="285">
      <c r="A285">
        <f>IF(AND(LEN('Checklist'!C285)&gt;0,ISNUMBER('Checklist'!L285)),'Checklist'!L285+282/100000,"")</f>
        <v/>
      </c>
      <c r="B285">
        <f>IF(AND(LEN('Checklist'!C285)&gt;0,ISNUMBER('Checklist'!L285)),MAX($B$3:B284)+1,"")</f>
        <v/>
      </c>
      <c r="E285">
        <f>IFERROR(MATCH(282,$B$4:$B$503,0),"")</f>
        <v/>
      </c>
      <c r="G285">
        <f>IF('Checklist'!N285="Red",MAX($G$3:G284)+1,"")</f>
        <v/>
      </c>
    </row>
    <row r="286">
      <c r="A286">
        <f>IF(AND(LEN('Checklist'!C286)&gt;0,ISNUMBER('Checklist'!L286)),'Checklist'!L286+283/100000,"")</f>
        <v/>
      </c>
      <c r="B286">
        <f>IF(AND(LEN('Checklist'!C286)&gt;0,ISNUMBER('Checklist'!L286)),MAX($B$3:B285)+1,"")</f>
        <v/>
      </c>
      <c r="E286">
        <f>IFERROR(MATCH(283,$B$4:$B$503,0),"")</f>
        <v/>
      </c>
      <c r="G286">
        <f>IF('Checklist'!N286="Red",MAX($G$3:G285)+1,"")</f>
        <v/>
      </c>
    </row>
    <row r="287">
      <c r="A287">
        <f>IF(AND(LEN('Checklist'!C287)&gt;0,ISNUMBER('Checklist'!L287)),'Checklist'!L287+284/100000,"")</f>
        <v/>
      </c>
      <c r="B287">
        <f>IF(AND(LEN('Checklist'!C287)&gt;0,ISNUMBER('Checklist'!L287)),MAX($B$3:B286)+1,"")</f>
        <v/>
      </c>
      <c r="E287">
        <f>IFERROR(MATCH(284,$B$4:$B$503,0),"")</f>
        <v/>
      </c>
      <c r="G287">
        <f>IF('Checklist'!N287="Red",MAX($G$3:G286)+1,"")</f>
        <v/>
      </c>
    </row>
    <row r="288">
      <c r="A288">
        <f>IF(AND(LEN('Checklist'!C288)&gt;0,ISNUMBER('Checklist'!L288)),'Checklist'!L288+285/100000,"")</f>
        <v/>
      </c>
      <c r="B288">
        <f>IF(AND(LEN('Checklist'!C288)&gt;0,ISNUMBER('Checklist'!L288)),MAX($B$3:B287)+1,"")</f>
        <v/>
      </c>
      <c r="E288">
        <f>IFERROR(MATCH(285,$B$4:$B$503,0),"")</f>
        <v/>
      </c>
      <c r="G288">
        <f>IF('Checklist'!N288="Red",MAX($G$3:G287)+1,"")</f>
        <v/>
      </c>
    </row>
    <row r="289">
      <c r="A289">
        <f>IF(AND(LEN('Checklist'!C289)&gt;0,ISNUMBER('Checklist'!L289)),'Checklist'!L289+286/100000,"")</f>
        <v/>
      </c>
      <c r="B289">
        <f>IF(AND(LEN('Checklist'!C289)&gt;0,ISNUMBER('Checklist'!L289)),MAX($B$3:B288)+1,"")</f>
        <v/>
      </c>
      <c r="E289">
        <f>IFERROR(MATCH(286,$B$4:$B$503,0),"")</f>
        <v/>
      </c>
      <c r="G289">
        <f>IF('Checklist'!N289="Red",MAX($G$3:G288)+1,"")</f>
        <v/>
      </c>
    </row>
    <row r="290">
      <c r="A290">
        <f>IF(AND(LEN('Checklist'!C290)&gt;0,ISNUMBER('Checklist'!L290)),'Checklist'!L290+287/100000,"")</f>
        <v/>
      </c>
      <c r="B290">
        <f>IF(AND(LEN('Checklist'!C290)&gt;0,ISNUMBER('Checklist'!L290)),MAX($B$3:B289)+1,"")</f>
        <v/>
      </c>
      <c r="E290">
        <f>IFERROR(MATCH(287,$B$4:$B$503,0),"")</f>
        <v/>
      </c>
      <c r="G290">
        <f>IF('Checklist'!N290="Red",MAX($G$3:G289)+1,"")</f>
        <v/>
      </c>
    </row>
    <row r="291">
      <c r="A291">
        <f>IF(AND(LEN('Checklist'!C291)&gt;0,ISNUMBER('Checklist'!L291)),'Checklist'!L291+288/100000,"")</f>
        <v/>
      </c>
      <c r="B291">
        <f>IF(AND(LEN('Checklist'!C291)&gt;0,ISNUMBER('Checklist'!L291)),MAX($B$3:B290)+1,"")</f>
        <v/>
      </c>
      <c r="E291">
        <f>IFERROR(MATCH(288,$B$4:$B$503,0),"")</f>
        <v/>
      </c>
      <c r="G291">
        <f>IF('Checklist'!N291="Red",MAX($G$3:G290)+1,"")</f>
        <v/>
      </c>
    </row>
    <row r="292">
      <c r="A292">
        <f>IF(AND(LEN('Checklist'!C292)&gt;0,ISNUMBER('Checklist'!L292)),'Checklist'!L292+289/100000,"")</f>
        <v/>
      </c>
      <c r="B292">
        <f>IF(AND(LEN('Checklist'!C292)&gt;0,ISNUMBER('Checklist'!L292)),MAX($B$3:B291)+1,"")</f>
        <v/>
      </c>
      <c r="E292">
        <f>IFERROR(MATCH(289,$B$4:$B$503,0),"")</f>
        <v/>
      </c>
      <c r="G292">
        <f>IF('Checklist'!N292="Red",MAX($G$3:G291)+1,"")</f>
        <v/>
      </c>
    </row>
    <row r="293">
      <c r="A293">
        <f>IF(AND(LEN('Checklist'!C293)&gt;0,ISNUMBER('Checklist'!L293)),'Checklist'!L293+290/100000,"")</f>
        <v/>
      </c>
      <c r="B293">
        <f>IF(AND(LEN('Checklist'!C293)&gt;0,ISNUMBER('Checklist'!L293)),MAX($B$3:B292)+1,"")</f>
        <v/>
      </c>
      <c r="E293">
        <f>IFERROR(MATCH(290,$B$4:$B$503,0),"")</f>
        <v/>
      </c>
      <c r="G293">
        <f>IF('Checklist'!N293="Red",MAX($G$3:G292)+1,"")</f>
        <v/>
      </c>
    </row>
    <row r="294">
      <c r="A294">
        <f>IF(AND(LEN('Checklist'!C294)&gt;0,ISNUMBER('Checklist'!L294)),'Checklist'!L294+291/100000,"")</f>
        <v/>
      </c>
      <c r="B294">
        <f>IF(AND(LEN('Checklist'!C294)&gt;0,ISNUMBER('Checklist'!L294)),MAX($B$3:B293)+1,"")</f>
        <v/>
      </c>
      <c r="E294">
        <f>IFERROR(MATCH(291,$B$4:$B$503,0),"")</f>
        <v/>
      </c>
      <c r="G294">
        <f>IF('Checklist'!N294="Red",MAX($G$3:G293)+1,"")</f>
        <v/>
      </c>
    </row>
    <row r="295">
      <c r="A295">
        <f>IF(AND(LEN('Checklist'!C295)&gt;0,ISNUMBER('Checklist'!L295)),'Checklist'!L295+292/100000,"")</f>
        <v/>
      </c>
      <c r="B295">
        <f>IF(AND(LEN('Checklist'!C295)&gt;0,ISNUMBER('Checklist'!L295)),MAX($B$3:B294)+1,"")</f>
        <v/>
      </c>
      <c r="E295">
        <f>IFERROR(MATCH(292,$B$4:$B$503,0),"")</f>
        <v/>
      </c>
      <c r="G295">
        <f>IF('Checklist'!N295="Red",MAX($G$3:G294)+1,"")</f>
        <v/>
      </c>
    </row>
    <row r="296">
      <c r="A296">
        <f>IF(AND(LEN('Checklist'!C296)&gt;0,ISNUMBER('Checklist'!L296)),'Checklist'!L296+293/100000,"")</f>
        <v/>
      </c>
      <c r="B296">
        <f>IF(AND(LEN('Checklist'!C296)&gt;0,ISNUMBER('Checklist'!L296)),MAX($B$3:B295)+1,"")</f>
        <v/>
      </c>
      <c r="E296">
        <f>IFERROR(MATCH(293,$B$4:$B$503,0),"")</f>
        <v/>
      </c>
      <c r="G296">
        <f>IF('Checklist'!N296="Red",MAX($G$3:G295)+1,"")</f>
        <v/>
      </c>
    </row>
    <row r="297">
      <c r="A297">
        <f>IF(AND(LEN('Checklist'!C297)&gt;0,ISNUMBER('Checklist'!L297)),'Checklist'!L297+294/100000,"")</f>
        <v/>
      </c>
      <c r="B297">
        <f>IF(AND(LEN('Checklist'!C297)&gt;0,ISNUMBER('Checklist'!L297)),MAX($B$3:B296)+1,"")</f>
        <v/>
      </c>
      <c r="E297">
        <f>IFERROR(MATCH(294,$B$4:$B$503,0),"")</f>
        <v/>
      </c>
      <c r="G297">
        <f>IF('Checklist'!N297="Red",MAX($G$3:G296)+1,"")</f>
        <v/>
      </c>
    </row>
    <row r="298">
      <c r="A298">
        <f>IF(AND(LEN('Checklist'!C298)&gt;0,ISNUMBER('Checklist'!L298)),'Checklist'!L298+295/100000,"")</f>
        <v/>
      </c>
      <c r="B298">
        <f>IF(AND(LEN('Checklist'!C298)&gt;0,ISNUMBER('Checklist'!L298)),MAX($B$3:B297)+1,"")</f>
        <v/>
      </c>
      <c r="E298">
        <f>IFERROR(MATCH(295,$B$4:$B$503,0),"")</f>
        <v/>
      </c>
      <c r="G298">
        <f>IF('Checklist'!N298="Red",MAX($G$3:G297)+1,"")</f>
        <v/>
      </c>
    </row>
    <row r="299">
      <c r="A299">
        <f>IF(AND(LEN('Checklist'!C299)&gt;0,ISNUMBER('Checklist'!L299)),'Checklist'!L299+296/100000,"")</f>
        <v/>
      </c>
      <c r="B299">
        <f>IF(AND(LEN('Checklist'!C299)&gt;0,ISNUMBER('Checklist'!L299)),MAX($B$3:B298)+1,"")</f>
        <v/>
      </c>
      <c r="E299">
        <f>IFERROR(MATCH(296,$B$4:$B$503,0),"")</f>
        <v/>
      </c>
      <c r="G299">
        <f>IF('Checklist'!N299="Red",MAX($G$3:G298)+1,"")</f>
        <v/>
      </c>
    </row>
    <row r="300">
      <c r="A300">
        <f>IF(AND(LEN('Checklist'!C300)&gt;0,ISNUMBER('Checklist'!L300)),'Checklist'!L300+297/100000,"")</f>
        <v/>
      </c>
      <c r="B300">
        <f>IF(AND(LEN('Checklist'!C300)&gt;0,ISNUMBER('Checklist'!L300)),MAX($B$3:B299)+1,"")</f>
        <v/>
      </c>
      <c r="E300">
        <f>IFERROR(MATCH(297,$B$4:$B$503,0),"")</f>
        <v/>
      </c>
      <c r="G300">
        <f>IF('Checklist'!N300="Red",MAX($G$3:G299)+1,"")</f>
        <v/>
      </c>
    </row>
    <row r="301">
      <c r="A301">
        <f>IF(AND(LEN('Checklist'!C301)&gt;0,ISNUMBER('Checklist'!L301)),'Checklist'!L301+298/100000,"")</f>
        <v/>
      </c>
      <c r="B301">
        <f>IF(AND(LEN('Checklist'!C301)&gt;0,ISNUMBER('Checklist'!L301)),MAX($B$3:B300)+1,"")</f>
        <v/>
      </c>
      <c r="E301">
        <f>IFERROR(MATCH(298,$B$4:$B$503,0),"")</f>
        <v/>
      </c>
      <c r="G301">
        <f>IF('Checklist'!N301="Red",MAX($G$3:G300)+1,"")</f>
        <v/>
      </c>
    </row>
    <row r="302">
      <c r="A302">
        <f>IF(AND(LEN('Checklist'!C302)&gt;0,ISNUMBER('Checklist'!L302)),'Checklist'!L302+299/100000,"")</f>
        <v/>
      </c>
      <c r="B302">
        <f>IF(AND(LEN('Checklist'!C302)&gt;0,ISNUMBER('Checklist'!L302)),MAX($B$3:B301)+1,"")</f>
        <v/>
      </c>
      <c r="E302">
        <f>IFERROR(MATCH(299,$B$4:$B$503,0),"")</f>
        <v/>
      </c>
      <c r="G302">
        <f>IF('Checklist'!N302="Red",MAX($G$3:G301)+1,"")</f>
        <v/>
      </c>
    </row>
    <row r="303">
      <c r="A303">
        <f>IF(AND(LEN('Checklist'!C303)&gt;0,ISNUMBER('Checklist'!L303)),'Checklist'!L303+300/100000,"")</f>
        <v/>
      </c>
      <c r="B303">
        <f>IF(AND(LEN('Checklist'!C303)&gt;0,ISNUMBER('Checklist'!L303)),MAX($B$3:B302)+1,"")</f>
        <v/>
      </c>
      <c r="E303">
        <f>IFERROR(MATCH(300,$B$4:$B$503,0),"")</f>
        <v/>
      </c>
      <c r="G303">
        <f>IF('Checklist'!N303="Red",MAX($G$3:G302)+1,"")</f>
        <v/>
      </c>
    </row>
    <row r="304">
      <c r="A304">
        <f>IF(AND(LEN('Checklist'!C304)&gt;0,ISNUMBER('Checklist'!L304)),'Checklist'!L304+301/100000,"")</f>
        <v/>
      </c>
      <c r="B304">
        <f>IF(AND(LEN('Checklist'!C304)&gt;0,ISNUMBER('Checklist'!L304)),MAX($B$3:B303)+1,"")</f>
        <v/>
      </c>
      <c r="E304">
        <f>IFERROR(MATCH(301,$B$4:$B$503,0),"")</f>
        <v/>
      </c>
      <c r="G304">
        <f>IF('Checklist'!N304="Red",MAX($G$3:G303)+1,"")</f>
        <v/>
      </c>
    </row>
    <row r="305">
      <c r="A305">
        <f>IF(AND(LEN('Checklist'!C305)&gt;0,ISNUMBER('Checklist'!L305)),'Checklist'!L305+302/100000,"")</f>
        <v/>
      </c>
      <c r="B305">
        <f>IF(AND(LEN('Checklist'!C305)&gt;0,ISNUMBER('Checklist'!L305)),MAX($B$3:B304)+1,"")</f>
        <v/>
      </c>
      <c r="E305">
        <f>IFERROR(MATCH(302,$B$4:$B$503,0),"")</f>
        <v/>
      </c>
      <c r="G305">
        <f>IF('Checklist'!N305="Red",MAX($G$3:G304)+1,"")</f>
        <v/>
      </c>
    </row>
    <row r="306">
      <c r="A306">
        <f>IF(AND(LEN('Checklist'!C306)&gt;0,ISNUMBER('Checklist'!L306)),'Checklist'!L306+303/100000,"")</f>
        <v/>
      </c>
      <c r="B306">
        <f>IF(AND(LEN('Checklist'!C306)&gt;0,ISNUMBER('Checklist'!L306)),MAX($B$3:B305)+1,"")</f>
        <v/>
      </c>
      <c r="E306">
        <f>IFERROR(MATCH(303,$B$4:$B$503,0),"")</f>
        <v/>
      </c>
      <c r="G306">
        <f>IF('Checklist'!N306="Red",MAX($G$3:G305)+1,"")</f>
        <v/>
      </c>
    </row>
    <row r="307">
      <c r="A307">
        <f>IF(AND(LEN('Checklist'!C307)&gt;0,ISNUMBER('Checklist'!L307)),'Checklist'!L307+304/100000,"")</f>
        <v/>
      </c>
      <c r="B307">
        <f>IF(AND(LEN('Checklist'!C307)&gt;0,ISNUMBER('Checklist'!L307)),MAX($B$3:B306)+1,"")</f>
        <v/>
      </c>
      <c r="E307">
        <f>IFERROR(MATCH(304,$B$4:$B$503,0),"")</f>
        <v/>
      </c>
      <c r="G307">
        <f>IF('Checklist'!N307="Red",MAX($G$3:G306)+1,"")</f>
        <v/>
      </c>
    </row>
    <row r="308">
      <c r="A308">
        <f>IF(AND(LEN('Checklist'!C308)&gt;0,ISNUMBER('Checklist'!L308)),'Checklist'!L308+305/100000,"")</f>
        <v/>
      </c>
      <c r="B308">
        <f>IF(AND(LEN('Checklist'!C308)&gt;0,ISNUMBER('Checklist'!L308)),MAX($B$3:B307)+1,"")</f>
        <v/>
      </c>
      <c r="E308">
        <f>IFERROR(MATCH(305,$B$4:$B$503,0),"")</f>
        <v/>
      </c>
      <c r="G308">
        <f>IF('Checklist'!N308="Red",MAX($G$3:G307)+1,"")</f>
        <v/>
      </c>
    </row>
    <row r="309">
      <c r="A309">
        <f>IF(AND(LEN('Checklist'!C309)&gt;0,ISNUMBER('Checklist'!L309)),'Checklist'!L309+306/100000,"")</f>
        <v/>
      </c>
      <c r="B309">
        <f>IF(AND(LEN('Checklist'!C309)&gt;0,ISNUMBER('Checklist'!L309)),MAX($B$3:B308)+1,"")</f>
        <v/>
      </c>
      <c r="E309">
        <f>IFERROR(MATCH(306,$B$4:$B$503,0),"")</f>
        <v/>
      </c>
      <c r="G309">
        <f>IF('Checklist'!N309="Red",MAX($G$3:G308)+1,"")</f>
        <v/>
      </c>
    </row>
    <row r="310">
      <c r="A310">
        <f>IF(AND(LEN('Checklist'!C310)&gt;0,ISNUMBER('Checklist'!L310)),'Checklist'!L310+307/100000,"")</f>
        <v/>
      </c>
      <c r="B310">
        <f>IF(AND(LEN('Checklist'!C310)&gt;0,ISNUMBER('Checklist'!L310)),MAX($B$3:B309)+1,"")</f>
        <v/>
      </c>
      <c r="E310">
        <f>IFERROR(MATCH(307,$B$4:$B$503,0),"")</f>
        <v/>
      </c>
      <c r="G310">
        <f>IF('Checklist'!N310="Red",MAX($G$3:G309)+1,"")</f>
        <v/>
      </c>
    </row>
    <row r="311">
      <c r="A311">
        <f>IF(AND(LEN('Checklist'!C311)&gt;0,ISNUMBER('Checklist'!L311)),'Checklist'!L311+308/100000,"")</f>
        <v/>
      </c>
      <c r="B311">
        <f>IF(AND(LEN('Checklist'!C311)&gt;0,ISNUMBER('Checklist'!L311)),MAX($B$3:B310)+1,"")</f>
        <v/>
      </c>
      <c r="E311">
        <f>IFERROR(MATCH(308,$B$4:$B$503,0),"")</f>
        <v/>
      </c>
      <c r="G311">
        <f>IF('Checklist'!N311="Red",MAX($G$3:G310)+1,"")</f>
        <v/>
      </c>
    </row>
    <row r="312">
      <c r="A312">
        <f>IF(AND(LEN('Checklist'!C312)&gt;0,ISNUMBER('Checklist'!L312)),'Checklist'!L312+309/100000,"")</f>
        <v/>
      </c>
      <c r="B312">
        <f>IF(AND(LEN('Checklist'!C312)&gt;0,ISNUMBER('Checklist'!L312)),MAX($B$3:B311)+1,"")</f>
        <v/>
      </c>
      <c r="E312">
        <f>IFERROR(MATCH(309,$B$4:$B$503,0),"")</f>
        <v/>
      </c>
      <c r="G312">
        <f>IF('Checklist'!N312="Red",MAX($G$3:G311)+1,"")</f>
        <v/>
      </c>
    </row>
    <row r="313">
      <c r="A313">
        <f>IF(AND(LEN('Checklist'!C313)&gt;0,ISNUMBER('Checklist'!L313)),'Checklist'!L313+310/100000,"")</f>
        <v/>
      </c>
      <c r="B313">
        <f>IF(AND(LEN('Checklist'!C313)&gt;0,ISNUMBER('Checklist'!L313)),MAX($B$3:B312)+1,"")</f>
        <v/>
      </c>
      <c r="E313">
        <f>IFERROR(MATCH(310,$B$4:$B$503,0),"")</f>
        <v/>
      </c>
      <c r="G313">
        <f>IF('Checklist'!N313="Red",MAX($G$3:G312)+1,"")</f>
        <v/>
      </c>
    </row>
    <row r="314">
      <c r="A314">
        <f>IF(AND(LEN('Checklist'!C314)&gt;0,ISNUMBER('Checklist'!L314)),'Checklist'!L314+311/100000,"")</f>
        <v/>
      </c>
      <c r="B314">
        <f>IF(AND(LEN('Checklist'!C314)&gt;0,ISNUMBER('Checklist'!L314)),MAX($B$3:B313)+1,"")</f>
        <v/>
      </c>
      <c r="E314">
        <f>IFERROR(MATCH(311,$B$4:$B$503,0),"")</f>
        <v/>
      </c>
      <c r="G314">
        <f>IF('Checklist'!N314="Red",MAX($G$3:G313)+1,"")</f>
        <v/>
      </c>
    </row>
    <row r="315">
      <c r="A315">
        <f>IF(AND(LEN('Checklist'!C315)&gt;0,ISNUMBER('Checklist'!L315)),'Checklist'!L315+312/100000,"")</f>
        <v/>
      </c>
      <c r="B315">
        <f>IF(AND(LEN('Checklist'!C315)&gt;0,ISNUMBER('Checklist'!L315)),MAX($B$3:B314)+1,"")</f>
        <v/>
      </c>
      <c r="E315">
        <f>IFERROR(MATCH(312,$B$4:$B$503,0),"")</f>
        <v/>
      </c>
      <c r="G315">
        <f>IF('Checklist'!N315="Red",MAX($G$3:G314)+1,"")</f>
        <v/>
      </c>
    </row>
    <row r="316">
      <c r="A316">
        <f>IF(AND(LEN('Checklist'!C316)&gt;0,ISNUMBER('Checklist'!L316)),'Checklist'!L316+313/100000,"")</f>
        <v/>
      </c>
      <c r="B316">
        <f>IF(AND(LEN('Checklist'!C316)&gt;0,ISNUMBER('Checklist'!L316)),MAX($B$3:B315)+1,"")</f>
        <v/>
      </c>
      <c r="E316">
        <f>IFERROR(MATCH(313,$B$4:$B$503,0),"")</f>
        <v/>
      </c>
      <c r="G316">
        <f>IF('Checklist'!N316="Red",MAX($G$3:G315)+1,"")</f>
        <v/>
      </c>
    </row>
    <row r="317">
      <c r="A317">
        <f>IF(AND(LEN('Checklist'!C317)&gt;0,ISNUMBER('Checklist'!L317)),'Checklist'!L317+314/100000,"")</f>
        <v/>
      </c>
      <c r="B317">
        <f>IF(AND(LEN('Checklist'!C317)&gt;0,ISNUMBER('Checklist'!L317)),MAX($B$3:B316)+1,"")</f>
        <v/>
      </c>
      <c r="E317">
        <f>IFERROR(MATCH(314,$B$4:$B$503,0),"")</f>
        <v/>
      </c>
      <c r="G317">
        <f>IF('Checklist'!N317="Red",MAX($G$3:G316)+1,"")</f>
        <v/>
      </c>
    </row>
    <row r="318">
      <c r="A318">
        <f>IF(AND(LEN('Checklist'!C318)&gt;0,ISNUMBER('Checklist'!L318)),'Checklist'!L318+315/100000,"")</f>
        <v/>
      </c>
      <c r="B318">
        <f>IF(AND(LEN('Checklist'!C318)&gt;0,ISNUMBER('Checklist'!L318)),MAX($B$3:B317)+1,"")</f>
        <v/>
      </c>
      <c r="E318">
        <f>IFERROR(MATCH(315,$B$4:$B$503,0),"")</f>
        <v/>
      </c>
      <c r="G318">
        <f>IF('Checklist'!N318="Red",MAX($G$3:G317)+1,"")</f>
        <v/>
      </c>
    </row>
    <row r="319">
      <c r="A319">
        <f>IF(AND(LEN('Checklist'!C319)&gt;0,ISNUMBER('Checklist'!L319)),'Checklist'!L319+316/100000,"")</f>
        <v/>
      </c>
      <c r="B319">
        <f>IF(AND(LEN('Checklist'!C319)&gt;0,ISNUMBER('Checklist'!L319)),MAX($B$3:B318)+1,"")</f>
        <v/>
      </c>
      <c r="E319">
        <f>IFERROR(MATCH(316,$B$4:$B$503,0),"")</f>
        <v/>
      </c>
      <c r="G319">
        <f>IF('Checklist'!N319="Red",MAX($G$3:G318)+1,"")</f>
        <v/>
      </c>
    </row>
    <row r="320">
      <c r="A320">
        <f>IF(AND(LEN('Checklist'!C320)&gt;0,ISNUMBER('Checklist'!L320)),'Checklist'!L320+317/100000,"")</f>
        <v/>
      </c>
      <c r="B320">
        <f>IF(AND(LEN('Checklist'!C320)&gt;0,ISNUMBER('Checklist'!L320)),MAX($B$3:B319)+1,"")</f>
        <v/>
      </c>
      <c r="E320">
        <f>IFERROR(MATCH(317,$B$4:$B$503,0),"")</f>
        <v/>
      </c>
      <c r="G320">
        <f>IF('Checklist'!N320="Red",MAX($G$3:G319)+1,"")</f>
        <v/>
      </c>
    </row>
    <row r="321">
      <c r="A321">
        <f>IF(AND(LEN('Checklist'!C321)&gt;0,ISNUMBER('Checklist'!L321)),'Checklist'!L321+318/100000,"")</f>
        <v/>
      </c>
      <c r="B321">
        <f>IF(AND(LEN('Checklist'!C321)&gt;0,ISNUMBER('Checklist'!L321)),MAX($B$3:B320)+1,"")</f>
        <v/>
      </c>
      <c r="E321">
        <f>IFERROR(MATCH(318,$B$4:$B$503,0),"")</f>
        <v/>
      </c>
      <c r="G321">
        <f>IF('Checklist'!N321="Red",MAX($G$3:G320)+1,"")</f>
        <v/>
      </c>
    </row>
    <row r="322">
      <c r="A322">
        <f>IF(AND(LEN('Checklist'!C322)&gt;0,ISNUMBER('Checklist'!L322)),'Checklist'!L322+319/100000,"")</f>
        <v/>
      </c>
      <c r="B322">
        <f>IF(AND(LEN('Checklist'!C322)&gt;0,ISNUMBER('Checklist'!L322)),MAX($B$3:B321)+1,"")</f>
        <v/>
      </c>
      <c r="E322">
        <f>IFERROR(MATCH(319,$B$4:$B$503,0),"")</f>
        <v/>
      </c>
      <c r="G322">
        <f>IF('Checklist'!N322="Red",MAX($G$3:G321)+1,"")</f>
        <v/>
      </c>
    </row>
    <row r="323">
      <c r="A323">
        <f>IF(AND(LEN('Checklist'!C323)&gt;0,ISNUMBER('Checklist'!L323)),'Checklist'!L323+320/100000,"")</f>
        <v/>
      </c>
      <c r="B323">
        <f>IF(AND(LEN('Checklist'!C323)&gt;0,ISNUMBER('Checklist'!L323)),MAX($B$3:B322)+1,"")</f>
        <v/>
      </c>
      <c r="E323">
        <f>IFERROR(MATCH(320,$B$4:$B$503,0),"")</f>
        <v/>
      </c>
      <c r="G323">
        <f>IF('Checklist'!N323="Red",MAX($G$3:G322)+1,"")</f>
        <v/>
      </c>
    </row>
    <row r="324">
      <c r="A324">
        <f>IF(AND(LEN('Checklist'!C324)&gt;0,ISNUMBER('Checklist'!L324)),'Checklist'!L324+321/100000,"")</f>
        <v/>
      </c>
      <c r="B324">
        <f>IF(AND(LEN('Checklist'!C324)&gt;0,ISNUMBER('Checklist'!L324)),MAX($B$3:B323)+1,"")</f>
        <v/>
      </c>
      <c r="E324">
        <f>IFERROR(MATCH(321,$B$4:$B$503,0),"")</f>
        <v/>
      </c>
      <c r="G324">
        <f>IF('Checklist'!N324="Red",MAX($G$3:G323)+1,"")</f>
        <v/>
      </c>
    </row>
    <row r="325">
      <c r="A325">
        <f>IF(AND(LEN('Checklist'!C325)&gt;0,ISNUMBER('Checklist'!L325)),'Checklist'!L325+322/100000,"")</f>
        <v/>
      </c>
      <c r="B325">
        <f>IF(AND(LEN('Checklist'!C325)&gt;0,ISNUMBER('Checklist'!L325)),MAX($B$3:B324)+1,"")</f>
        <v/>
      </c>
      <c r="E325">
        <f>IFERROR(MATCH(322,$B$4:$B$503,0),"")</f>
        <v/>
      </c>
      <c r="G325">
        <f>IF('Checklist'!N325="Red",MAX($G$3:G324)+1,"")</f>
        <v/>
      </c>
    </row>
    <row r="326">
      <c r="A326">
        <f>IF(AND(LEN('Checklist'!C326)&gt;0,ISNUMBER('Checklist'!L326)),'Checklist'!L326+323/100000,"")</f>
        <v/>
      </c>
      <c r="B326">
        <f>IF(AND(LEN('Checklist'!C326)&gt;0,ISNUMBER('Checklist'!L326)),MAX($B$3:B325)+1,"")</f>
        <v/>
      </c>
      <c r="E326">
        <f>IFERROR(MATCH(323,$B$4:$B$503,0),"")</f>
        <v/>
      </c>
      <c r="G326">
        <f>IF('Checklist'!N326="Red",MAX($G$3:G325)+1,"")</f>
        <v/>
      </c>
    </row>
    <row r="327">
      <c r="A327">
        <f>IF(AND(LEN('Checklist'!C327)&gt;0,ISNUMBER('Checklist'!L327)),'Checklist'!L327+324/100000,"")</f>
        <v/>
      </c>
      <c r="B327">
        <f>IF(AND(LEN('Checklist'!C327)&gt;0,ISNUMBER('Checklist'!L327)),MAX($B$3:B326)+1,"")</f>
        <v/>
      </c>
      <c r="E327">
        <f>IFERROR(MATCH(324,$B$4:$B$503,0),"")</f>
        <v/>
      </c>
      <c r="G327">
        <f>IF('Checklist'!N327="Red",MAX($G$3:G326)+1,"")</f>
        <v/>
      </c>
    </row>
    <row r="328">
      <c r="A328">
        <f>IF(AND(LEN('Checklist'!C328)&gt;0,ISNUMBER('Checklist'!L328)),'Checklist'!L328+325/100000,"")</f>
        <v/>
      </c>
      <c r="B328">
        <f>IF(AND(LEN('Checklist'!C328)&gt;0,ISNUMBER('Checklist'!L328)),MAX($B$3:B327)+1,"")</f>
        <v/>
      </c>
      <c r="E328">
        <f>IFERROR(MATCH(325,$B$4:$B$503,0),"")</f>
        <v/>
      </c>
      <c r="G328">
        <f>IF('Checklist'!N328="Red",MAX($G$3:G327)+1,"")</f>
        <v/>
      </c>
    </row>
    <row r="329">
      <c r="A329">
        <f>IF(AND(LEN('Checklist'!C329)&gt;0,ISNUMBER('Checklist'!L329)),'Checklist'!L329+326/100000,"")</f>
        <v/>
      </c>
      <c r="B329">
        <f>IF(AND(LEN('Checklist'!C329)&gt;0,ISNUMBER('Checklist'!L329)),MAX($B$3:B328)+1,"")</f>
        <v/>
      </c>
      <c r="E329">
        <f>IFERROR(MATCH(326,$B$4:$B$503,0),"")</f>
        <v/>
      </c>
      <c r="G329">
        <f>IF('Checklist'!N329="Red",MAX($G$3:G328)+1,"")</f>
        <v/>
      </c>
    </row>
    <row r="330">
      <c r="A330">
        <f>IF(AND(LEN('Checklist'!C330)&gt;0,ISNUMBER('Checklist'!L330)),'Checklist'!L330+327/100000,"")</f>
        <v/>
      </c>
      <c r="B330">
        <f>IF(AND(LEN('Checklist'!C330)&gt;0,ISNUMBER('Checklist'!L330)),MAX($B$3:B329)+1,"")</f>
        <v/>
      </c>
      <c r="E330">
        <f>IFERROR(MATCH(327,$B$4:$B$503,0),"")</f>
        <v/>
      </c>
      <c r="G330">
        <f>IF('Checklist'!N330="Red",MAX($G$3:G329)+1,"")</f>
        <v/>
      </c>
    </row>
    <row r="331">
      <c r="A331">
        <f>IF(AND(LEN('Checklist'!C331)&gt;0,ISNUMBER('Checklist'!L331)),'Checklist'!L331+328/100000,"")</f>
        <v/>
      </c>
      <c r="B331">
        <f>IF(AND(LEN('Checklist'!C331)&gt;0,ISNUMBER('Checklist'!L331)),MAX($B$3:B330)+1,"")</f>
        <v/>
      </c>
      <c r="E331">
        <f>IFERROR(MATCH(328,$B$4:$B$503,0),"")</f>
        <v/>
      </c>
      <c r="G331">
        <f>IF('Checklist'!N331="Red",MAX($G$3:G330)+1,"")</f>
        <v/>
      </c>
    </row>
    <row r="332">
      <c r="A332">
        <f>IF(AND(LEN('Checklist'!C332)&gt;0,ISNUMBER('Checklist'!L332)),'Checklist'!L332+329/100000,"")</f>
        <v/>
      </c>
      <c r="B332">
        <f>IF(AND(LEN('Checklist'!C332)&gt;0,ISNUMBER('Checklist'!L332)),MAX($B$3:B331)+1,"")</f>
        <v/>
      </c>
      <c r="E332">
        <f>IFERROR(MATCH(329,$B$4:$B$503,0),"")</f>
        <v/>
      </c>
      <c r="G332">
        <f>IF('Checklist'!N332="Red",MAX($G$3:G331)+1,"")</f>
        <v/>
      </c>
    </row>
    <row r="333">
      <c r="A333">
        <f>IF(AND(LEN('Checklist'!C333)&gt;0,ISNUMBER('Checklist'!L333)),'Checklist'!L333+330/100000,"")</f>
        <v/>
      </c>
      <c r="B333">
        <f>IF(AND(LEN('Checklist'!C333)&gt;0,ISNUMBER('Checklist'!L333)),MAX($B$3:B332)+1,"")</f>
        <v/>
      </c>
      <c r="E333">
        <f>IFERROR(MATCH(330,$B$4:$B$503,0),"")</f>
        <v/>
      </c>
      <c r="G333">
        <f>IF('Checklist'!N333="Red",MAX($G$3:G332)+1,"")</f>
        <v/>
      </c>
    </row>
    <row r="334">
      <c r="A334">
        <f>IF(AND(LEN('Checklist'!C334)&gt;0,ISNUMBER('Checklist'!L334)),'Checklist'!L334+331/100000,"")</f>
        <v/>
      </c>
      <c r="B334">
        <f>IF(AND(LEN('Checklist'!C334)&gt;0,ISNUMBER('Checklist'!L334)),MAX($B$3:B333)+1,"")</f>
        <v/>
      </c>
      <c r="E334">
        <f>IFERROR(MATCH(331,$B$4:$B$503,0),"")</f>
        <v/>
      </c>
      <c r="G334">
        <f>IF('Checklist'!N334="Red",MAX($G$3:G333)+1,"")</f>
        <v/>
      </c>
    </row>
    <row r="335">
      <c r="A335">
        <f>IF(AND(LEN('Checklist'!C335)&gt;0,ISNUMBER('Checklist'!L335)),'Checklist'!L335+332/100000,"")</f>
        <v/>
      </c>
      <c r="B335">
        <f>IF(AND(LEN('Checklist'!C335)&gt;0,ISNUMBER('Checklist'!L335)),MAX($B$3:B334)+1,"")</f>
        <v/>
      </c>
      <c r="E335">
        <f>IFERROR(MATCH(332,$B$4:$B$503,0),"")</f>
        <v/>
      </c>
      <c r="G335">
        <f>IF('Checklist'!N335="Red",MAX($G$3:G334)+1,"")</f>
        <v/>
      </c>
    </row>
    <row r="336">
      <c r="A336">
        <f>IF(AND(LEN('Checklist'!C336)&gt;0,ISNUMBER('Checklist'!L336)),'Checklist'!L336+333/100000,"")</f>
        <v/>
      </c>
      <c r="B336">
        <f>IF(AND(LEN('Checklist'!C336)&gt;0,ISNUMBER('Checklist'!L336)),MAX($B$3:B335)+1,"")</f>
        <v/>
      </c>
      <c r="E336">
        <f>IFERROR(MATCH(333,$B$4:$B$503,0),"")</f>
        <v/>
      </c>
      <c r="G336">
        <f>IF('Checklist'!N336="Red",MAX($G$3:G335)+1,"")</f>
        <v/>
      </c>
    </row>
    <row r="337">
      <c r="A337">
        <f>IF(AND(LEN('Checklist'!C337)&gt;0,ISNUMBER('Checklist'!L337)),'Checklist'!L337+334/100000,"")</f>
        <v/>
      </c>
      <c r="B337">
        <f>IF(AND(LEN('Checklist'!C337)&gt;0,ISNUMBER('Checklist'!L337)),MAX($B$3:B336)+1,"")</f>
        <v/>
      </c>
      <c r="E337">
        <f>IFERROR(MATCH(334,$B$4:$B$503,0),"")</f>
        <v/>
      </c>
      <c r="G337">
        <f>IF('Checklist'!N337="Red",MAX($G$3:G336)+1,"")</f>
        <v/>
      </c>
    </row>
    <row r="338">
      <c r="A338">
        <f>IF(AND(LEN('Checklist'!C338)&gt;0,ISNUMBER('Checklist'!L338)),'Checklist'!L338+335/100000,"")</f>
        <v/>
      </c>
      <c r="B338">
        <f>IF(AND(LEN('Checklist'!C338)&gt;0,ISNUMBER('Checklist'!L338)),MAX($B$3:B337)+1,"")</f>
        <v/>
      </c>
      <c r="E338">
        <f>IFERROR(MATCH(335,$B$4:$B$503,0),"")</f>
        <v/>
      </c>
      <c r="G338">
        <f>IF('Checklist'!N338="Red",MAX($G$3:G337)+1,"")</f>
        <v/>
      </c>
    </row>
    <row r="339">
      <c r="A339">
        <f>IF(AND(LEN('Checklist'!C339)&gt;0,ISNUMBER('Checklist'!L339)),'Checklist'!L339+336/100000,"")</f>
        <v/>
      </c>
      <c r="B339">
        <f>IF(AND(LEN('Checklist'!C339)&gt;0,ISNUMBER('Checklist'!L339)),MAX($B$3:B338)+1,"")</f>
        <v/>
      </c>
      <c r="E339">
        <f>IFERROR(MATCH(336,$B$4:$B$503,0),"")</f>
        <v/>
      </c>
      <c r="G339">
        <f>IF('Checklist'!N339="Red",MAX($G$3:G338)+1,"")</f>
        <v/>
      </c>
    </row>
    <row r="340">
      <c r="A340">
        <f>IF(AND(LEN('Checklist'!C340)&gt;0,ISNUMBER('Checklist'!L340)),'Checklist'!L340+337/100000,"")</f>
        <v/>
      </c>
      <c r="B340">
        <f>IF(AND(LEN('Checklist'!C340)&gt;0,ISNUMBER('Checklist'!L340)),MAX($B$3:B339)+1,"")</f>
        <v/>
      </c>
      <c r="E340">
        <f>IFERROR(MATCH(337,$B$4:$B$503,0),"")</f>
        <v/>
      </c>
      <c r="G340">
        <f>IF('Checklist'!N340="Red",MAX($G$3:G339)+1,"")</f>
        <v/>
      </c>
    </row>
    <row r="341">
      <c r="A341">
        <f>IF(AND(LEN('Checklist'!C341)&gt;0,ISNUMBER('Checklist'!L341)),'Checklist'!L341+338/100000,"")</f>
        <v/>
      </c>
      <c r="B341">
        <f>IF(AND(LEN('Checklist'!C341)&gt;0,ISNUMBER('Checklist'!L341)),MAX($B$3:B340)+1,"")</f>
        <v/>
      </c>
      <c r="E341">
        <f>IFERROR(MATCH(338,$B$4:$B$503,0),"")</f>
        <v/>
      </c>
      <c r="G341">
        <f>IF('Checklist'!N341="Red",MAX($G$3:G340)+1,"")</f>
        <v/>
      </c>
    </row>
    <row r="342">
      <c r="A342">
        <f>IF(AND(LEN('Checklist'!C342)&gt;0,ISNUMBER('Checklist'!L342)),'Checklist'!L342+339/100000,"")</f>
        <v/>
      </c>
      <c r="B342">
        <f>IF(AND(LEN('Checklist'!C342)&gt;0,ISNUMBER('Checklist'!L342)),MAX($B$3:B341)+1,"")</f>
        <v/>
      </c>
      <c r="E342">
        <f>IFERROR(MATCH(339,$B$4:$B$503,0),"")</f>
        <v/>
      </c>
      <c r="G342">
        <f>IF('Checklist'!N342="Red",MAX($G$3:G341)+1,"")</f>
        <v/>
      </c>
    </row>
    <row r="343">
      <c r="A343">
        <f>IF(AND(LEN('Checklist'!C343)&gt;0,ISNUMBER('Checklist'!L343)),'Checklist'!L343+340/100000,"")</f>
        <v/>
      </c>
      <c r="B343">
        <f>IF(AND(LEN('Checklist'!C343)&gt;0,ISNUMBER('Checklist'!L343)),MAX($B$3:B342)+1,"")</f>
        <v/>
      </c>
      <c r="E343">
        <f>IFERROR(MATCH(340,$B$4:$B$503,0),"")</f>
        <v/>
      </c>
      <c r="G343">
        <f>IF('Checklist'!N343="Red",MAX($G$3:G342)+1,"")</f>
        <v/>
      </c>
    </row>
    <row r="344">
      <c r="A344">
        <f>IF(AND(LEN('Checklist'!C344)&gt;0,ISNUMBER('Checklist'!L344)),'Checklist'!L344+341/100000,"")</f>
        <v/>
      </c>
      <c r="B344">
        <f>IF(AND(LEN('Checklist'!C344)&gt;0,ISNUMBER('Checklist'!L344)),MAX($B$3:B343)+1,"")</f>
        <v/>
      </c>
      <c r="E344">
        <f>IFERROR(MATCH(341,$B$4:$B$503,0),"")</f>
        <v/>
      </c>
      <c r="G344">
        <f>IF('Checklist'!N344="Red",MAX($G$3:G343)+1,"")</f>
        <v/>
      </c>
    </row>
    <row r="345">
      <c r="A345">
        <f>IF(AND(LEN('Checklist'!C345)&gt;0,ISNUMBER('Checklist'!L345)),'Checklist'!L345+342/100000,"")</f>
        <v/>
      </c>
      <c r="B345">
        <f>IF(AND(LEN('Checklist'!C345)&gt;0,ISNUMBER('Checklist'!L345)),MAX($B$3:B344)+1,"")</f>
        <v/>
      </c>
      <c r="E345">
        <f>IFERROR(MATCH(342,$B$4:$B$503,0),"")</f>
        <v/>
      </c>
      <c r="G345">
        <f>IF('Checklist'!N345="Red",MAX($G$3:G344)+1,"")</f>
        <v/>
      </c>
    </row>
    <row r="346">
      <c r="A346">
        <f>IF(AND(LEN('Checklist'!C346)&gt;0,ISNUMBER('Checklist'!L346)),'Checklist'!L346+343/100000,"")</f>
        <v/>
      </c>
      <c r="B346">
        <f>IF(AND(LEN('Checklist'!C346)&gt;0,ISNUMBER('Checklist'!L346)),MAX($B$3:B345)+1,"")</f>
        <v/>
      </c>
      <c r="E346">
        <f>IFERROR(MATCH(343,$B$4:$B$503,0),"")</f>
        <v/>
      </c>
      <c r="G346">
        <f>IF('Checklist'!N346="Red",MAX($G$3:G345)+1,"")</f>
        <v/>
      </c>
    </row>
    <row r="347">
      <c r="A347">
        <f>IF(AND(LEN('Checklist'!C347)&gt;0,ISNUMBER('Checklist'!L347)),'Checklist'!L347+344/100000,"")</f>
        <v/>
      </c>
      <c r="B347">
        <f>IF(AND(LEN('Checklist'!C347)&gt;0,ISNUMBER('Checklist'!L347)),MAX($B$3:B346)+1,"")</f>
        <v/>
      </c>
      <c r="E347">
        <f>IFERROR(MATCH(344,$B$4:$B$503,0),"")</f>
        <v/>
      </c>
      <c r="G347">
        <f>IF('Checklist'!N347="Red",MAX($G$3:G346)+1,"")</f>
        <v/>
      </c>
    </row>
    <row r="348">
      <c r="A348">
        <f>IF(AND(LEN('Checklist'!C348)&gt;0,ISNUMBER('Checklist'!L348)),'Checklist'!L348+345/100000,"")</f>
        <v/>
      </c>
      <c r="B348">
        <f>IF(AND(LEN('Checklist'!C348)&gt;0,ISNUMBER('Checklist'!L348)),MAX($B$3:B347)+1,"")</f>
        <v/>
      </c>
      <c r="E348">
        <f>IFERROR(MATCH(345,$B$4:$B$503,0),"")</f>
        <v/>
      </c>
      <c r="G348">
        <f>IF('Checklist'!N348="Red",MAX($G$3:G347)+1,"")</f>
        <v/>
      </c>
    </row>
    <row r="349">
      <c r="A349">
        <f>IF(AND(LEN('Checklist'!C349)&gt;0,ISNUMBER('Checklist'!L349)),'Checklist'!L349+346/100000,"")</f>
        <v/>
      </c>
      <c r="B349">
        <f>IF(AND(LEN('Checklist'!C349)&gt;0,ISNUMBER('Checklist'!L349)),MAX($B$3:B348)+1,"")</f>
        <v/>
      </c>
      <c r="E349">
        <f>IFERROR(MATCH(346,$B$4:$B$503,0),"")</f>
        <v/>
      </c>
      <c r="G349">
        <f>IF('Checklist'!N349="Red",MAX($G$3:G348)+1,"")</f>
        <v/>
      </c>
    </row>
    <row r="350">
      <c r="A350">
        <f>IF(AND(LEN('Checklist'!C350)&gt;0,ISNUMBER('Checklist'!L350)),'Checklist'!L350+347/100000,"")</f>
        <v/>
      </c>
      <c r="B350">
        <f>IF(AND(LEN('Checklist'!C350)&gt;0,ISNUMBER('Checklist'!L350)),MAX($B$3:B349)+1,"")</f>
        <v/>
      </c>
      <c r="E350">
        <f>IFERROR(MATCH(347,$B$4:$B$503,0),"")</f>
        <v/>
      </c>
      <c r="G350">
        <f>IF('Checklist'!N350="Red",MAX($G$3:G349)+1,"")</f>
        <v/>
      </c>
    </row>
    <row r="351">
      <c r="A351">
        <f>IF(AND(LEN('Checklist'!C351)&gt;0,ISNUMBER('Checklist'!L351)),'Checklist'!L351+348/100000,"")</f>
        <v/>
      </c>
      <c r="B351">
        <f>IF(AND(LEN('Checklist'!C351)&gt;0,ISNUMBER('Checklist'!L351)),MAX($B$3:B350)+1,"")</f>
        <v/>
      </c>
      <c r="E351">
        <f>IFERROR(MATCH(348,$B$4:$B$503,0),"")</f>
        <v/>
      </c>
      <c r="G351">
        <f>IF('Checklist'!N351="Red",MAX($G$3:G350)+1,"")</f>
        <v/>
      </c>
    </row>
    <row r="352">
      <c r="A352">
        <f>IF(AND(LEN('Checklist'!C352)&gt;0,ISNUMBER('Checklist'!L352)),'Checklist'!L352+349/100000,"")</f>
        <v/>
      </c>
      <c r="B352">
        <f>IF(AND(LEN('Checklist'!C352)&gt;0,ISNUMBER('Checklist'!L352)),MAX($B$3:B351)+1,"")</f>
        <v/>
      </c>
      <c r="E352">
        <f>IFERROR(MATCH(349,$B$4:$B$503,0),"")</f>
        <v/>
      </c>
      <c r="G352">
        <f>IF('Checklist'!N352="Red",MAX($G$3:G351)+1,"")</f>
        <v/>
      </c>
    </row>
    <row r="353">
      <c r="A353">
        <f>IF(AND(LEN('Checklist'!C353)&gt;0,ISNUMBER('Checklist'!L353)),'Checklist'!L353+350/100000,"")</f>
        <v/>
      </c>
      <c r="B353">
        <f>IF(AND(LEN('Checklist'!C353)&gt;0,ISNUMBER('Checklist'!L353)),MAX($B$3:B352)+1,"")</f>
        <v/>
      </c>
      <c r="E353">
        <f>IFERROR(MATCH(350,$B$4:$B$503,0),"")</f>
        <v/>
      </c>
      <c r="G353">
        <f>IF('Checklist'!N353="Red",MAX($G$3:G352)+1,"")</f>
        <v/>
      </c>
    </row>
    <row r="354">
      <c r="A354">
        <f>IF(AND(LEN('Checklist'!C354)&gt;0,ISNUMBER('Checklist'!L354)),'Checklist'!L354+351/100000,"")</f>
        <v/>
      </c>
      <c r="B354">
        <f>IF(AND(LEN('Checklist'!C354)&gt;0,ISNUMBER('Checklist'!L354)),MAX($B$3:B353)+1,"")</f>
        <v/>
      </c>
      <c r="E354">
        <f>IFERROR(MATCH(351,$B$4:$B$503,0),"")</f>
        <v/>
      </c>
      <c r="G354">
        <f>IF('Checklist'!N354="Red",MAX($G$3:G353)+1,"")</f>
        <v/>
      </c>
    </row>
    <row r="355">
      <c r="A355">
        <f>IF(AND(LEN('Checklist'!C355)&gt;0,ISNUMBER('Checklist'!L355)),'Checklist'!L355+352/100000,"")</f>
        <v/>
      </c>
      <c r="B355">
        <f>IF(AND(LEN('Checklist'!C355)&gt;0,ISNUMBER('Checklist'!L355)),MAX($B$3:B354)+1,"")</f>
        <v/>
      </c>
      <c r="E355">
        <f>IFERROR(MATCH(352,$B$4:$B$503,0),"")</f>
        <v/>
      </c>
      <c r="G355">
        <f>IF('Checklist'!N355="Red",MAX($G$3:G354)+1,"")</f>
        <v/>
      </c>
    </row>
    <row r="356">
      <c r="A356">
        <f>IF(AND(LEN('Checklist'!C356)&gt;0,ISNUMBER('Checklist'!L356)),'Checklist'!L356+353/100000,"")</f>
        <v/>
      </c>
      <c r="B356">
        <f>IF(AND(LEN('Checklist'!C356)&gt;0,ISNUMBER('Checklist'!L356)),MAX($B$3:B355)+1,"")</f>
        <v/>
      </c>
      <c r="E356">
        <f>IFERROR(MATCH(353,$B$4:$B$503,0),"")</f>
        <v/>
      </c>
      <c r="G356">
        <f>IF('Checklist'!N356="Red",MAX($G$3:G355)+1,"")</f>
        <v/>
      </c>
    </row>
    <row r="357">
      <c r="A357">
        <f>IF(AND(LEN('Checklist'!C357)&gt;0,ISNUMBER('Checklist'!L357)),'Checklist'!L357+354/100000,"")</f>
        <v/>
      </c>
      <c r="B357">
        <f>IF(AND(LEN('Checklist'!C357)&gt;0,ISNUMBER('Checklist'!L357)),MAX($B$3:B356)+1,"")</f>
        <v/>
      </c>
      <c r="E357">
        <f>IFERROR(MATCH(354,$B$4:$B$503,0),"")</f>
        <v/>
      </c>
      <c r="G357">
        <f>IF('Checklist'!N357="Red",MAX($G$3:G356)+1,"")</f>
        <v/>
      </c>
    </row>
    <row r="358">
      <c r="A358">
        <f>IF(AND(LEN('Checklist'!C358)&gt;0,ISNUMBER('Checklist'!L358)),'Checklist'!L358+355/100000,"")</f>
        <v/>
      </c>
      <c r="B358">
        <f>IF(AND(LEN('Checklist'!C358)&gt;0,ISNUMBER('Checklist'!L358)),MAX($B$3:B357)+1,"")</f>
        <v/>
      </c>
      <c r="E358">
        <f>IFERROR(MATCH(355,$B$4:$B$503,0),"")</f>
        <v/>
      </c>
      <c r="G358">
        <f>IF('Checklist'!N358="Red",MAX($G$3:G357)+1,"")</f>
        <v/>
      </c>
    </row>
    <row r="359">
      <c r="A359">
        <f>IF(AND(LEN('Checklist'!C359)&gt;0,ISNUMBER('Checklist'!L359)),'Checklist'!L359+356/100000,"")</f>
        <v/>
      </c>
      <c r="B359">
        <f>IF(AND(LEN('Checklist'!C359)&gt;0,ISNUMBER('Checklist'!L359)),MAX($B$3:B358)+1,"")</f>
        <v/>
      </c>
      <c r="E359">
        <f>IFERROR(MATCH(356,$B$4:$B$503,0),"")</f>
        <v/>
      </c>
      <c r="G359">
        <f>IF('Checklist'!N359="Red",MAX($G$3:G358)+1,"")</f>
        <v/>
      </c>
    </row>
    <row r="360">
      <c r="A360">
        <f>IF(AND(LEN('Checklist'!C360)&gt;0,ISNUMBER('Checklist'!L360)),'Checklist'!L360+357/100000,"")</f>
        <v/>
      </c>
      <c r="B360">
        <f>IF(AND(LEN('Checklist'!C360)&gt;0,ISNUMBER('Checklist'!L360)),MAX($B$3:B359)+1,"")</f>
        <v/>
      </c>
      <c r="E360">
        <f>IFERROR(MATCH(357,$B$4:$B$503,0),"")</f>
        <v/>
      </c>
      <c r="G360">
        <f>IF('Checklist'!N360="Red",MAX($G$3:G359)+1,"")</f>
        <v/>
      </c>
    </row>
    <row r="361">
      <c r="A361">
        <f>IF(AND(LEN('Checklist'!C361)&gt;0,ISNUMBER('Checklist'!L361)),'Checklist'!L361+358/100000,"")</f>
        <v/>
      </c>
      <c r="B361">
        <f>IF(AND(LEN('Checklist'!C361)&gt;0,ISNUMBER('Checklist'!L361)),MAX($B$3:B360)+1,"")</f>
        <v/>
      </c>
      <c r="E361">
        <f>IFERROR(MATCH(358,$B$4:$B$503,0),"")</f>
        <v/>
      </c>
      <c r="G361">
        <f>IF('Checklist'!N361="Red",MAX($G$3:G360)+1,"")</f>
        <v/>
      </c>
    </row>
    <row r="362">
      <c r="A362">
        <f>IF(AND(LEN('Checklist'!C362)&gt;0,ISNUMBER('Checklist'!L362)),'Checklist'!L362+359/100000,"")</f>
        <v/>
      </c>
      <c r="B362">
        <f>IF(AND(LEN('Checklist'!C362)&gt;0,ISNUMBER('Checklist'!L362)),MAX($B$3:B361)+1,"")</f>
        <v/>
      </c>
      <c r="E362">
        <f>IFERROR(MATCH(359,$B$4:$B$503,0),"")</f>
        <v/>
      </c>
      <c r="G362">
        <f>IF('Checklist'!N362="Red",MAX($G$3:G361)+1,"")</f>
        <v/>
      </c>
    </row>
    <row r="363">
      <c r="A363">
        <f>IF(AND(LEN('Checklist'!C363)&gt;0,ISNUMBER('Checklist'!L363)),'Checklist'!L363+360/100000,"")</f>
        <v/>
      </c>
      <c r="B363">
        <f>IF(AND(LEN('Checklist'!C363)&gt;0,ISNUMBER('Checklist'!L363)),MAX($B$3:B362)+1,"")</f>
        <v/>
      </c>
      <c r="E363">
        <f>IFERROR(MATCH(360,$B$4:$B$503,0),"")</f>
        <v/>
      </c>
      <c r="G363">
        <f>IF('Checklist'!N363="Red",MAX($G$3:G362)+1,"")</f>
        <v/>
      </c>
    </row>
    <row r="364">
      <c r="A364">
        <f>IF(AND(LEN('Checklist'!C364)&gt;0,ISNUMBER('Checklist'!L364)),'Checklist'!L364+361/100000,"")</f>
        <v/>
      </c>
      <c r="B364">
        <f>IF(AND(LEN('Checklist'!C364)&gt;0,ISNUMBER('Checklist'!L364)),MAX($B$3:B363)+1,"")</f>
        <v/>
      </c>
      <c r="E364">
        <f>IFERROR(MATCH(361,$B$4:$B$503,0),"")</f>
        <v/>
      </c>
      <c r="G364">
        <f>IF('Checklist'!N364="Red",MAX($G$3:G363)+1,"")</f>
        <v/>
      </c>
    </row>
    <row r="365">
      <c r="A365">
        <f>IF(AND(LEN('Checklist'!C365)&gt;0,ISNUMBER('Checklist'!L365)),'Checklist'!L365+362/100000,"")</f>
        <v/>
      </c>
      <c r="B365">
        <f>IF(AND(LEN('Checklist'!C365)&gt;0,ISNUMBER('Checklist'!L365)),MAX($B$3:B364)+1,"")</f>
        <v/>
      </c>
      <c r="E365">
        <f>IFERROR(MATCH(362,$B$4:$B$503,0),"")</f>
        <v/>
      </c>
      <c r="G365">
        <f>IF('Checklist'!N365="Red",MAX($G$3:G364)+1,"")</f>
        <v/>
      </c>
    </row>
    <row r="366">
      <c r="A366">
        <f>IF(AND(LEN('Checklist'!C366)&gt;0,ISNUMBER('Checklist'!L366)),'Checklist'!L366+363/100000,"")</f>
        <v/>
      </c>
      <c r="B366">
        <f>IF(AND(LEN('Checklist'!C366)&gt;0,ISNUMBER('Checklist'!L366)),MAX($B$3:B365)+1,"")</f>
        <v/>
      </c>
      <c r="E366">
        <f>IFERROR(MATCH(363,$B$4:$B$503,0),"")</f>
        <v/>
      </c>
      <c r="G366">
        <f>IF('Checklist'!N366="Red",MAX($G$3:G365)+1,"")</f>
        <v/>
      </c>
    </row>
    <row r="367">
      <c r="A367">
        <f>IF(AND(LEN('Checklist'!C367)&gt;0,ISNUMBER('Checklist'!L367)),'Checklist'!L367+364/100000,"")</f>
        <v/>
      </c>
      <c r="B367">
        <f>IF(AND(LEN('Checklist'!C367)&gt;0,ISNUMBER('Checklist'!L367)),MAX($B$3:B366)+1,"")</f>
        <v/>
      </c>
      <c r="E367">
        <f>IFERROR(MATCH(364,$B$4:$B$503,0),"")</f>
        <v/>
      </c>
      <c r="G367">
        <f>IF('Checklist'!N367="Red",MAX($G$3:G366)+1,"")</f>
        <v/>
      </c>
    </row>
    <row r="368">
      <c r="A368">
        <f>IF(AND(LEN('Checklist'!C368)&gt;0,ISNUMBER('Checklist'!L368)),'Checklist'!L368+365/100000,"")</f>
        <v/>
      </c>
      <c r="B368">
        <f>IF(AND(LEN('Checklist'!C368)&gt;0,ISNUMBER('Checklist'!L368)),MAX($B$3:B367)+1,"")</f>
        <v/>
      </c>
      <c r="E368">
        <f>IFERROR(MATCH(365,$B$4:$B$503,0),"")</f>
        <v/>
      </c>
      <c r="G368">
        <f>IF('Checklist'!N368="Red",MAX($G$3:G367)+1,"")</f>
        <v/>
      </c>
    </row>
    <row r="369">
      <c r="A369">
        <f>IF(AND(LEN('Checklist'!C369)&gt;0,ISNUMBER('Checklist'!L369)),'Checklist'!L369+366/100000,"")</f>
        <v/>
      </c>
      <c r="B369">
        <f>IF(AND(LEN('Checklist'!C369)&gt;0,ISNUMBER('Checklist'!L369)),MAX($B$3:B368)+1,"")</f>
        <v/>
      </c>
      <c r="E369">
        <f>IFERROR(MATCH(366,$B$4:$B$503,0),"")</f>
        <v/>
      </c>
      <c r="G369">
        <f>IF('Checklist'!N369="Red",MAX($G$3:G368)+1,"")</f>
        <v/>
      </c>
    </row>
    <row r="370">
      <c r="A370">
        <f>IF(AND(LEN('Checklist'!C370)&gt;0,ISNUMBER('Checklist'!L370)),'Checklist'!L370+367/100000,"")</f>
        <v/>
      </c>
      <c r="B370">
        <f>IF(AND(LEN('Checklist'!C370)&gt;0,ISNUMBER('Checklist'!L370)),MAX($B$3:B369)+1,"")</f>
        <v/>
      </c>
      <c r="E370">
        <f>IFERROR(MATCH(367,$B$4:$B$503,0),"")</f>
        <v/>
      </c>
      <c r="G370">
        <f>IF('Checklist'!N370="Red",MAX($G$3:G369)+1,"")</f>
        <v/>
      </c>
    </row>
    <row r="371">
      <c r="A371">
        <f>IF(AND(LEN('Checklist'!C371)&gt;0,ISNUMBER('Checklist'!L371)),'Checklist'!L371+368/100000,"")</f>
        <v/>
      </c>
      <c r="B371">
        <f>IF(AND(LEN('Checklist'!C371)&gt;0,ISNUMBER('Checklist'!L371)),MAX($B$3:B370)+1,"")</f>
        <v/>
      </c>
      <c r="E371">
        <f>IFERROR(MATCH(368,$B$4:$B$503,0),"")</f>
        <v/>
      </c>
      <c r="G371">
        <f>IF('Checklist'!N371="Red",MAX($G$3:G370)+1,"")</f>
        <v/>
      </c>
    </row>
    <row r="372">
      <c r="A372">
        <f>IF(AND(LEN('Checklist'!C372)&gt;0,ISNUMBER('Checklist'!L372)),'Checklist'!L372+369/100000,"")</f>
        <v/>
      </c>
      <c r="B372">
        <f>IF(AND(LEN('Checklist'!C372)&gt;0,ISNUMBER('Checklist'!L372)),MAX($B$3:B371)+1,"")</f>
        <v/>
      </c>
      <c r="E372">
        <f>IFERROR(MATCH(369,$B$4:$B$503,0),"")</f>
        <v/>
      </c>
      <c r="G372">
        <f>IF('Checklist'!N372="Red",MAX($G$3:G371)+1,"")</f>
        <v/>
      </c>
    </row>
    <row r="373">
      <c r="A373">
        <f>IF(AND(LEN('Checklist'!C373)&gt;0,ISNUMBER('Checklist'!L373)),'Checklist'!L373+370/100000,"")</f>
        <v/>
      </c>
      <c r="B373">
        <f>IF(AND(LEN('Checklist'!C373)&gt;0,ISNUMBER('Checklist'!L373)),MAX($B$3:B372)+1,"")</f>
        <v/>
      </c>
      <c r="E373">
        <f>IFERROR(MATCH(370,$B$4:$B$503,0),"")</f>
        <v/>
      </c>
      <c r="G373">
        <f>IF('Checklist'!N373="Red",MAX($G$3:G372)+1,"")</f>
        <v/>
      </c>
    </row>
    <row r="374">
      <c r="A374">
        <f>IF(AND(LEN('Checklist'!C374)&gt;0,ISNUMBER('Checklist'!L374)),'Checklist'!L374+371/100000,"")</f>
        <v/>
      </c>
      <c r="B374">
        <f>IF(AND(LEN('Checklist'!C374)&gt;0,ISNUMBER('Checklist'!L374)),MAX($B$3:B373)+1,"")</f>
        <v/>
      </c>
      <c r="E374">
        <f>IFERROR(MATCH(371,$B$4:$B$503,0),"")</f>
        <v/>
      </c>
      <c r="G374">
        <f>IF('Checklist'!N374="Red",MAX($G$3:G373)+1,"")</f>
        <v/>
      </c>
    </row>
    <row r="375">
      <c r="A375">
        <f>IF(AND(LEN('Checklist'!C375)&gt;0,ISNUMBER('Checklist'!L375)),'Checklist'!L375+372/100000,"")</f>
        <v/>
      </c>
      <c r="B375">
        <f>IF(AND(LEN('Checklist'!C375)&gt;0,ISNUMBER('Checklist'!L375)),MAX($B$3:B374)+1,"")</f>
        <v/>
      </c>
      <c r="E375">
        <f>IFERROR(MATCH(372,$B$4:$B$503,0),"")</f>
        <v/>
      </c>
      <c r="G375">
        <f>IF('Checklist'!N375="Red",MAX($G$3:G374)+1,"")</f>
        <v/>
      </c>
    </row>
    <row r="376">
      <c r="A376">
        <f>IF(AND(LEN('Checklist'!C376)&gt;0,ISNUMBER('Checklist'!L376)),'Checklist'!L376+373/100000,"")</f>
        <v/>
      </c>
      <c r="B376">
        <f>IF(AND(LEN('Checklist'!C376)&gt;0,ISNUMBER('Checklist'!L376)),MAX($B$3:B375)+1,"")</f>
        <v/>
      </c>
      <c r="E376">
        <f>IFERROR(MATCH(373,$B$4:$B$503,0),"")</f>
        <v/>
      </c>
      <c r="G376">
        <f>IF('Checklist'!N376="Red",MAX($G$3:G375)+1,"")</f>
        <v/>
      </c>
    </row>
    <row r="377">
      <c r="A377">
        <f>IF(AND(LEN('Checklist'!C377)&gt;0,ISNUMBER('Checklist'!L377)),'Checklist'!L377+374/100000,"")</f>
        <v/>
      </c>
      <c r="B377">
        <f>IF(AND(LEN('Checklist'!C377)&gt;0,ISNUMBER('Checklist'!L377)),MAX($B$3:B376)+1,"")</f>
        <v/>
      </c>
      <c r="E377">
        <f>IFERROR(MATCH(374,$B$4:$B$503,0),"")</f>
        <v/>
      </c>
      <c r="G377">
        <f>IF('Checklist'!N377="Red",MAX($G$3:G376)+1,"")</f>
        <v/>
      </c>
    </row>
    <row r="378">
      <c r="A378">
        <f>IF(AND(LEN('Checklist'!C378)&gt;0,ISNUMBER('Checklist'!L378)),'Checklist'!L378+375/100000,"")</f>
        <v/>
      </c>
      <c r="B378">
        <f>IF(AND(LEN('Checklist'!C378)&gt;0,ISNUMBER('Checklist'!L378)),MAX($B$3:B377)+1,"")</f>
        <v/>
      </c>
      <c r="E378">
        <f>IFERROR(MATCH(375,$B$4:$B$503,0),"")</f>
        <v/>
      </c>
      <c r="G378">
        <f>IF('Checklist'!N378="Red",MAX($G$3:G377)+1,"")</f>
        <v/>
      </c>
    </row>
    <row r="379">
      <c r="A379">
        <f>IF(AND(LEN('Checklist'!C379)&gt;0,ISNUMBER('Checklist'!L379)),'Checklist'!L379+376/100000,"")</f>
        <v/>
      </c>
      <c r="B379">
        <f>IF(AND(LEN('Checklist'!C379)&gt;0,ISNUMBER('Checklist'!L379)),MAX($B$3:B378)+1,"")</f>
        <v/>
      </c>
      <c r="E379">
        <f>IFERROR(MATCH(376,$B$4:$B$503,0),"")</f>
        <v/>
      </c>
      <c r="G379">
        <f>IF('Checklist'!N379="Red",MAX($G$3:G378)+1,"")</f>
        <v/>
      </c>
    </row>
    <row r="380">
      <c r="A380">
        <f>IF(AND(LEN('Checklist'!C380)&gt;0,ISNUMBER('Checklist'!L380)),'Checklist'!L380+377/100000,"")</f>
        <v/>
      </c>
      <c r="B380">
        <f>IF(AND(LEN('Checklist'!C380)&gt;0,ISNUMBER('Checklist'!L380)),MAX($B$3:B379)+1,"")</f>
        <v/>
      </c>
      <c r="E380">
        <f>IFERROR(MATCH(377,$B$4:$B$503,0),"")</f>
        <v/>
      </c>
      <c r="G380">
        <f>IF('Checklist'!N380="Red",MAX($G$3:G379)+1,"")</f>
        <v/>
      </c>
    </row>
    <row r="381">
      <c r="A381">
        <f>IF(AND(LEN('Checklist'!C381)&gt;0,ISNUMBER('Checklist'!L381)),'Checklist'!L381+378/100000,"")</f>
        <v/>
      </c>
      <c r="B381">
        <f>IF(AND(LEN('Checklist'!C381)&gt;0,ISNUMBER('Checklist'!L381)),MAX($B$3:B380)+1,"")</f>
        <v/>
      </c>
      <c r="E381">
        <f>IFERROR(MATCH(378,$B$4:$B$503,0),"")</f>
        <v/>
      </c>
      <c r="G381">
        <f>IF('Checklist'!N381="Red",MAX($G$3:G380)+1,"")</f>
        <v/>
      </c>
    </row>
    <row r="382">
      <c r="A382">
        <f>IF(AND(LEN('Checklist'!C382)&gt;0,ISNUMBER('Checklist'!L382)),'Checklist'!L382+379/100000,"")</f>
        <v/>
      </c>
      <c r="B382">
        <f>IF(AND(LEN('Checklist'!C382)&gt;0,ISNUMBER('Checklist'!L382)),MAX($B$3:B381)+1,"")</f>
        <v/>
      </c>
      <c r="E382">
        <f>IFERROR(MATCH(379,$B$4:$B$503,0),"")</f>
        <v/>
      </c>
      <c r="G382">
        <f>IF('Checklist'!N382="Red",MAX($G$3:G381)+1,"")</f>
        <v/>
      </c>
    </row>
    <row r="383">
      <c r="A383">
        <f>IF(AND(LEN('Checklist'!C383)&gt;0,ISNUMBER('Checklist'!L383)),'Checklist'!L383+380/100000,"")</f>
        <v/>
      </c>
      <c r="B383">
        <f>IF(AND(LEN('Checklist'!C383)&gt;0,ISNUMBER('Checklist'!L383)),MAX($B$3:B382)+1,"")</f>
        <v/>
      </c>
      <c r="E383">
        <f>IFERROR(MATCH(380,$B$4:$B$503,0),"")</f>
        <v/>
      </c>
      <c r="G383">
        <f>IF('Checklist'!N383="Red",MAX($G$3:G382)+1,"")</f>
        <v/>
      </c>
    </row>
    <row r="384">
      <c r="A384">
        <f>IF(AND(LEN('Checklist'!C384)&gt;0,ISNUMBER('Checklist'!L384)),'Checklist'!L384+381/100000,"")</f>
        <v/>
      </c>
      <c r="B384">
        <f>IF(AND(LEN('Checklist'!C384)&gt;0,ISNUMBER('Checklist'!L384)),MAX($B$3:B383)+1,"")</f>
        <v/>
      </c>
      <c r="E384">
        <f>IFERROR(MATCH(381,$B$4:$B$503,0),"")</f>
        <v/>
      </c>
      <c r="G384">
        <f>IF('Checklist'!N384="Red",MAX($G$3:G383)+1,"")</f>
        <v/>
      </c>
    </row>
    <row r="385">
      <c r="A385">
        <f>IF(AND(LEN('Checklist'!C385)&gt;0,ISNUMBER('Checklist'!L385)),'Checklist'!L385+382/100000,"")</f>
        <v/>
      </c>
      <c r="B385">
        <f>IF(AND(LEN('Checklist'!C385)&gt;0,ISNUMBER('Checklist'!L385)),MAX($B$3:B384)+1,"")</f>
        <v/>
      </c>
      <c r="E385">
        <f>IFERROR(MATCH(382,$B$4:$B$503,0),"")</f>
        <v/>
      </c>
      <c r="G385">
        <f>IF('Checklist'!N385="Red",MAX($G$3:G384)+1,"")</f>
        <v/>
      </c>
    </row>
    <row r="386">
      <c r="A386">
        <f>IF(AND(LEN('Checklist'!C386)&gt;0,ISNUMBER('Checklist'!L386)),'Checklist'!L386+383/100000,"")</f>
        <v/>
      </c>
      <c r="B386">
        <f>IF(AND(LEN('Checklist'!C386)&gt;0,ISNUMBER('Checklist'!L386)),MAX($B$3:B385)+1,"")</f>
        <v/>
      </c>
      <c r="E386">
        <f>IFERROR(MATCH(383,$B$4:$B$503,0),"")</f>
        <v/>
      </c>
      <c r="G386">
        <f>IF('Checklist'!N386="Red",MAX($G$3:G385)+1,"")</f>
        <v/>
      </c>
    </row>
    <row r="387">
      <c r="A387">
        <f>IF(AND(LEN('Checklist'!C387)&gt;0,ISNUMBER('Checklist'!L387)),'Checklist'!L387+384/100000,"")</f>
        <v/>
      </c>
      <c r="B387">
        <f>IF(AND(LEN('Checklist'!C387)&gt;0,ISNUMBER('Checklist'!L387)),MAX($B$3:B386)+1,"")</f>
        <v/>
      </c>
      <c r="E387">
        <f>IFERROR(MATCH(384,$B$4:$B$503,0),"")</f>
        <v/>
      </c>
      <c r="G387">
        <f>IF('Checklist'!N387="Red",MAX($G$3:G386)+1,"")</f>
        <v/>
      </c>
    </row>
    <row r="388">
      <c r="A388">
        <f>IF(AND(LEN('Checklist'!C388)&gt;0,ISNUMBER('Checklist'!L388)),'Checklist'!L388+385/100000,"")</f>
        <v/>
      </c>
      <c r="B388">
        <f>IF(AND(LEN('Checklist'!C388)&gt;0,ISNUMBER('Checklist'!L388)),MAX($B$3:B387)+1,"")</f>
        <v/>
      </c>
      <c r="E388">
        <f>IFERROR(MATCH(385,$B$4:$B$503,0),"")</f>
        <v/>
      </c>
      <c r="G388">
        <f>IF('Checklist'!N388="Red",MAX($G$3:G387)+1,"")</f>
        <v/>
      </c>
    </row>
    <row r="389">
      <c r="A389">
        <f>IF(AND(LEN('Checklist'!C389)&gt;0,ISNUMBER('Checklist'!L389)),'Checklist'!L389+386/100000,"")</f>
        <v/>
      </c>
      <c r="B389">
        <f>IF(AND(LEN('Checklist'!C389)&gt;0,ISNUMBER('Checklist'!L389)),MAX($B$3:B388)+1,"")</f>
        <v/>
      </c>
      <c r="E389">
        <f>IFERROR(MATCH(386,$B$4:$B$503,0),"")</f>
        <v/>
      </c>
      <c r="G389">
        <f>IF('Checklist'!N389="Red",MAX($G$3:G388)+1,"")</f>
        <v/>
      </c>
    </row>
    <row r="390">
      <c r="A390">
        <f>IF(AND(LEN('Checklist'!C390)&gt;0,ISNUMBER('Checklist'!L390)),'Checklist'!L390+387/100000,"")</f>
        <v/>
      </c>
      <c r="B390">
        <f>IF(AND(LEN('Checklist'!C390)&gt;0,ISNUMBER('Checklist'!L390)),MAX($B$3:B389)+1,"")</f>
        <v/>
      </c>
      <c r="E390">
        <f>IFERROR(MATCH(387,$B$4:$B$503,0),"")</f>
        <v/>
      </c>
      <c r="G390">
        <f>IF('Checklist'!N390="Red",MAX($G$3:G389)+1,"")</f>
        <v/>
      </c>
    </row>
    <row r="391">
      <c r="A391">
        <f>IF(AND(LEN('Checklist'!C391)&gt;0,ISNUMBER('Checklist'!L391)),'Checklist'!L391+388/100000,"")</f>
        <v/>
      </c>
      <c r="B391">
        <f>IF(AND(LEN('Checklist'!C391)&gt;0,ISNUMBER('Checklist'!L391)),MAX($B$3:B390)+1,"")</f>
        <v/>
      </c>
      <c r="E391">
        <f>IFERROR(MATCH(388,$B$4:$B$503,0),"")</f>
        <v/>
      </c>
      <c r="G391">
        <f>IF('Checklist'!N391="Red",MAX($G$3:G390)+1,"")</f>
        <v/>
      </c>
    </row>
    <row r="392">
      <c r="A392">
        <f>IF(AND(LEN('Checklist'!C392)&gt;0,ISNUMBER('Checklist'!L392)),'Checklist'!L392+389/100000,"")</f>
        <v/>
      </c>
      <c r="B392">
        <f>IF(AND(LEN('Checklist'!C392)&gt;0,ISNUMBER('Checklist'!L392)),MAX($B$3:B391)+1,"")</f>
        <v/>
      </c>
      <c r="E392">
        <f>IFERROR(MATCH(389,$B$4:$B$503,0),"")</f>
        <v/>
      </c>
      <c r="G392">
        <f>IF('Checklist'!N392="Red",MAX($G$3:G391)+1,"")</f>
        <v/>
      </c>
    </row>
    <row r="393">
      <c r="A393">
        <f>IF(AND(LEN('Checklist'!C393)&gt;0,ISNUMBER('Checklist'!L393)),'Checklist'!L393+390/100000,"")</f>
        <v/>
      </c>
      <c r="B393">
        <f>IF(AND(LEN('Checklist'!C393)&gt;0,ISNUMBER('Checklist'!L393)),MAX($B$3:B392)+1,"")</f>
        <v/>
      </c>
      <c r="E393">
        <f>IFERROR(MATCH(390,$B$4:$B$503,0),"")</f>
        <v/>
      </c>
      <c r="G393">
        <f>IF('Checklist'!N393="Red",MAX($G$3:G392)+1,"")</f>
        <v/>
      </c>
    </row>
    <row r="394">
      <c r="A394">
        <f>IF(AND(LEN('Checklist'!C394)&gt;0,ISNUMBER('Checklist'!L394)),'Checklist'!L394+391/100000,"")</f>
        <v/>
      </c>
      <c r="B394">
        <f>IF(AND(LEN('Checklist'!C394)&gt;0,ISNUMBER('Checklist'!L394)),MAX($B$3:B393)+1,"")</f>
        <v/>
      </c>
      <c r="E394">
        <f>IFERROR(MATCH(391,$B$4:$B$503,0),"")</f>
        <v/>
      </c>
      <c r="G394">
        <f>IF('Checklist'!N394="Red",MAX($G$3:G393)+1,"")</f>
        <v/>
      </c>
    </row>
    <row r="395">
      <c r="A395">
        <f>IF(AND(LEN('Checklist'!C395)&gt;0,ISNUMBER('Checklist'!L395)),'Checklist'!L395+392/100000,"")</f>
        <v/>
      </c>
      <c r="B395">
        <f>IF(AND(LEN('Checklist'!C395)&gt;0,ISNUMBER('Checklist'!L395)),MAX($B$3:B394)+1,"")</f>
        <v/>
      </c>
      <c r="E395">
        <f>IFERROR(MATCH(392,$B$4:$B$503,0),"")</f>
        <v/>
      </c>
      <c r="G395">
        <f>IF('Checklist'!N395="Red",MAX($G$3:G394)+1,"")</f>
        <v/>
      </c>
    </row>
    <row r="396">
      <c r="A396">
        <f>IF(AND(LEN('Checklist'!C396)&gt;0,ISNUMBER('Checklist'!L396)),'Checklist'!L396+393/100000,"")</f>
        <v/>
      </c>
      <c r="B396">
        <f>IF(AND(LEN('Checklist'!C396)&gt;0,ISNUMBER('Checklist'!L396)),MAX($B$3:B395)+1,"")</f>
        <v/>
      </c>
      <c r="E396">
        <f>IFERROR(MATCH(393,$B$4:$B$503,0),"")</f>
        <v/>
      </c>
      <c r="G396">
        <f>IF('Checklist'!N396="Red",MAX($G$3:G395)+1,"")</f>
        <v/>
      </c>
    </row>
    <row r="397">
      <c r="A397">
        <f>IF(AND(LEN('Checklist'!C397)&gt;0,ISNUMBER('Checklist'!L397)),'Checklist'!L397+394/100000,"")</f>
        <v/>
      </c>
      <c r="B397">
        <f>IF(AND(LEN('Checklist'!C397)&gt;0,ISNUMBER('Checklist'!L397)),MAX($B$3:B396)+1,"")</f>
        <v/>
      </c>
      <c r="E397">
        <f>IFERROR(MATCH(394,$B$4:$B$503,0),"")</f>
        <v/>
      </c>
      <c r="G397">
        <f>IF('Checklist'!N397="Red",MAX($G$3:G396)+1,"")</f>
        <v/>
      </c>
    </row>
    <row r="398">
      <c r="A398">
        <f>IF(AND(LEN('Checklist'!C398)&gt;0,ISNUMBER('Checklist'!L398)),'Checklist'!L398+395/100000,"")</f>
        <v/>
      </c>
      <c r="B398">
        <f>IF(AND(LEN('Checklist'!C398)&gt;0,ISNUMBER('Checklist'!L398)),MAX($B$3:B397)+1,"")</f>
        <v/>
      </c>
      <c r="E398">
        <f>IFERROR(MATCH(395,$B$4:$B$503,0),"")</f>
        <v/>
      </c>
      <c r="G398">
        <f>IF('Checklist'!N398="Red",MAX($G$3:G397)+1,"")</f>
        <v/>
      </c>
    </row>
    <row r="399">
      <c r="A399">
        <f>IF(AND(LEN('Checklist'!C399)&gt;0,ISNUMBER('Checklist'!L399)),'Checklist'!L399+396/100000,"")</f>
        <v/>
      </c>
      <c r="B399">
        <f>IF(AND(LEN('Checklist'!C399)&gt;0,ISNUMBER('Checklist'!L399)),MAX($B$3:B398)+1,"")</f>
        <v/>
      </c>
      <c r="E399">
        <f>IFERROR(MATCH(396,$B$4:$B$503,0),"")</f>
        <v/>
      </c>
      <c r="G399">
        <f>IF('Checklist'!N399="Red",MAX($G$3:G398)+1,"")</f>
        <v/>
      </c>
    </row>
    <row r="400">
      <c r="A400">
        <f>IF(AND(LEN('Checklist'!C400)&gt;0,ISNUMBER('Checklist'!L400)),'Checklist'!L400+397/100000,"")</f>
        <v/>
      </c>
      <c r="B400">
        <f>IF(AND(LEN('Checklist'!C400)&gt;0,ISNUMBER('Checklist'!L400)),MAX($B$3:B399)+1,"")</f>
        <v/>
      </c>
      <c r="E400">
        <f>IFERROR(MATCH(397,$B$4:$B$503,0),"")</f>
        <v/>
      </c>
      <c r="G400">
        <f>IF('Checklist'!N400="Red",MAX($G$3:G399)+1,"")</f>
        <v/>
      </c>
    </row>
    <row r="401">
      <c r="A401">
        <f>IF(AND(LEN('Checklist'!C401)&gt;0,ISNUMBER('Checklist'!L401)),'Checklist'!L401+398/100000,"")</f>
        <v/>
      </c>
      <c r="B401">
        <f>IF(AND(LEN('Checklist'!C401)&gt;0,ISNUMBER('Checklist'!L401)),MAX($B$3:B400)+1,"")</f>
        <v/>
      </c>
      <c r="E401">
        <f>IFERROR(MATCH(398,$B$4:$B$503,0),"")</f>
        <v/>
      </c>
      <c r="G401">
        <f>IF('Checklist'!N401="Red",MAX($G$3:G400)+1,"")</f>
        <v/>
      </c>
    </row>
    <row r="402">
      <c r="A402">
        <f>IF(AND(LEN('Checklist'!C402)&gt;0,ISNUMBER('Checklist'!L402)),'Checklist'!L402+399/100000,"")</f>
        <v/>
      </c>
      <c r="B402">
        <f>IF(AND(LEN('Checklist'!C402)&gt;0,ISNUMBER('Checklist'!L402)),MAX($B$3:B401)+1,"")</f>
        <v/>
      </c>
      <c r="E402">
        <f>IFERROR(MATCH(399,$B$4:$B$503,0),"")</f>
        <v/>
      </c>
      <c r="G402">
        <f>IF('Checklist'!N402="Red",MAX($G$3:G401)+1,"")</f>
        <v/>
      </c>
    </row>
    <row r="403">
      <c r="A403">
        <f>IF(AND(LEN('Checklist'!C403)&gt;0,ISNUMBER('Checklist'!L403)),'Checklist'!L403+400/100000,"")</f>
        <v/>
      </c>
      <c r="B403">
        <f>IF(AND(LEN('Checklist'!C403)&gt;0,ISNUMBER('Checklist'!L403)),MAX($B$3:B402)+1,"")</f>
        <v/>
      </c>
      <c r="E403">
        <f>IFERROR(MATCH(400,$B$4:$B$503,0),"")</f>
        <v/>
      </c>
      <c r="G403">
        <f>IF('Checklist'!N403="Red",MAX($G$3:G402)+1,"")</f>
        <v/>
      </c>
    </row>
    <row r="404">
      <c r="A404">
        <f>IF(AND(LEN('Checklist'!C404)&gt;0,ISNUMBER('Checklist'!L404)),'Checklist'!L404+401/100000,"")</f>
        <v/>
      </c>
      <c r="B404">
        <f>IF(AND(LEN('Checklist'!C404)&gt;0,ISNUMBER('Checklist'!L404)),MAX($B$3:B403)+1,"")</f>
        <v/>
      </c>
      <c r="E404">
        <f>IFERROR(MATCH(401,$B$4:$B$503,0),"")</f>
        <v/>
      </c>
      <c r="G404">
        <f>IF('Checklist'!N404="Red",MAX($G$3:G403)+1,"")</f>
        <v/>
      </c>
    </row>
    <row r="405">
      <c r="A405">
        <f>IF(AND(LEN('Checklist'!C405)&gt;0,ISNUMBER('Checklist'!L405)),'Checklist'!L405+402/100000,"")</f>
        <v/>
      </c>
      <c r="B405">
        <f>IF(AND(LEN('Checklist'!C405)&gt;0,ISNUMBER('Checklist'!L405)),MAX($B$3:B404)+1,"")</f>
        <v/>
      </c>
      <c r="E405">
        <f>IFERROR(MATCH(402,$B$4:$B$503,0),"")</f>
        <v/>
      </c>
      <c r="G405">
        <f>IF('Checklist'!N405="Red",MAX($G$3:G404)+1,"")</f>
        <v/>
      </c>
    </row>
    <row r="406">
      <c r="A406">
        <f>IF(AND(LEN('Checklist'!C406)&gt;0,ISNUMBER('Checklist'!L406)),'Checklist'!L406+403/100000,"")</f>
        <v/>
      </c>
      <c r="B406">
        <f>IF(AND(LEN('Checklist'!C406)&gt;0,ISNUMBER('Checklist'!L406)),MAX($B$3:B405)+1,"")</f>
        <v/>
      </c>
      <c r="E406">
        <f>IFERROR(MATCH(403,$B$4:$B$503,0),"")</f>
        <v/>
      </c>
      <c r="G406">
        <f>IF('Checklist'!N406="Red",MAX($G$3:G405)+1,"")</f>
        <v/>
      </c>
    </row>
    <row r="407">
      <c r="A407">
        <f>IF(AND(LEN('Checklist'!C407)&gt;0,ISNUMBER('Checklist'!L407)),'Checklist'!L407+404/100000,"")</f>
        <v/>
      </c>
      <c r="B407">
        <f>IF(AND(LEN('Checklist'!C407)&gt;0,ISNUMBER('Checklist'!L407)),MAX($B$3:B406)+1,"")</f>
        <v/>
      </c>
      <c r="E407">
        <f>IFERROR(MATCH(404,$B$4:$B$503,0),"")</f>
        <v/>
      </c>
      <c r="G407">
        <f>IF('Checklist'!N407="Red",MAX($G$3:G406)+1,"")</f>
        <v/>
      </c>
    </row>
    <row r="408">
      <c r="A408">
        <f>IF(AND(LEN('Checklist'!C408)&gt;0,ISNUMBER('Checklist'!L408)),'Checklist'!L408+405/100000,"")</f>
        <v/>
      </c>
      <c r="B408">
        <f>IF(AND(LEN('Checklist'!C408)&gt;0,ISNUMBER('Checklist'!L408)),MAX($B$3:B407)+1,"")</f>
        <v/>
      </c>
      <c r="E408">
        <f>IFERROR(MATCH(405,$B$4:$B$503,0),"")</f>
        <v/>
      </c>
      <c r="G408">
        <f>IF('Checklist'!N408="Red",MAX($G$3:G407)+1,"")</f>
        <v/>
      </c>
    </row>
    <row r="409">
      <c r="A409">
        <f>IF(AND(LEN('Checklist'!C409)&gt;0,ISNUMBER('Checklist'!L409)),'Checklist'!L409+406/100000,"")</f>
        <v/>
      </c>
      <c r="B409">
        <f>IF(AND(LEN('Checklist'!C409)&gt;0,ISNUMBER('Checklist'!L409)),MAX($B$3:B408)+1,"")</f>
        <v/>
      </c>
      <c r="E409">
        <f>IFERROR(MATCH(406,$B$4:$B$503,0),"")</f>
        <v/>
      </c>
      <c r="G409">
        <f>IF('Checklist'!N409="Red",MAX($G$3:G408)+1,"")</f>
        <v/>
      </c>
    </row>
    <row r="410">
      <c r="A410">
        <f>IF(AND(LEN('Checklist'!C410)&gt;0,ISNUMBER('Checklist'!L410)),'Checklist'!L410+407/100000,"")</f>
        <v/>
      </c>
      <c r="B410">
        <f>IF(AND(LEN('Checklist'!C410)&gt;0,ISNUMBER('Checklist'!L410)),MAX($B$3:B409)+1,"")</f>
        <v/>
      </c>
      <c r="E410">
        <f>IFERROR(MATCH(407,$B$4:$B$503,0),"")</f>
        <v/>
      </c>
      <c r="G410">
        <f>IF('Checklist'!N410="Red",MAX($G$3:G409)+1,"")</f>
        <v/>
      </c>
    </row>
    <row r="411">
      <c r="A411">
        <f>IF(AND(LEN('Checklist'!C411)&gt;0,ISNUMBER('Checklist'!L411)),'Checklist'!L411+408/100000,"")</f>
        <v/>
      </c>
      <c r="B411">
        <f>IF(AND(LEN('Checklist'!C411)&gt;0,ISNUMBER('Checklist'!L411)),MAX($B$3:B410)+1,"")</f>
        <v/>
      </c>
      <c r="E411">
        <f>IFERROR(MATCH(408,$B$4:$B$503,0),"")</f>
        <v/>
      </c>
      <c r="G411">
        <f>IF('Checklist'!N411="Red",MAX($G$3:G410)+1,"")</f>
        <v/>
      </c>
    </row>
    <row r="412">
      <c r="A412">
        <f>IF(AND(LEN('Checklist'!C412)&gt;0,ISNUMBER('Checklist'!L412)),'Checklist'!L412+409/100000,"")</f>
        <v/>
      </c>
      <c r="B412">
        <f>IF(AND(LEN('Checklist'!C412)&gt;0,ISNUMBER('Checklist'!L412)),MAX($B$3:B411)+1,"")</f>
        <v/>
      </c>
      <c r="E412">
        <f>IFERROR(MATCH(409,$B$4:$B$503,0),"")</f>
        <v/>
      </c>
      <c r="G412">
        <f>IF('Checklist'!N412="Red",MAX($G$3:G411)+1,"")</f>
        <v/>
      </c>
    </row>
    <row r="413">
      <c r="A413">
        <f>IF(AND(LEN('Checklist'!C413)&gt;0,ISNUMBER('Checklist'!L413)),'Checklist'!L413+410/100000,"")</f>
        <v/>
      </c>
      <c r="B413">
        <f>IF(AND(LEN('Checklist'!C413)&gt;0,ISNUMBER('Checklist'!L413)),MAX($B$3:B412)+1,"")</f>
        <v/>
      </c>
      <c r="E413">
        <f>IFERROR(MATCH(410,$B$4:$B$503,0),"")</f>
        <v/>
      </c>
      <c r="G413">
        <f>IF('Checklist'!N413="Red",MAX($G$3:G412)+1,"")</f>
        <v/>
      </c>
    </row>
    <row r="414">
      <c r="A414">
        <f>IF(AND(LEN('Checklist'!C414)&gt;0,ISNUMBER('Checklist'!L414)),'Checklist'!L414+411/100000,"")</f>
        <v/>
      </c>
      <c r="B414">
        <f>IF(AND(LEN('Checklist'!C414)&gt;0,ISNUMBER('Checklist'!L414)),MAX($B$3:B413)+1,"")</f>
        <v/>
      </c>
      <c r="E414">
        <f>IFERROR(MATCH(411,$B$4:$B$503,0),"")</f>
        <v/>
      </c>
      <c r="G414">
        <f>IF('Checklist'!N414="Red",MAX($G$3:G413)+1,"")</f>
        <v/>
      </c>
    </row>
    <row r="415">
      <c r="A415">
        <f>IF(AND(LEN('Checklist'!C415)&gt;0,ISNUMBER('Checklist'!L415)),'Checklist'!L415+412/100000,"")</f>
        <v/>
      </c>
      <c r="B415">
        <f>IF(AND(LEN('Checklist'!C415)&gt;0,ISNUMBER('Checklist'!L415)),MAX($B$3:B414)+1,"")</f>
        <v/>
      </c>
      <c r="E415">
        <f>IFERROR(MATCH(412,$B$4:$B$503,0),"")</f>
        <v/>
      </c>
      <c r="G415">
        <f>IF('Checklist'!N415="Red",MAX($G$3:G414)+1,"")</f>
        <v/>
      </c>
    </row>
    <row r="416">
      <c r="A416">
        <f>IF(AND(LEN('Checklist'!C416)&gt;0,ISNUMBER('Checklist'!L416)),'Checklist'!L416+413/100000,"")</f>
        <v/>
      </c>
      <c r="B416">
        <f>IF(AND(LEN('Checklist'!C416)&gt;0,ISNUMBER('Checklist'!L416)),MAX($B$3:B415)+1,"")</f>
        <v/>
      </c>
      <c r="E416">
        <f>IFERROR(MATCH(413,$B$4:$B$503,0),"")</f>
        <v/>
      </c>
      <c r="G416">
        <f>IF('Checklist'!N416="Red",MAX($G$3:G415)+1,"")</f>
        <v/>
      </c>
    </row>
    <row r="417">
      <c r="A417">
        <f>IF(AND(LEN('Checklist'!C417)&gt;0,ISNUMBER('Checklist'!L417)),'Checklist'!L417+414/100000,"")</f>
        <v/>
      </c>
      <c r="B417">
        <f>IF(AND(LEN('Checklist'!C417)&gt;0,ISNUMBER('Checklist'!L417)),MAX($B$3:B416)+1,"")</f>
        <v/>
      </c>
      <c r="E417">
        <f>IFERROR(MATCH(414,$B$4:$B$503,0),"")</f>
        <v/>
      </c>
      <c r="G417">
        <f>IF('Checklist'!N417="Red",MAX($G$3:G416)+1,"")</f>
        <v/>
      </c>
    </row>
    <row r="418">
      <c r="A418">
        <f>IF(AND(LEN('Checklist'!C418)&gt;0,ISNUMBER('Checklist'!L418)),'Checklist'!L418+415/100000,"")</f>
        <v/>
      </c>
      <c r="B418">
        <f>IF(AND(LEN('Checklist'!C418)&gt;0,ISNUMBER('Checklist'!L418)),MAX($B$3:B417)+1,"")</f>
        <v/>
      </c>
      <c r="E418">
        <f>IFERROR(MATCH(415,$B$4:$B$503,0),"")</f>
        <v/>
      </c>
      <c r="G418">
        <f>IF('Checklist'!N418="Red",MAX($G$3:G417)+1,"")</f>
        <v/>
      </c>
    </row>
    <row r="419">
      <c r="A419">
        <f>IF(AND(LEN('Checklist'!C419)&gt;0,ISNUMBER('Checklist'!L419)),'Checklist'!L419+416/100000,"")</f>
        <v/>
      </c>
      <c r="B419">
        <f>IF(AND(LEN('Checklist'!C419)&gt;0,ISNUMBER('Checklist'!L419)),MAX($B$3:B418)+1,"")</f>
        <v/>
      </c>
      <c r="E419">
        <f>IFERROR(MATCH(416,$B$4:$B$503,0),"")</f>
        <v/>
      </c>
      <c r="G419">
        <f>IF('Checklist'!N419="Red",MAX($G$3:G418)+1,"")</f>
        <v/>
      </c>
    </row>
    <row r="420">
      <c r="A420">
        <f>IF(AND(LEN('Checklist'!C420)&gt;0,ISNUMBER('Checklist'!L420)),'Checklist'!L420+417/100000,"")</f>
        <v/>
      </c>
      <c r="B420">
        <f>IF(AND(LEN('Checklist'!C420)&gt;0,ISNUMBER('Checklist'!L420)),MAX($B$3:B419)+1,"")</f>
        <v/>
      </c>
      <c r="E420">
        <f>IFERROR(MATCH(417,$B$4:$B$503,0),"")</f>
        <v/>
      </c>
      <c r="G420">
        <f>IF('Checklist'!N420="Red",MAX($G$3:G419)+1,"")</f>
        <v/>
      </c>
    </row>
    <row r="421">
      <c r="A421">
        <f>IF(AND(LEN('Checklist'!C421)&gt;0,ISNUMBER('Checklist'!L421)),'Checklist'!L421+418/100000,"")</f>
        <v/>
      </c>
      <c r="B421">
        <f>IF(AND(LEN('Checklist'!C421)&gt;0,ISNUMBER('Checklist'!L421)),MAX($B$3:B420)+1,"")</f>
        <v/>
      </c>
      <c r="E421">
        <f>IFERROR(MATCH(418,$B$4:$B$503,0),"")</f>
        <v/>
      </c>
      <c r="G421">
        <f>IF('Checklist'!N421="Red",MAX($G$3:G420)+1,"")</f>
        <v/>
      </c>
    </row>
    <row r="422">
      <c r="A422">
        <f>IF(AND(LEN('Checklist'!C422)&gt;0,ISNUMBER('Checklist'!L422)),'Checklist'!L422+419/100000,"")</f>
        <v/>
      </c>
      <c r="B422">
        <f>IF(AND(LEN('Checklist'!C422)&gt;0,ISNUMBER('Checklist'!L422)),MAX($B$3:B421)+1,"")</f>
        <v/>
      </c>
      <c r="E422">
        <f>IFERROR(MATCH(419,$B$4:$B$503,0),"")</f>
        <v/>
      </c>
      <c r="G422">
        <f>IF('Checklist'!N422="Red",MAX($G$3:G421)+1,"")</f>
        <v/>
      </c>
    </row>
    <row r="423">
      <c r="A423">
        <f>IF(AND(LEN('Checklist'!C423)&gt;0,ISNUMBER('Checklist'!L423)),'Checklist'!L423+420/100000,"")</f>
        <v/>
      </c>
      <c r="B423">
        <f>IF(AND(LEN('Checklist'!C423)&gt;0,ISNUMBER('Checklist'!L423)),MAX($B$3:B422)+1,"")</f>
        <v/>
      </c>
      <c r="E423">
        <f>IFERROR(MATCH(420,$B$4:$B$503,0),"")</f>
        <v/>
      </c>
      <c r="G423">
        <f>IF('Checklist'!N423="Red",MAX($G$3:G422)+1,"")</f>
        <v/>
      </c>
    </row>
    <row r="424">
      <c r="A424">
        <f>IF(AND(LEN('Checklist'!C424)&gt;0,ISNUMBER('Checklist'!L424)),'Checklist'!L424+421/100000,"")</f>
        <v/>
      </c>
      <c r="B424">
        <f>IF(AND(LEN('Checklist'!C424)&gt;0,ISNUMBER('Checklist'!L424)),MAX($B$3:B423)+1,"")</f>
        <v/>
      </c>
      <c r="E424">
        <f>IFERROR(MATCH(421,$B$4:$B$503,0),"")</f>
        <v/>
      </c>
      <c r="G424">
        <f>IF('Checklist'!N424="Red",MAX($G$3:G423)+1,"")</f>
        <v/>
      </c>
    </row>
    <row r="425">
      <c r="A425">
        <f>IF(AND(LEN('Checklist'!C425)&gt;0,ISNUMBER('Checklist'!L425)),'Checklist'!L425+422/100000,"")</f>
        <v/>
      </c>
      <c r="B425">
        <f>IF(AND(LEN('Checklist'!C425)&gt;0,ISNUMBER('Checklist'!L425)),MAX($B$3:B424)+1,"")</f>
        <v/>
      </c>
      <c r="E425">
        <f>IFERROR(MATCH(422,$B$4:$B$503,0),"")</f>
        <v/>
      </c>
      <c r="G425">
        <f>IF('Checklist'!N425="Red",MAX($G$3:G424)+1,"")</f>
        <v/>
      </c>
    </row>
    <row r="426">
      <c r="A426">
        <f>IF(AND(LEN('Checklist'!C426)&gt;0,ISNUMBER('Checklist'!L426)),'Checklist'!L426+423/100000,"")</f>
        <v/>
      </c>
      <c r="B426">
        <f>IF(AND(LEN('Checklist'!C426)&gt;0,ISNUMBER('Checklist'!L426)),MAX($B$3:B425)+1,"")</f>
        <v/>
      </c>
      <c r="E426">
        <f>IFERROR(MATCH(423,$B$4:$B$503,0),"")</f>
        <v/>
      </c>
      <c r="G426">
        <f>IF('Checklist'!N426="Red",MAX($G$3:G425)+1,"")</f>
        <v/>
      </c>
    </row>
    <row r="427">
      <c r="A427">
        <f>IF(AND(LEN('Checklist'!C427)&gt;0,ISNUMBER('Checklist'!L427)),'Checklist'!L427+424/100000,"")</f>
        <v/>
      </c>
      <c r="B427">
        <f>IF(AND(LEN('Checklist'!C427)&gt;0,ISNUMBER('Checklist'!L427)),MAX($B$3:B426)+1,"")</f>
        <v/>
      </c>
      <c r="E427">
        <f>IFERROR(MATCH(424,$B$4:$B$503,0),"")</f>
        <v/>
      </c>
      <c r="G427">
        <f>IF('Checklist'!N427="Red",MAX($G$3:G426)+1,"")</f>
        <v/>
      </c>
    </row>
    <row r="428">
      <c r="A428">
        <f>IF(AND(LEN('Checklist'!C428)&gt;0,ISNUMBER('Checklist'!L428)),'Checklist'!L428+425/100000,"")</f>
        <v/>
      </c>
      <c r="B428">
        <f>IF(AND(LEN('Checklist'!C428)&gt;0,ISNUMBER('Checklist'!L428)),MAX($B$3:B427)+1,"")</f>
        <v/>
      </c>
      <c r="E428">
        <f>IFERROR(MATCH(425,$B$4:$B$503,0),"")</f>
        <v/>
      </c>
      <c r="G428">
        <f>IF('Checklist'!N428="Red",MAX($G$3:G427)+1,"")</f>
        <v/>
      </c>
    </row>
    <row r="429">
      <c r="A429">
        <f>IF(AND(LEN('Checklist'!C429)&gt;0,ISNUMBER('Checklist'!L429)),'Checklist'!L429+426/100000,"")</f>
        <v/>
      </c>
      <c r="B429">
        <f>IF(AND(LEN('Checklist'!C429)&gt;0,ISNUMBER('Checklist'!L429)),MAX($B$3:B428)+1,"")</f>
        <v/>
      </c>
      <c r="E429">
        <f>IFERROR(MATCH(426,$B$4:$B$503,0),"")</f>
        <v/>
      </c>
      <c r="G429">
        <f>IF('Checklist'!N429="Red",MAX($G$3:G428)+1,"")</f>
        <v/>
      </c>
    </row>
    <row r="430">
      <c r="A430">
        <f>IF(AND(LEN('Checklist'!C430)&gt;0,ISNUMBER('Checklist'!L430)),'Checklist'!L430+427/100000,"")</f>
        <v/>
      </c>
      <c r="B430">
        <f>IF(AND(LEN('Checklist'!C430)&gt;0,ISNUMBER('Checklist'!L430)),MAX($B$3:B429)+1,"")</f>
        <v/>
      </c>
      <c r="E430">
        <f>IFERROR(MATCH(427,$B$4:$B$503,0),"")</f>
        <v/>
      </c>
      <c r="G430">
        <f>IF('Checklist'!N430="Red",MAX($G$3:G429)+1,"")</f>
        <v/>
      </c>
    </row>
    <row r="431">
      <c r="A431">
        <f>IF(AND(LEN('Checklist'!C431)&gt;0,ISNUMBER('Checklist'!L431)),'Checklist'!L431+428/100000,"")</f>
        <v/>
      </c>
      <c r="B431">
        <f>IF(AND(LEN('Checklist'!C431)&gt;0,ISNUMBER('Checklist'!L431)),MAX($B$3:B430)+1,"")</f>
        <v/>
      </c>
      <c r="E431">
        <f>IFERROR(MATCH(428,$B$4:$B$503,0),"")</f>
        <v/>
      </c>
      <c r="G431">
        <f>IF('Checklist'!N431="Red",MAX($G$3:G430)+1,"")</f>
        <v/>
      </c>
    </row>
    <row r="432">
      <c r="A432">
        <f>IF(AND(LEN('Checklist'!C432)&gt;0,ISNUMBER('Checklist'!L432)),'Checklist'!L432+429/100000,"")</f>
        <v/>
      </c>
      <c r="B432">
        <f>IF(AND(LEN('Checklist'!C432)&gt;0,ISNUMBER('Checklist'!L432)),MAX($B$3:B431)+1,"")</f>
        <v/>
      </c>
      <c r="E432">
        <f>IFERROR(MATCH(429,$B$4:$B$503,0),"")</f>
        <v/>
      </c>
      <c r="G432">
        <f>IF('Checklist'!N432="Red",MAX($G$3:G431)+1,"")</f>
        <v/>
      </c>
    </row>
    <row r="433">
      <c r="A433">
        <f>IF(AND(LEN('Checklist'!C433)&gt;0,ISNUMBER('Checklist'!L433)),'Checklist'!L433+430/100000,"")</f>
        <v/>
      </c>
      <c r="B433">
        <f>IF(AND(LEN('Checklist'!C433)&gt;0,ISNUMBER('Checklist'!L433)),MAX($B$3:B432)+1,"")</f>
        <v/>
      </c>
      <c r="E433">
        <f>IFERROR(MATCH(430,$B$4:$B$503,0),"")</f>
        <v/>
      </c>
      <c r="G433">
        <f>IF('Checklist'!N433="Red",MAX($G$3:G432)+1,"")</f>
        <v/>
      </c>
    </row>
    <row r="434">
      <c r="A434">
        <f>IF(AND(LEN('Checklist'!C434)&gt;0,ISNUMBER('Checklist'!L434)),'Checklist'!L434+431/100000,"")</f>
        <v/>
      </c>
      <c r="B434">
        <f>IF(AND(LEN('Checklist'!C434)&gt;0,ISNUMBER('Checklist'!L434)),MAX($B$3:B433)+1,"")</f>
        <v/>
      </c>
      <c r="E434">
        <f>IFERROR(MATCH(431,$B$4:$B$503,0),"")</f>
        <v/>
      </c>
      <c r="G434">
        <f>IF('Checklist'!N434="Red",MAX($G$3:G433)+1,"")</f>
        <v/>
      </c>
    </row>
    <row r="435">
      <c r="A435">
        <f>IF(AND(LEN('Checklist'!C435)&gt;0,ISNUMBER('Checklist'!L435)),'Checklist'!L435+432/100000,"")</f>
        <v/>
      </c>
      <c r="B435">
        <f>IF(AND(LEN('Checklist'!C435)&gt;0,ISNUMBER('Checklist'!L435)),MAX($B$3:B434)+1,"")</f>
        <v/>
      </c>
      <c r="E435">
        <f>IFERROR(MATCH(432,$B$4:$B$503,0),"")</f>
        <v/>
      </c>
      <c r="G435">
        <f>IF('Checklist'!N435="Red",MAX($G$3:G434)+1,"")</f>
        <v/>
      </c>
    </row>
    <row r="436">
      <c r="A436">
        <f>IF(AND(LEN('Checklist'!C436)&gt;0,ISNUMBER('Checklist'!L436)),'Checklist'!L436+433/100000,"")</f>
        <v/>
      </c>
      <c r="B436">
        <f>IF(AND(LEN('Checklist'!C436)&gt;0,ISNUMBER('Checklist'!L436)),MAX($B$3:B435)+1,"")</f>
        <v/>
      </c>
      <c r="E436">
        <f>IFERROR(MATCH(433,$B$4:$B$503,0),"")</f>
        <v/>
      </c>
      <c r="G436">
        <f>IF('Checklist'!N436="Red",MAX($G$3:G435)+1,"")</f>
        <v/>
      </c>
    </row>
    <row r="437">
      <c r="A437">
        <f>IF(AND(LEN('Checklist'!C437)&gt;0,ISNUMBER('Checklist'!L437)),'Checklist'!L437+434/100000,"")</f>
        <v/>
      </c>
      <c r="B437">
        <f>IF(AND(LEN('Checklist'!C437)&gt;0,ISNUMBER('Checklist'!L437)),MAX($B$3:B436)+1,"")</f>
        <v/>
      </c>
      <c r="E437">
        <f>IFERROR(MATCH(434,$B$4:$B$503,0),"")</f>
        <v/>
      </c>
      <c r="G437">
        <f>IF('Checklist'!N437="Red",MAX($G$3:G436)+1,"")</f>
        <v/>
      </c>
    </row>
    <row r="438">
      <c r="A438">
        <f>IF(AND(LEN('Checklist'!C438)&gt;0,ISNUMBER('Checklist'!L438)),'Checklist'!L438+435/100000,"")</f>
        <v/>
      </c>
      <c r="B438">
        <f>IF(AND(LEN('Checklist'!C438)&gt;0,ISNUMBER('Checklist'!L438)),MAX($B$3:B437)+1,"")</f>
        <v/>
      </c>
      <c r="E438">
        <f>IFERROR(MATCH(435,$B$4:$B$503,0),"")</f>
        <v/>
      </c>
      <c r="G438">
        <f>IF('Checklist'!N438="Red",MAX($G$3:G437)+1,"")</f>
        <v/>
      </c>
    </row>
    <row r="439">
      <c r="A439">
        <f>IF(AND(LEN('Checklist'!C439)&gt;0,ISNUMBER('Checklist'!L439)),'Checklist'!L439+436/100000,"")</f>
        <v/>
      </c>
      <c r="B439">
        <f>IF(AND(LEN('Checklist'!C439)&gt;0,ISNUMBER('Checklist'!L439)),MAX($B$3:B438)+1,"")</f>
        <v/>
      </c>
      <c r="E439">
        <f>IFERROR(MATCH(436,$B$4:$B$503,0),"")</f>
        <v/>
      </c>
      <c r="G439">
        <f>IF('Checklist'!N439="Red",MAX($G$3:G438)+1,"")</f>
        <v/>
      </c>
    </row>
    <row r="440">
      <c r="A440">
        <f>IF(AND(LEN('Checklist'!C440)&gt;0,ISNUMBER('Checklist'!L440)),'Checklist'!L440+437/100000,"")</f>
        <v/>
      </c>
      <c r="B440">
        <f>IF(AND(LEN('Checklist'!C440)&gt;0,ISNUMBER('Checklist'!L440)),MAX($B$3:B439)+1,"")</f>
        <v/>
      </c>
      <c r="E440">
        <f>IFERROR(MATCH(437,$B$4:$B$503,0),"")</f>
        <v/>
      </c>
      <c r="G440">
        <f>IF('Checklist'!N440="Red",MAX($G$3:G439)+1,"")</f>
        <v/>
      </c>
    </row>
    <row r="441">
      <c r="A441">
        <f>IF(AND(LEN('Checklist'!C441)&gt;0,ISNUMBER('Checklist'!L441)),'Checklist'!L441+438/100000,"")</f>
        <v/>
      </c>
      <c r="B441">
        <f>IF(AND(LEN('Checklist'!C441)&gt;0,ISNUMBER('Checklist'!L441)),MAX($B$3:B440)+1,"")</f>
        <v/>
      </c>
      <c r="E441">
        <f>IFERROR(MATCH(438,$B$4:$B$503,0),"")</f>
        <v/>
      </c>
      <c r="G441">
        <f>IF('Checklist'!N441="Red",MAX($G$3:G440)+1,"")</f>
        <v/>
      </c>
    </row>
    <row r="442">
      <c r="A442">
        <f>IF(AND(LEN('Checklist'!C442)&gt;0,ISNUMBER('Checklist'!L442)),'Checklist'!L442+439/100000,"")</f>
        <v/>
      </c>
      <c r="B442">
        <f>IF(AND(LEN('Checklist'!C442)&gt;0,ISNUMBER('Checklist'!L442)),MAX($B$3:B441)+1,"")</f>
        <v/>
      </c>
      <c r="E442">
        <f>IFERROR(MATCH(439,$B$4:$B$503,0),"")</f>
        <v/>
      </c>
      <c r="G442">
        <f>IF('Checklist'!N442="Red",MAX($G$3:G441)+1,"")</f>
        <v/>
      </c>
    </row>
    <row r="443">
      <c r="A443">
        <f>IF(AND(LEN('Checklist'!C443)&gt;0,ISNUMBER('Checklist'!L443)),'Checklist'!L443+440/100000,"")</f>
        <v/>
      </c>
      <c r="B443">
        <f>IF(AND(LEN('Checklist'!C443)&gt;0,ISNUMBER('Checklist'!L443)),MAX($B$3:B442)+1,"")</f>
        <v/>
      </c>
      <c r="E443">
        <f>IFERROR(MATCH(440,$B$4:$B$503,0),"")</f>
        <v/>
      </c>
      <c r="G443">
        <f>IF('Checklist'!N443="Red",MAX($G$3:G442)+1,"")</f>
        <v/>
      </c>
    </row>
    <row r="444">
      <c r="A444">
        <f>IF(AND(LEN('Checklist'!C444)&gt;0,ISNUMBER('Checklist'!L444)),'Checklist'!L444+441/100000,"")</f>
        <v/>
      </c>
      <c r="B444">
        <f>IF(AND(LEN('Checklist'!C444)&gt;0,ISNUMBER('Checklist'!L444)),MAX($B$3:B443)+1,"")</f>
        <v/>
      </c>
      <c r="E444">
        <f>IFERROR(MATCH(441,$B$4:$B$503,0),"")</f>
        <v/>
      </c>
      <c r="G444">
        <f>IF('Checklist'!N444="Red",MAX($G$3:G443)+1,"")</f>
        <v/>
      </c>
    </row>
    <row r="445">
      <c r="A445">
        <f>IF(AND(LEN('Checklist'!C445)&gt;0,ISNUMBER('Checklist'!L445)),'Checklist'!L445+442/100000,"")</f>
        <v/>
      </c>
      <c r="B445">
        <f>IF(AND(LEN('Checklist'!C445)&gt;0,ISNUMBER('Checklist'!L445)),MAX($B$3:B444)+1,"")</f>
        <v/>
      </c>
      <c r="E445">
        <f>IFERROR(MATCH(442,$B$4:$B$503,0),"")</f>
        <v/>
      </c>
      <c r="G445">
        <f>IF('Checklist'!N445="Red",MAX($G$3:G444)+1,"")</f>
        <v/>
      </c>
    </row>
    <row r="446">
      <c r="A446">
        <f>IF(AND(LEN('Checklist'!C446)&gt;0,ISNUMBER('Checklist'!L446)),'Checklist'!L446+443/100000,"")</f>
        <v/>
      </c>
      <c r="B446">
        <f>IF(AND(LEN('Checklist'!C446)&gt;0,ISNUMBER('Checklist'!L446)),MAX($B$3:B445)+1,"")</f>
        <v/>
      </c>
      <c r="E446">
        <f>IFERROR(MATCH(443,$B$4:$B$503,0),"")</f>
        <v/>
      </c>
      <c r="G446">
        <f>IF('Checklist'!N446="Red",MAX($G$3:G445)+1,"")</f>
        <v/>
      </c>
    </row>
    <row r="447">
      <c r="A447">
        <f>IF(AND(LEN('Checklist'!C447)&gt;0,ISNUMBER('Checklist'!L447)),'Checklist'!L447+444/100000,"")</f>
        <v/>
      </c>
      <c r="B447">
        <f>IF(AND(LEN('Checklist'!C447)&gt;0,ISNUMBER('Checklist'!L447)),MAX($B$3:B446)+1,"")</f>
        <v/>
      </c>
      <c r="E447">
        <f>IFERROR(MATCH(444,$B$4:$B$503,0),"")</f>
        <v/>
      </c>
      <c r="G447">
        <f>IF('Checklist'!N447="Red",MAX($G$3:G446)+1,"")</f>
        <v/>
      </c>
    </row>
    <row r="448">
      <c r="A448">
        <f>IF(AND(LEN('Checklist'!C448)&gt;0,ISNUMBER('Checklist'!L448)),'Checklist'!L448+445/100000,"")</f>
        <v/>
      </c>
      <c r="B448">
        <f>IF(AND(LEN('Checklist'!C448)&gt;0,ISNUMBER('Checklist'!L448)),MAX($B$3:B447)+1,"")</f>
        <v/>
      </c>
      <c r="E448">
        <f>IFERROR(MATCH(445,$B$4:$B$503,0),"")</f>
        <v/>
      </c>
      <c r="G448">
        <f>IF('Checklist'!N448="Red",MAX($G$3:G447)+1,"")</f>
        <v/>
      </c>
    </row>
    <row r="449">
      <c r="A449">
        <f>IF(AND(LEN('Checklist'!C449)&gt;0,ISNUMBER('Checklist'!L449)),'Checklist'!L449+446/100000,"")</f>
        <v/>
      </c>
      <c r="B449">
        <f>IF(AND(LEN('Checklist'!C449)&gt;0,ISNUMBER('Checklist'!L449)),MAX($B$3:B448)+1,"")</f>
        <v/>
      </c>
      <c r="E449">
        <f>IFERROR(MATCH(446,$B$4:$B$503,0),"")</f>
        <v/>
      </c>
      <c r="G449">
        <f>IF('Checklist'!N449="Red",MAX($G$3:G448)+1,"")</f>
        <v/>
      </c>
    </row>
    <row r="450">
      <c r="A450">
        <f>IF(AND(LEN('Checklist'!C450)&gt;0,ISNUMBER('Checklist'!L450)),'Checklist'!L450+447/100000,"")</f>
        <v/>
      </c>
      <c r="B450">
        <f>IF(AND(LEN('Checklist'!C450)&gt;0,ISNUMBER('Checklist'!L450)),MAX($B$3:B449)+1,"")</f>
        <v/>
      </c>
      <c r="E450">
        <f>IFERROR(MATCH(447,$B$4:$B$503,0),"")</f>
        <v/>
      </c>
      <c r="G450">
        <f>IF('Checklist'!N450="Red",MAX($G$3:G449)+1,"")</f>
        <v/>
      </c>
    </row>
    <row r="451">
      <c r="A451">
        <f>IF(AND(LEN('Checklist'!C451)&gt;0,ISNUMBER('Checklist'!L451)),'Checklist'!L451+448/100000,"")</f>
        <v/>
      </c>
      <c r="B451">
        <f>IF(AND(LEN('Checklist'!C451)&gt;0,ISNUMBER('Checklist'!L451)),MAX($B$3:B450)+1,"")</f>
        <v/>
      </c>
      <c r="E451">
        <f>IFERROR(MATCH(448,$B$4:$B$503,0),"")</f>
        <v/>
      </c>
      <c r="G451">
        <f>IF('Checklist'!N451="Red",MAX($G$3:G450)+1,"")</f>
        <v/>
      </c>
    </row>
    <row r="452">
      <c r="A452">
        <f>IF(AND(LEN('Checklist'!C452)&gt;0,ISNUMBER('Checklist'!L452)),'Checklist'!L452+449/100000,"")</f>
        <v/>
      </c>
      <c r="B452">
        <f>IF(AND(LEN('Checklist'!C452)&gt;0,ISNUMBER('Checklist'!L452)),MAX($B$3:B451)+1,"")</f>
        <v/>
      </c>
      <c r="E452">
        <f>IFERROR(MATCH(449,$B$4:$B$503,0),"")</f>
        <v/>
      </c>
      <c r="G452">
        <f>IF('Checklist'!N452="Red",MAX($G$3:G451)+1,"")</f>
        <v/>
      </c>
    </row>
    <row r="453">
      <c r="A453">
        <f>IF(AND(LEN('Checklist'!C453)&gt;0,ISNUMBER('Checklist'!L453)),'Checklist'!L453+450/100000,"")</f>
        <v/>
      </c>
      <c r="B453">
        <f>IF(AND(LEN('Checklist'!C453)&gt;0,ISNUMBER('Checklist'!L453)),MAX($B$3:B452)+1,"")</f>
        <v/>
      </c>
      <c r="E453">
        <f>IFERROR(MATCH(450,$B$4:$B$503,0),"")</f>
        <v/>
      </c>
      <c r="G453">
        <f>IF('Checklist'!N453="Red",MAX($G$3:G452)+1,"")</f>
        <v/>
      </c>
    </row>
    <row r="454">
      <c r="A454">
        <f>IF(AND(LEN('Checklist'!C454)&gt;0,ISNUMBER('Checklist'!L454)),'Checklist'!L454+451/100000,"")</f>
        <v/>
      </c>
      <c r="B454">
        <f>IF(AND(LEN('Checklist'!C454)&gt;0,ISNUMBER('Checklist'!L454)),MAX($B$3:B453)+1,"")</f>
        <v/>
      </c>
      <c r="E454">
        <f>IFERROR(MATCH(451,$B$4:$B$503,0),"")</f>
        <v/>
      </c>
      <c r="G454">
        <f>IF('Checklist'!N454="Red",MAX($G$3:G453)+1,"")</f>
        <v/>
      </c>
    </row>
    <row r="455">
      <c r="A455">
        <f>IF(AND(LEN('Checklist'!C455)&gt;0,ISNUMBER('Checklist'!L455)),'Checklist'!L455+452/100000,"")</f>
        <v/>
      </c>
      <c r="B455">
        <f>IF(AND(LEN('Checklist'!C455)&gt;0,ISNUMBER('Checklist'!L455)),MAX($B$3:B454)+1,"")</f>
        <v/>
      </c>
      <c r="E455">
        <f>IFERROR(MATCH(452,$B$4:$B$503,0),"")</f>
        <v/>
      </c>
      <c r="G455">
        <f>IF('Checklist'!N455="Red",MAX($G$3:G454)+1,"")</f>
        <v/>
      </c>
    </row>
    <row r="456">
      <c r="A456">
        <f>IF(AND(LEN('Checklist'!C456)&gt;0,ISNUMBER('Checklist'!L456)),'Checklist'!L456+453/100000,"")</f>
        <v/>
      </c>
      <c r="B456">
        <f>IF(AND(LEN('Checklist'!C456)&gt;0,ISNUMBER('Checklist'!L456)),MAX($B$3:B455)+1,"")</f>
        <v/>
      </c>
      <c r="E456">
        <f>IFERROR(MATCH(453,$B$4:$B$503,0),"")</f>
        <v/>
      </c>
      <c r="G456">
        <f>IF('Checklist'!N456="Red",MAX($G$3:G455)+1,"")</f>
        <v/>
      </c>
    </row>
    <row r="457">
      <c r="A457">
        <f>IF(AND(LEN('Checklist'!C457)&gt;0,ISNUMBER('Checklist'!L457)),'Checklist'!L457+454/100000,"")</f>
        <v/>
      </c>
      <c r="B457">
        <f>IF(AND(LEN('Checklist'!C457)&gt;0,ISNUMBER('Checklist'!L457)),MAX($B$3:B456)+1,"")</f>
        <v/>
      </c>
      <c r="E457">
        <f>IFERROR(MATCH(454,$B$4:$B$503,0),"")</f>
        <v/>
      </c>
      <c r="G457">
        <f>IF('Checklist'!N457="Red",MAX($G$3:G456)+1,"")</f>
        <v/>
      </c>
    </row>
    <row r="458">
      <c r="A458">
        <f>IF(AND(LEN('Checklist'!C458)&gt;0,ISNUMBER('Checklist'!L458)),'Checklist'!L458+455/100000,"")</f>
        <v/>
      </c>
      <c r="B458">
        <f>IF(AND(LEN('Checklist'!C458)&gt;0,ISNUMBER('Checklist'!L458)),MAX($B$3:B457)+1,"")</f>
        <v/>
      </c>
      <c r="E458">
        <f>IFERROR(MATCH(455,$B$4:$B$503,0),"")</f>
        <v/>
      </c>
      <c r="G458">
        <f>IF('Checklist'!N458="Red",MAX($G$3:G457)+1,"")</f>
        <v/>
      </c>
    </row>
    <row r="459">
      <c r="A459">
        <f>IF(AND(LEN('Checklist'!C459)&gt;0,ISNUMBER('Checklist'!L459)),'Checklist'!L459+456/100000,"")</f>
        <v/>
      </c>
      <c r="B459">
        <f>IF(AND(LEN('Checklist'!C459)&gt;0,ISNUMBER('Checklist'!L459)),MAX($B$3:B458)+1,"")</f>
        <v/>
      </c>
      <c r="E459">
        <f>IFERROR(MATCH(456,$B$4:$B$503,0),"")</f>
        <v/>
      </c>
      <c r="G459">
        <f>IF('Checklist'!N459="Red",MAX($G$3:G458)+1,"")</f>
        <v/>
      </c>
    </row>
    <row r="460">
      <c r="A460">
        <f>IF(AND(LEN('Checklist'!C460)&gt;0,ISNUMBER('Checklist'!L460)),'Checklist'!L460+457/100000,"")</f>
        <v/>
      </c>
      <c r="B460">
        <f>IF(AND(LEN('Checklist'!C460)&gt;0,ISNUMBER('Checklist'!L460)),MAX($B$3:B459)+1,"")</f>
        <v/>
      </c>
      <c r="E460">
        <f>IFERROR(MATCH(457,$B$4:$B$503,0),"")</f>
        <v/>
      </c>
      <c r="G460">
        <f>IF('Checklist'!N460="Red",MAX($G$3:G459)+1,"")</f>
        <v/>
      </c>
    </row>
    <row r="461">
      <c r="A461">
        <f>IF(AND(LEN('Checklist'!C461)&gt;0,ISNUMBER('Checklist'!L461)),'Checklist'!L461+458/100000,"")</f>
        <v/>
      </c>
      <c r="B461">
        <f>IF(AND(LEN('Checklist'!C461)&gt;0,ISNUMBER('Checklist'!L461)),MAX($B$3:B460)+1,"")</f>
        <v/>
      </c>
      <c r="E461">
        <f>IFERROR(MATCH(458,$B$4:$B$503,0),"")</f>
        <v/>
      </c>
      <c r="G461">
        <f>IF('Checklist'!N461="Red",MAX($G$3:G460)+1,"")</f>
        <v/>
      </c>
    </row>
    <row r="462">
      <c r="A462">
        <f>IF(AND(LEN('Checklist'!C462)&gt;0,ISNUMBER('Checklist'!L462)),'Checklist'!L462+459/100000,"")</f>
        <v/>
      </c>
      <c r="B462">
        <f>IF(AND(LEN('Checklist'!C462)&gt;0,ISNUMBER('Checklist'!L462)),MAX($B$3:B461)+1,"")</f>
        <v/>
      </c>
      <c r="E462">
        <f>IFERROR(MATCH(459,$B$4:$B$503,0),"")</f>
        <v/>
      </c>
      <c r="G462">
        <f>IF('Checklist'!N462="Red",MAX($G$3:G461)+1,"")</f>
        <v/>
      </c>
    </row>
    <row r="463">
      <c r="A463">
        <f>IF(AND(LEN('Checklist'!C463)&gt;0,ISNUMBER('Checklist'!L463)),'Checklist'!L463+460/100000,"")</f>
        <v/>
      </c>
      <c r="B463">
        <f>IF(AND(LEN('Checklist'!C463)&gt;0,ISNUMBER('Checklist'!L463)),MAX($B$3:B462)+1,"")</f>
        <v/>
      </c>
      <c r="E463">
        <f>IFERROR(MATCH(460,$B$4:$B$503,0),"")</f>
        <v/>
      </c>
      <c r="G463">
        <f>IF('Checklist'!N463="Red",MAX($G$3:G462)+1,"")</f>
        <v/>
      </c>
    </row>
    <row r="464">
      <c r="A464">
        <f>IF(AND(LEN('Checklist'!C464)&gt;0,ISNUMBER('Checklist'!L464)),'Checklist'!L464+461/100000,"")</f>
        <v/>
      </c>
      <c r="B464">
        <f>IF(AND(LEN('Checklist'!C464)&gt;0,ISNUMBER('Checklist'!L464)),MAX($B$3:B463)+1,"")</f>
        <v/>
      </c>
      <c r="E464">
        <f>IFERROR(MATCH(461,$B$4:$B$503,0),"")</f>
        <v/>
      </c>
      <c r="G464">
        <f>IF('Checklist'!N464="Red",MAX($G$3:G463)+1,"")</f>
        <v/>
      </c>
    </row>
    <row r="465">
      <c r="A465">
        <f>IF(AND(LEN('Checklist'!C465)&gt;0,ISNUMBER('Checklist'!L465)),'Checklist'!L465+462/100000,"")</f>
        <v/>
      </c>
      <c r="B465">
        <f>IF(AND(LEN('Checklist'!C465)&gt;0,ISNUMBER('Checklist'!L465)),MAX($B$3:B464)+1,"")</f>
        <v/>
      </c>
      <c r="E465">
        <f>IFERROR(MATCH(462,$B$4:$B$503,0),"")</f>
        <v/>
      </c>
      <c r="G465">
        <f>IF('Checklist'!N465="Red",MAX($G$3:G464)+1,"")</f>
        <v/>
      </c>
    </row>
    <row r="466">
      <c r="A466">
        <f>IF(AND(LEN('Checklist'!C466)&gt;0,ISNUMBER('Checklist'!L466)),'Checklist'!L466+463/100000,"")</f>
        <v/>
      </c>
      <c r="B466">
        <f>IF(AND(LEN('Checklist'!C466)&gt;0,ISNUMBER('Checklist'!L466)),MAX($B$3:B465)+1,"")</f>
        <v/>
      </c>
      <c r="E466">
        <f>IFERROR(MATCH(463,$B$4:$B$503,0),"")</f>
        <v/>
      </c>
      <c r="G466">
        <f>IF('Checklist'!N466="Red",MAX($G$3:G465)+1,"")</f>
        <v/>
      </c>
    </row>
    <row r="467">
      <c r="A467">
        <f>IF(AND(LEN('Checklist'!C467)&gt;0,ISNUMBER('Checklist'!L467)),'Checklist'!L467+464/100000,"")</f>
        <v/>
      </c>
      <c r="B467">
        <f>IF(AND(LEN('Checklist'!C467)&gt;0,ISNUMBER('Checklist'!L467)),MAX($B$3:B466)+1,"")</f>
        <v/>
      </c>
      <c r="E467">
        <f>IFERROR(MATCH(464,$B$4:$B$503,0),"")</f>
        <v/>
      </c>
      <c r="G467">
        <f>IF('Checklist'!N467="Red",MAX($G$3:G466)+1,"")</f>
        <v/>
      </c>
    </row>
    <row r="468">
      <c r="A468">
        <f>IF(AND(LEN('Checklist'!C468)&gt;0,ISNUMBER('Checklist'!L468)),'Checklist'!L468+465/100000,"")</f>
        <v/>
      </c>
      <c r="B468">
        <f>IF(AND(LEN('Checklist'!C468)&gt;0,ISNUMBER('Checklist'!L468)),MAX($B$3:B467)+1,"")</f>
        <v/>
      </c>
      <c r="E468">
        <f>IFERROR(MATCH(465,$B$4:$B$503,0),"")</f>
        <v/>
      </c>
      <c r="G468">
        <f>IF('Checklist'!N468="Red",MAX($G$3:G467)+1,"")</f>
        <v/>
      </c>
    </row>
    <row r="469">
      <c r="A469">
        <f>IF(AND(LEN('Checklist'!C469)&gt;0,ISNUMBER('Checklist'!L469)),'Checklist'!L469+466/100000,"")</f>
        <v/>
      </c>
      <c r="B469">
        <f>IF(AND(LEN('Checklist'!C469)&gt;0,ISNUMBER('Checklist'!L469)),MAX($B$3:B468)+1,"")</f>
        <v/>
      </c>
      <c r="E469">
        <f>IFERROR(MATCH(466,$B$4:$B$503,0),"")</f>
        <v/>
      </c>
      <c r="G469">
        <f>IF('Checklist'!N469="Red",MAX($G$3:G468)+1,"")</f>
        <v/>
      </c>
    </row>
    <row r="470">
      <c r="A470">
        <f>IF(AND(LEN('Checklist'!C470)&gt;0,ISNUMBER('Checklist'!L470)),'Checklist'!L470+467/100000,"")</f>
        <v/>
      </c>
      <c r="B470">
        <f>IF(AND(LEN('Checklist'!C470)&gt;0,ISNUMBER('Checklist'!L470)),MAX($B$3:B469)+1,"")</f>
        <v/>
      </c>
      <c r="E470">
        <f>IFERROR(MATCH(467,$B$4:$B$503,0),"")</f>
        <v/>
      </c>
      <c r="G470">
        <f>IF('Checklist'!N470="Red",MAX($G$3:G469)+1,"")</f>
        <v/>
      </c>
    </row>
    <row r="471">
      <c r="A471">
        <f>IF(AND(LEN('Checklist'!C471)&gt;0,ISNUMBER('Checklist'!L471)),'Checklist'!L471+468/100000,"")</f>
        <v/>
      </c>
      <c r="B471">
        <f>IF(AND(LEN('Checklist'!C471)&gt;0,ISNUMBER('Checklist'!L471)),MAX($B$3:B470)+1,"")</f>
        <v/>
      </c>
      <c r="E471">
        <f>IFERROR(MATCH(468,$B$4:$B$503,0),"")</f>
        <v/>
      </c>
      <c r="G471">
        <f>IF('Checklist'!N471="Red",MAX($G$3:G470)+1,"")</f>
        <v/>
      </c>
    </row>
    <row r="472">
      <c r="A472">
        <f>IF(AND(LEN('Checklist'!C472)&gt;0,ISNUMBER('Checklist'!L472)),'Checklist'!L472+469/100000,"")</f>
        <v/>
      </c>
      <c r="B472">
        <f>IF(AND(LEN('Checklist'!C472)&gt;0,ISNUMBER('Checklist'!L472)),MAX($B$3:B471)+1,"")</f>
        <v/>
      </c>
      <c r="E472">
        <f>IFERROR(MATCH(469,$B$4:$B$503,0),"")</f>
        <v/>
      </c>
      <c r="G472">
        <f>IF('Checklist'!N472="Red",MAX($G$3:G471)+1,"")</f>
        <v/>
      </c>
    </row>
    <row r="473">
      <c r="A473">
        <f>IF(AND(LEN('Checklist'!C473)&gt;0,ISNUMBER('Checklist'!L473)),'Checklist'!L473+470/100000,"")</f>
        <v/>
      </c>
      <c r="B473">
        <f>IF(AND(LEN('Checklist'!C473)&gt;0,ISNUMBER('Checklist'!L473)),MAX($B$3:B472)+1,"")</f>
        <v/>
      </c>
      <c r="E473">
        <f>IFERROR(MATCH(470,$B$4:$B$503,0),"")</f>
        <v/>
      </c>
      <c r="G473">
        <f>IF('Checklist'!N473="Red",MAX($G$3:G472)+1,"")</f>
        <v/>
      </c>
    </row>
    <row r="474">
      <c r="A474">
        <f>IF(AND(LEN('Checklist'!C474)&gt;0,ISNUMBER('Checklist'!L474)),'Checklist'!L474+471/100000,"")</f>
        <v/>
      </c>
      <c r="B474">
        <f>IF(AND(LEN('Checklist'!C474)&gt;0,ISNUMBER('Checklist'!L474)),MAX($B$3:B473)+1,"")</f>
        <v/>
      </c>
      <c r="E474">
        <f>IFERROR(MATCH(471,$B$4:$B$503,0),"")</f>
        <v/>
      </c>
      <c r="G474">
        <f>IF('Checklist'!N474="Red",MAX($G$3:G473)+1,"")</f>
        <v/>
      </c>
    </row>
    <row r="475">
      <c r="A475">
        <f>IF(AND(LEN('Checklist'!C475)&gt;0,ISNUMBER('Checklist'!L475)),'Checklist'!L475+472/100000,"")</f>
        <v/>
      </c>
      <c r="B475">
        <f>IF(AND(LEN('Checklist'!C475)&gt;0,ISNUMBER('Checklist'!L475)),MAX($B$3:B474)+1,"")</f>
        <v/>
      </c>
      <c r="E475">
        <f>IFERROR(MATCH(472,$B$4:$B$503,0),"")</f>
        <v/>
      </c>
      <c r="G475">
        <f>IF('Checklist'!N475="Red",MAX($G$3:G474)+1,"")</f>
        <v/>
      </c>
    </row>
    <row r="476">
      <c r="A476">
        <f>IF(AND(LEN('Checklist'!C476)&gt;0,ISNUMBER('Checklist'!L476)),'Checklist'!L476+473/100000,"")</f>
        <v/>
      </c>
      <c r="B476">
        <f>IF(AND(LEN('Checklist'!C476)&gt;0,ISNUMBER('Checklist'!L476)),MAX($B$3:B475)+1,"")</f>
        <v/>
      </c>
      <c r="E476">
        <f>IFERROR(MATCH(473,$B$4:$B$503,0),"")</f>
        <v/>
      </c>
      <c r="G476">
        <f>IF('Checklist'!N476="Red",MAX($G$3:G475)+1,"")</f>
        <v/>
      </c>
    </row>
    <row r="477">
      <c r="A477">
        <f>IF(AND(LEN('Checklist'!C477)&gt;0,ISNUMBER('Checklist'!L477)),'Checklist'!L477+474/100000,"")</f>
        <v/>
      </c>
      <c r="B477">
        <f>IF(AND(LEN('Checklist'!C477)&gt;0,ISNUMBER('Checklist'!L477)),MAX($B$3:B476)+1,"")</f>
        <v/>
      </c>
      <c r="E477">
        <f>IFERROR(MATCH(474,$B$4:$B$503,0),"")</f>
        <v/>
      </c>
      <c r="G477">
        <f>IF('Checklist'!N477="Red",MAX($G$3:G476)+1,"")</f>
        <v/>
      </c>
    </row>
    <row r="478">
      <c r="A478">
        <f>IF(AND(LEN('Checklist'!C478)&gt;0,ISNUMBER('Checklist'!L478)),'Checklist'!L478+475/100000,"")</f>
        <v/>
      </c>
      <c r="B478">
        <f>IF(AND(LEN('Checklist'!C478)&gt;0,ISNUMBER('Checklist'!L478)),MAX($B$3:B477)+1,"")</f>
        <v/>
      </c>
      <c r="E478">
        <f>IFERROR(MATCH(475,$B$4:$B$503,0),"")</f>
        <v/>
      </c>
      <c r="G478">
        <f>IF('Checklist'!N478="Red",MAX($G$3:G477)+1,"")</f>
        <v/>
      </c>
    </row>
    <row r="479">
      <c r="A479">
        <f>IF(AND(LEN('Checklist'!C479)&gt;0,ISNUMBER('Checklist'!L479)),'Checklist'!L479+476/100000,"")</f>
        <v/>
      </c>
      <c r="B479">
        <f>IF(AND(LEN('Checklist'!C479)&gt;0,ISNUMBER('Checklist'!L479)),MAX($B$3:B478)+1,"")</f>
        <v/>
      </c>
      <c r="E479">
        <f>IFERROR(MATCH(476,$B$4:$B$503,0),"")</f>
        <v/>
      </c>
      <c r="G479">
        <f>IF('Checklist'!N479="Red",MAX($G$3:G478)+1,"")</f>
        <v/>
      </c>
    </row>
    <row r="480">
      <c r="A480">
        <f>IF(AND(LEN('Checklist'!C480)&gt;0,ISNUMBER('Checklist'!L480)),'Checklist'!L480+477/100000,"")</f>
        <v/>
      </c>
      <c r="B480">
        <f>IF(AND(LEN('Checklist'!C480)&gt;0,ISNUMBER('Checklist'!L480)),MAX($B$3:B479)+1,"")</f>
        <v/>
      </c>
      <c r="E480">
        <f>IFERROR(MATCH(477,$B$4:$B$503,0),"")</f>
        <v/>
      </c>
      <c r="G480">
        <f>IF('Checklist'!N480="Red",MAX($G$3:G479)+1,"")</f>
        <v/>
      </c>
    </row>
    <row r="481">
      <c r="A481">
        <f>IF(AND(LEN('Checklist'!C481)&gt;0,ISNUMBER('Checklist'!L481)),'Checklist'!L481+478/100000,"")</f>
        <v/>
      </c>
      <c r="B481">
        <f>IF(AND(LEN('Checklist'!C481)&gt;0,ISNUMBER('Checklist'!L481)),MAX($B$3:B480)+1,"")</f>
        <v/>
      </c>
      <c r="E481">
        <f>IFERROR(MATCH(478,$B$4:$B$503,0),"")</f>
        <v/>
      </c>
      <c r="G481">
        <f>IF('Checklist'!N481="Red",MAX($G$3:G480)+1,"")</f>
        <v/>
      </c>
    </row>
    <row r="482">
      <c r="A482">
        <f>IF(AND(LEN('Checklist'!C482)&gt;0,ISNUMBER('Checklist'!L482)),'Checklist'!L482+479/100000,"")</f>
        <v/>
      </c>
      <c r="B482">
        <f>IF(AND(LEN('Checklist'!C482)&gt;0,ISNUMBER('Checklist'!L482)),MAX($B$3:B481)+1,"")</f>
        <v/>
      </c>
      <c r="E482">
        <f>IFERROR(MATCH(479,$B$4:$B$503,0),"")</f>
        <v/>
      </c>
      <c r="G482">
        <f>IF('Checklist'!N482="Red",MAX($G$3:G481)+1,"")</f>
        <v/>
      </c>
    </row>
    <row r="483">
      <c r="A483">
        <f>IF(AND(LEN('Checklist'!C483)&gt;0,ISNUMBER('Checklist'!L483)),'Checklist'!L483+480/100000,"")</f>
        <v/>
      </c>
      <c r="B483">
        <f>IF(AND(LEN('Checklist'!C483)&gt;0,ISNUMBER('Checklist'!L483)),MAX($B$3:B482)+1,"")</f>
        <v/>
      </c>
      <c r="E483">
        <f>IFERROR(MATCH(480,$B$4:$B$503,0),"")</f>
        <v/>
      </c>
      <c r="G483">
        <f>IF('Checklist'!N483="Red",MAX($G$3:G482)+1,"")</f>
        <v/>
      </c>
    </row>
    <row r="484">
      <c r="A484">
        <f>IF(AND(LEN('Checklist'!C484)&gt;0,ISNUMBER('Checklist'!L484)),'Checklist'!L484+481/100000,"")</f>
        <v/>
      </c>
      <c r="B484">
        <f>IF(AND(LEN('Checklist'!C484)&gt;0,ISNUMBER('Checklist'!L484)),MAX($B$3:B483)+1,"")</f>
        <v/>
      </c>
      <c r="E484">
        <f>IFERROR(MATCH(481,$B$4:$B$503,0),"")</f>
        <v/>
      </c>
      <c r="G484">
        <f>IF('Checklist'!N484="Red",MAX($G$3:G483)+1,"")</f>
        <v/>
      </c>
    </row>
    <row r="485">
      <c r="A485">
        <f>IF(AND(LEN('Checklist'!C485)&gt;0,ISNUMBER('Checklist'!L485)),'Checklist'!L485+482/100000,"")</f>
        <v/>
      </c>
      <c r="B485">
        <f>IF(AND(LEN('Checklist'!C485)&gt;0,ISNUMBER('Checklist'!L485)),MAX($B$3:B484)+1,"")</f>
        <v/>
      </c>
      <c r="E485">
        <f>IFERROR(MATCH(482,$B$4:$B$503,0),"")</f>
        <v/>
      </c>
      <c r="G485">
        <f>IF('Checklist'!N485="Red",MAX($G$3:G484)+1,"")</f>
        <v/>
      </c>
    </row>
    <row r="486">
      <c r="A486">
        <f>IF(AND(LEN('Checklist'!C486)&gt;0,ISNUMBER('Checklist'!L486)),'Checklist'!L486+483/100000,"")</f>
        <v/>
      </c>
      <c r="B486">
        <f>IF(AND(LEN('Checklist'!C486)&gt;0,ISNUMBER('Checklist'!L486)),MAX($B$3:B485)+1,"")</f>
        <v/>
      </c>
      <c r="E486">
        <f>IFERROR(MATCH(483,$B$4:$B$503,0),"")</f>
        <v/>
      </c>
      <c r="G486">
        <f>IF('Checklist'!N486="Red",MAX($G$3:G485)+1,"")</f>
        <v/>
      </c>
    </row>
    <row r="487">
      <c r="A487">
        <f>IF(AND(LEN('Checklist'!C487)&gt;0,ISNUMBER('Checklist'!L487)),'Checklist'!L487+484/100000,"")</f>
        <v/>
      </c>
      <c r="B487">
        <f>IF(AND(LEN('Checklist'!C487)&gt;0,ISNUMBER('Checklist'!L487)),MAX($B$3:B486)+1,"")</f>
        <v/>
      </c>
      <c r="E487">
        <f>IFERROR(MATCH(484,$B$4:$B$503,0),"")</f>
        <v/>
      </c>
      <c r="G487">
        <f>IF('Checklist'!N487="Red",MAX($G$3:G486)+1,"")</f>
        <v/>
      </c>
    </row>
    <row r="488">
      <c r="A488">
        <f>IF(AND(LEN('Checklist'!C488)&gt;0,ISNUMBER('Checklist'!L488)),'Checklist'!L488+485/100000,"")</f>
        <v/>
      </c>
      <c r="B488">
        <f>IF(AND(LEN('Checklist'!C488)&gt;0,ISNUMBER('Checklist'!L488)),MAX($B$3:B487)+1,"")</f>
        <v/>
      </c>
      <c r="E488">
        <f>IFERROR(MATCH(485,$B$4:$B$503,0),"")</f>
        <v/>
      </c>
      <c r="G488">
        <f>IF('Checklist'!N488="Red",MAX($G$3:G487)+1,"")</f>
        <v/>
      </c>
    </row>
    <row r="489">
      <c r="A489">
        <f>IF(AND(LEN('Checklist'!C489)&gt;0,ISNUMBER('Checklist'!L489)),'Checklist'!L489+486/100000,"")</f>
        <v/>
      </c>
      <c r="B489">
        <f>IF(AND(LEN('Checklist'!C489)&gt;0,ISNUMBER('Checklist'!L489)),MAX($B$3:B488)+1,"")</f>
        <v/>
      </c>
      <c r="E489">
        <f>IFERROR(MATCH(486,$B$4:$B$503,0),"")</f>
        <v/>
      </c>
      <c r="G489">
        <f>IF('Checklist'!N489="Red",MAX($G$3:G488)+1,"")</f>
        <v/>
      </c>
    </row>
    <row r="490">
      <c r="A490">
        <f>IF(AND(LEN('Checklist'!C490)&gt;0,ISNUMBER('Checklist'!L490)),'Checklist'!L490+487/100000,"")</f>
        <v/>
      </c>
      <c r="B490">
        <f>IF(AND(LEN('Checklist'!C490)&gt;0,ISNUMBER('Checklist'!L490)),MAX($B$3:B489)+1,"")</f>
        <v/>
      </c>
      <c r="E490">
        <f>IFERROR(MATCH(487,$B$4:$B$503,0),"")</f>
        <v/>
      </c>
      <c r="G490">
        <f>IF('Checklist'!N490="Red",MAX($G$3:G489)+1,"")</f>
        <v/>
      </c>
    </row>
    <row r="491">
      <c r="A491">
        <f>IF(AND(LEN('Checklist'!C491)&gt;0,ISNUMBER('Checklist'!L491)),'Checklist'!L491+488/100000,"")</f>
        <v/>
      </c>
      <c r="B491">
        <f>IF(AND(LEN('Checklist'!C491)&gt;0,ISNUMBER('Checklist'!L491)),MAX($B$3:B490)+1,"")</f>
        <v/>
      </c>
      <c r="E491">
        <f>IFERROR(MATCH(488,$B$4:$B$503,0),"")</f>
        <v/>
      </c>
      <c r="G491">
        <f>IF('Checklist'!N491="Red",MAX($G$3:G490)+1,"")</f>
        <v/>
      </c>
    </row>
    <row r="492">
      <c r="A492">
        <f>IF(AND(LEN('Checklist'!C492)&gt;0,ISNUMBER('Checklist'!L492)),'Checklist'!L492+489/100000,"")</f>
        <v/>
      </c>
      <c r="B492">
        <f>IF(AND(LEN('Checklist'!C492)&gt;0,ISNUMBER('Checklist'!L492)),MAX($B$3:B491)+1,"")</f>
        <v/>
      </c>
      <c r="E492">
        <f>IFERROR(MATCH(489,$B$4:$B$503,0),"")</f>
        <v/>
      </c>
      <c r="G492">
        <f>IF('Checklist'!N492="Red",MAX($G$3:G491)+1,"")</f>
        <v/>
      </c>
    </row>
    <row r="493">
      <c r="A493">
        <f>IF(AND(LEN('Checklist'!C493)&gt;0,ISNUMBER('Checklist'!L493)),'Checklist'!L493+490/100000,"")</f>
        <v/>
      </c>
      <c r="B493">
        <f>IF(AND(LEN('Checklist'!C493)&gt;0,ISNUMBER('Checklist'!L493)),MAX($B$3:B492)+1,"")</f>
        <v/>
      </c>
      <c r="E493">
        <f>IFERROR(MATCH(490,$B$4:$B$503,0),"")</f>
        <v/>
      </c>
      <c r="G493">
        <f>IF('Checklist'!N493="Red",MAX($G$3:G492)+1,"")</f>
        <v/>
      </c>
    </row>
    <row r="494">
      <c r="A494">
        <f>IF(AND(LEN('Checklist'!C494)&gt;0,ISNUMBER('Checklist'!L494)),'Checklist'!L494+491/100000,"")</f>
        <v/>
      </c>
      <c r="B494">
        <f>IF(AND(LEN('Checklist'!C494)&gt;0,ISNUMBER('Checklist'!L494)),MAX($B$3:B493)+1,"")</f>
        <v/>
      </c>
      <c r="E494">
        <f>IFERROR(MATCH(491,$B$4:$B$503,0),"")</f>
        <v/>
      </c>
      <c r="G494">
        <f>IF('Checklist'!N494="Red",MAX($G$3:G493)+1,"")</f>
        <v/>
      </c>
    </row>
    <row r="495">
      <c r="A495">
        <f>IF(AND(LEN('Checklist'!C495)&gt;0,ISNUMBER('Checklist'!L495)),'Checklist'!L495+492/100000,"")</f>
        <v/>
      </c>
      <c r="B495">
        <f>IF(AND(LEN('Checklist'!C495)&gt;0,ISNUMBER('Checklist'!L495)),MAX($B$3:B494)+1,"")</f>
        <v/>
      </c>
      <c r="E495">
        <f>IFERROR(MATCH(492,$B$4:$B$503,0),"")</f>
        <v/>
      </c>
      <c r="G495">
        <f>IF('Checklist'!N495="Red",MAX($G$3:G494)+1,"")</f>
        <v/>
      </c>
    </row>
    <row r="496">
      <c r="A496">
        <f>IF(AND(LEN('Checklist'!C496)&gt;0,ISNUMBER('Checklist'!L496)),'Checklist'!L496+493/100000,"")</f>
        <v/>
      </c>
      <c r="B496">
        <f>IF(AND(LEN('Checklist'!C496)&gt;0,ISNUMBER('Checklist'!L496)),MAX($B$3:B495)+1,"")</f>
        <v/>
      </c>
      <c r="E496">
        <f>IFERROR(MATCH(493,$B$4:$B$503,0),"")</f>
        <v/>
      </c>
      <c r="G496">
        <f>IF('Checklist'!N496="Red",MAX($G$3:G495)+1,"")</f>
        <v/>
      </c>
    </row>
    <row r="497">
      <c r="A497">
        <f>IF(AND(LEN('Checklist'!C497)&gt;0,ISNUMBER('Checklist'!L497)),'Checklist'!L497+494/100000,"")</f>
        <v/>
      </c>
      <c r="B497">
        <f>IF(AND(LEN('Checklist'!C497)&gt;0,ISNUMBER('Checklist'!L497)),MAX($B$3:B496)+1,"")</f>
        <v/>
      </c>
      <c r="E497">
        <f>IFERROR(MATCH(494,$B$4:$B$503,0),"")</f>
        <v/>
      </c>
      <c r="G497">
        <f>IF('Checklist'!N497="Red",MAX($G$3:G496)+1,"")</f>
        <v/>
      </c>
    </row>
    <row r="498">
      <c r="A498">
        <f>IF(AND(LEN('Checklist'!C498)&gt;0,ISNUMBER('Checklist'!L498)),'Checklist'!L498+495/100000,"")</f>
        <v/>
      </c>
      <c r="B498">
        <f>IF(AND(LEN('Checklist'!C498)&gt;0,ISNUMBER('Checklist'!L498)),MAX($B$3:B497)+1,"")</f>
        <v/>
      </c>
      <c r="E498">
        <f>IFERROR(MATCH(495,$B$4:$B$503,0),"")</f>
        <v/>
      </c>
      <c r="G498">
        <f>IF('Checklist'!N498="Red",MAX($G$3:G497)+1,"")</f>
        <v/>
      </c>
    </row>
    <row r="499">
      <c r="A499">
        <f>IF(AND(LEN('Checklist'!C499)&gt;0,ISNUMBER('Checklist'!L499)),'Checklist'!L499+496/100000,"")</f>
        <v/>
      </c>
      <c r="B499">
        <f>IF(AND(LEN('Checklist'!C499)&gt;0,ISNUMBER('Checklist'!L499)),MAX($B$3:B498)+1,"")</f>
        <v/>
      </c>
      <c r="E499">
        <f>IFERROR(MATCH(496,$B$4:$B$503,0),"")</f>
        <v/>
      </c>
      <c r="G499">
        <f>IF('Checklist'!N499="Red",MAX($G$3:G498)+1,"")</f>
        <v/>
      </c>
    </row>
    <row r="500">
      <c r="A500">
        <f>IF(AND(LEN('Checklist'!C500)&gt;0,ISNUMBER('Checklist'!L500)),'Checklist'!L500+497/100000,"")</f>
        <v/>
      </c>
      <c r="B500">
        <f>IF(AND(LEN('Checklist'!C500)&gt;0,ISNUMBER('Checklist'!L500)),MAX($B$3:B499)+1,"")</f>
        <v/>
      </c>
      <c r="E500">
        <f>IFERROR(MATCH(497,$B$4:$B$503,0),"")</f>
        <v/>
      </c>
      <c r="G500">
        <f>IF('Checklist'!N500="Red",MAX($G$3:G499)+1,"")</f>
        <v/>
      </c>
    </row>
    <row r="501">
      <c r="A501">
        <f>IF(AND(LEN('Checklist'!C501)&gt;0,ISNUMBER('Checklist'!L501)),'Checklist'!L501+498/100000,"")</f>
        <v/>
      </c>
      <c r="B501">
        <f>IF(AND(LEN('Checklist'!C501)&gt;0,ISNUMBER('Checklist'!L501)),MAX($B$3:B500)+1,"")</f>
        <v/>
      </c>
      <c r="E501">
        <f>IFERROR(MATCH(498,$B$4:$B$503,0),"")</f>
        <v/>
      </c>
      <c r="G501">
        <f>IF('Checklist'!N501="Red",MAX($G$3:G500)+1,"")</f>
        <v/>
      </c>
    </row>
    <row r="502">
      <c r="A502">
        <f>IF(AND(LEN('Checklist'!C502)&gt;0,ISNUMBER('Checklist'!L502)),'Checklist'!L502+499/100000,"")</f>
        <v/>
      </c>
      <c r="B502">
        <f>IF(AND(LEN('Checklist'!C502)&gt;0,ISNUMBER('Checklist'!L502)),MAX($B$3:B501)+1,"")</f>
        <v/>
      </c>
      <c r="E502">
        <f>IFERROR(MATCH(499,$B$4:$B$503,0),"")</f>
        <v/>
      </c>
      <c r="G502">
        <f>IF('Checklist'!N502="Red",MAX($G$3:G501)+1,"")</f>
        <v/>
      </c>
    </row>
    <row r="503">
      <c r="A503">
        <f>IF(AND(LEN('Checklist'!C503)&gt;0,ISNUMBER('Checklist'!L503)),'Checklist'!L503+500/100000,"")</f>
        <v/>
      </c>
      <c r="B503">
        <f>IF(AND(LEN('Checklist'!C503)&gt;0,ISNUMBER('Checklist'!L503)),MAX($B$3:B502)+1,"")</f>
        <v/>
      </c>
      <c r="E503">
        <f>IFERROR(MATCH(500,$B$4:$B$503,0),"")</f>
        <v/>
      </c>
      <c r="G503">
        <f>IF('Checklist'!N503="Red",MAX($G$3:G502)+1,"")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  <Company>ExpiryEdge</Company>
</Properties>
</file>

<file path=docProps/core.xml><?xml version="1.0" encoding="utf-8"?>
<cp:coreProperties xmlns:cp="http://schemas.openxmlformats.org/package/2006/metadata/core-properties">
  <dc:creator xmlns:dc="http://purl.org/dc/elements/1.1/">ExpiryEdge</dc:creator>
  <dc:title xmlns:dc="http://purl.org/dc/elements/1.1/">Assisted living survey readiness checklist (free template)</dc:title>
  <dc:description xmlns:dc="http://purl.org/dc/elements/1.1/">Free template from expiryedge.com/templates/. October 2026 edition.</dc:description>
  <dc:subject xmlns:dc="http://purl.org/dc/elements/1.1/">The 50 records, postings and building checks state surveyors review, each with an owner, evidence location and a red, amber or green status.</dc:subject>
  <dcterms:created xmlns:dcterms="http://purl.org/dc/terms/" xmlns:xsi="http://www.w3.org/2001/XMLSchema-instance" xsi:type="dcterms:W3CDTF">2026-09-28T09:00:00Z</dcterms:created>
  <dcterms:modified xmlns:dcterms="http://purl.org/dc/terms/" xmlns:xsi="http://www.w3.org/2001/XMLSchema-instance" xsi:type="dcterms:W3CDTF">2026-09-28T09:00:00Z</dcterms:modified>
  <cp:lastModifiedBy>ExpiryEdge</cp:lastModifiedBy>
  <cp:keywords>assisted living survey checklist, survey readiness, mock survey, template, ExpiryEdge</cp:keywords>
</cp:coreProperties>
</file>